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reightonuniv-my.sharepoint.com/personal/ejk60737_creighton_edu/Documents/Collections/Print Book Deselection/"/>
    </mc:Choice>
  </mc:AlternateContent>
  <xr:revisionPtr revIDLastSave="0" documentId="8_{F6F68AEB-EB32-4897-B68C-E06E2F334B7E}" xr6:coauthVersionLast="47" xr6:coauthVersionMax="47" xr10:uidLastSave="{00000000-0000-0000-0000-000000000000}"/>
  <bookViews>
    <workbookView xWindow="-120" yWindow="-120" windowWidth="29040" windowHeight="15840" xr2:uid="{30AA3044-EE9B-4C52-94B2-A31A97A446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1304" i="1" l="1"/>
  <c r="AU1304" i="1"/>
  <c r="AT1304" i="1"/>
  <c r="AV1303" i="1"/>
  <c r="AU1303" i="1"/>
  <c r="AT1303" i="1"/>
  <c r="AV1302" i="1"/>
  <c r="AU1302" i="1"/>
  <c r="AT1302" i="1"/>
  <c r="AV1301" i="1"/>
  <c r="AU1301" i="1"/>
  <c r="AT1301" i="1"/>
  <c r="AV1300" i="1"/>
  <c r="AU1300" i="1"/>
  <c r="AT1300" i="1"/>
  <c r="AV1299" i="1"/>
  <c r="AU1299" i="1"/>
  <c r="AV1298" i="1"/>
  <c r="AU1298" i="1"/>
  <c r="AT1298" i="1"/>
  <c r="AV1297" i="1"/>
  <c r="AU1297" i="1"/>
  <c r="AT1297" i="1"/>
  <c r="AV1296" i="1"/>
  <c r="AU1296" i="1"/>
  <c r="AT1296" i="1"/>
  <c r="AV1295" i="1"/>
  <c r="AU1295" i="1"/>
  <c r="AT1295" i="1"/>
  <c r="AV1294" i="1"/>
  <c r="AU1294" i="1"/>
  <c r="AT1294" i="1"/>
  <c r="AV1293" i="1"/>
  <c r="AU1293" i="1"/>
  <c r="AT1293" i="1"/>
  <c r="AV1292" i="1"/>
  <c r="AU1292" i="1"/>
  <c r="AT1292" i="1"/>
  <c r="AV1291" i="1"/>
  <c r="AU1291" i="1"/>
  <c r="AT1291" i="1"/>
  <c r="AV1290" i="1"/>
  <c r="AU1290" i="1"/>
  <c r="AT1290" i="1"/>
  <c r="AV1289" i="1"/>
  <c r="AU1289" i="1"/>
  <c r="AT1289" i="1"/>
  <c r="AV1288" i="1"/>
  <c r="AU1288" i="1"/>
  <c r="AT1288" i="1"/>
  <c r="AV1287" i="1"/>
  <c r="AU1287" i="1"/>
  <c r="AV1286" i="1"/>
  <c r="AU1286" i="1"/>
  <c r="AT1286" i="1"/>
  <c r="AV1285" i="1"/>
  <c r="AU1285" i="1"/>
  <c r="AT1285" i="1"/>
  <c r="AV1284" i="1"/>
  <c r="AU1284" i="1"/>
  <c r="AT1284" i="1"/>
  <c r="AV1283" i="1"/>
  <c r="AU1283" i="1"/>
  <c r="AT1283" i="1"/>
  <c r="AV1282" i="1"/>
  <c r="AU1282" i="1"/>
  <c r="AV1281" i="1"/>
  <c r="AU1281" i="1"/>
  <c r="AT1281" i="1"/>
  <c r="AV1280" i="1"/>
  <c r="AU1280" i="1"/>
  <c r="AT1280" i="1"/>
  <c r="AV1279" i="1"/>
  <c r="AU1279" i="1"/>
  <c r="AT1279" i="1"/>
  <c r="AV1278" i="1"/>
  <c r="AU1278" i="1"/>
  <c r="AT1278" i="1"/>
  <c r="AV1277" i="1"/>
  <c r="AU1277" i="1"/>
  <c r="AT1277" i="1"/>
  <c r="AV1276" i="1"/>
  <c r="AU1276" i="1"/>
  <c r="AT1276" i="1"/>
  <c r="AV1275" i="1"/>
  <c r="AU1275" i="1"/>
  <c r="AT1275" i="1"/>
  <c r="AV1274" i="1"/>
  <c r="AU1274" i="1"/>
  <c r="AT1274" i="1"/>
  <c r="AV1273" i="1"/>
  <c r="AU1273" i="1"/>
  <c r="AT1273" i="1"/>
  <c r="AV1272" i="1"/>
  <c r="AU1272" i="1"/>
  <c r="AV1271" i="1"/>
  <c r="AU1271" i="1"/>
  <c r="AT1271" i="1"/>
  <c r="AV1270" i="1"/>
  <c r="AU1270" i="1"/>
  <c r="AT1270" i="1"/>
  <c r="AV1269" i="1"/>
  <c r="AU1269" i="1"/>
  <c r="AT1269" i="1"/>
  <c r="AV1268" i="1"/>
  <c r="AU1268" i="1"/>
  <c r="AT1268" i="1"/>
  <c r="AV1267" i="1"/>
  <c r="AU1267" i="1"/>
  <c r="AT1267" i="1"/>
  <c r="AV1266" i="1"/>
  <c r="AU1266" i="1"/>
  <c r="AT1266" i="1"/>
  <c r="AV1265" i="1"/>
  <c r="AU1265" i="1"/>
  <c r="AV1264" i="1"/>
  <c r="AU1264" i="1"/>
  <c r="AT1264" i="1"/>
  <c r="AV1263" i="1"/>
  <c r="AU1263" i="1"/>
  <c r="AT1263" i="1"/>
  <c r="AV1262" i="1"/>
  <c r="AU1262" i="1"/>
  <c r="AV1261" i="1"/>
  <c r="AU1261" i="1"/>
  <c r="AT1261" i="1"/>
  <c r="AV1260" i="1"/>
  <c r="AU1260" i="1"/>
  <c r="AT1260" i="1"/>
  <c r="AV1259" i="1"/>
  <c r="AU1259" i="1"/>
  <c r="AT1259" i="1"/>
  <c r="AV1258" i="1"/>
  <c r="AU1258" i="1"/>
  <c r="AV1257" i="1"/>
  <c r="AU1257" i="1"/>
  <c r="AT1257" i="1"/>
  <c r="AV1256" i="1"/>
  <c r="AU1256" i="1"/>
  <c r="AT1256" i="1"/>
  <c r="AV1255" i="1"/>
  <c r="AU1255" i="1"/>
  <c r="AT1255" i="1"/>
  <c r="AV1254" i="1"/>
  <c r="AU1254" i="1"/>
  <c r="AV1253" i="1"/>
  <c r="AU1253" i="1"/>
  <c r="AT1253" i="1"/>
  <c r="AV1252" i="1"/>
  <c r="AU1252" i="1"/>
  <c r="AV1251" i="1"/>
  <c r="AU1251" i="1"/>
  <c r="AT1251" i="1"/>
  <c r="AV1250" i="1"/>
  <c r="AU1250" i="1"/>
  <c r="AT1250" i="1"/>
  <c r="AV1249" i="1"/>
  <c r="AU1249" i="1"/>
  <c r="AV1248" i="1"/>
  <c r="AU1248" i="1"/>
  <c r="AT1248" i="1"/>
  <c r="AV1247" i="1"/>
  <c r="AU1247" i="1"/>
  <c r="AT1247" i="1"/>
  <c r="AV1246" i="1"/>
  <c r="AU1246" i="1"/>
  <c r="AT1246" i="1"/>
  <c r="AV1245" i="1"/>
  <c r="AU1245" i="1"/>
  <c r="AT1245" i="1"/>
  <c r="AV1244" i="1"/>
  <c r="AU1244" i="1"/>
  <c r="AV1243" i="1"/>
  <c r="AU1243" i="1"/>
  <c r="AT1243" i="1"/>
  <c r="AV1242" i="1"/>
  <c r="AU1242" i="1"/>
  <c r="AV1241" i="1"/>
  <c r="AU1241" i="1"/>
  <c r="AV1240" i="1"/>
  <c r="AU1240" i="1"/>
  <c r="AT1240" i="1"/>
  <c r="AV1239" i="1"/>
  <c r="AU1239" i="1"/>
  <c r="AT1239" i="1"/>
  <c r="AV1238" i="1"/>
  <c r="AU1238" i="1"/>
  <c r="AT1238" i="1"/>
  <c r="AV1237" i="1"/>
  <c r="AU1237" i="1"/>
  <c r="AT1237" i="1"/>
  <c r="AV1236" i="1"/>
  <c r="AU1236" i="1"/>
  <c r="AV1235" i="1"/>
  <c r="AU1235" i="1"/>
  <c r="AV1234" i="1"/>
  <c r="AU1234" i="1"/>
  <c r="AT1234" i="1"/>
  <c r="AV1233" i="1"/>
  <c r="AU1233" i="1"/>
  <c r="AT1233" i="1"/>
  <c r="AV1232" i="1"/>
  <c r="AU1232" i="1"/>
  <c r="AT1232" i="1"/>
  <c r="AV1231" i="1"/>
  <c r="AU1231" i="1"/>
  <c r="AT1231" i="1"/>
  <c r="AV1230" i="1"/>
  <c r="AU1230" i="1"/>
  <c r="AV1229" i="1"/>
  <c r="AU1229" i="1"/>
  <c r="AT1229" i="1"/>
  <c r="AV1228" i="1"/>
  <c r="AU1228" i="1"/>
  <c r="AT1228" i="1"/>
  <c r="AV1227" i="1"/>
  <c r="AU1227" i="1"/>
  <c r="AT1227" i="1"/>
  <c r="AV1226" i="1"/>
  <c r="AU1226" i="1"/>
  <c r="AT1226" i="1"/>
  <c r="AV1225" i="1"/>
  <c r="AU1225" i="1"/>
  <c r="AV1224" i="1"/>
  <c r="AU1224" i="1"/>
  <c r="AT1224" i="1"/>
  <c r="AV1223" i="1"/>
  <c r="AU1223" i="1"/>
  <c r="AT1223" i="1"/>
  <c r="AV1222" i="1"/>
  <c r="AU1222" i="1"/>
  <c r="AT1222" i="1"/>
  <c r="AV1221" i="1"/>
  <c r="AU1221" i="1"/>
  <c r="AT1221" i="1"/>
  <c r="AV1220" i="1"/>
  <c r="AU1220" i="1"/>
  <c r="AT1220" i="1"/>
  <c r="AV1219" i="1"/>
  <c r="AU1219" i="1"/>
  <c r="AT1219" i="1"/>
  <c r="AV1218" i="1"/>
  <c r="AU1218" i="1"/>
  <c r="AT1218" i="1"/>
  <c r="AV1217" i="1"/>
  <c r="AU1217" i="1"/>
  <c r="AT1217" i="1"/>
  <c r="AV1216" i="1"/>
  <c r="AU1216" i="1"/>
  <c r="AV1215" i="1"/>
  <c r="AU1215" i="1"/>
  <c r="AT1215" i="1"/>
  <c r="AV1214" i="1"/>
  <c r="AU1214" i="1"/>
  <c r="AV1213" i="1"/>
  <c r="AU1213" i="1"/>
  <c r="AT1213" i="1"/>
  <c r="AV1212" i="1"/>
  <c r="AU1212" i="1"/>
  <c r="AT1212" i="1"/>
  <c r="AV1211" i="1"/>
  <c r="AU1211" i="1"/>
  <c r="AT1211" i="1"/>
  <c r="AV1210" i="1"/>
  <c r="AU1210" i="1"/>
  <c r="AV1209" i="1"/>
  <c r="AU1209" i="1"/>
  <c r="AT1209" i="1"/>
  <c r="AV1208" i="1"/>
  <c r="AU1208" i="1"/>
  <c r="AV1207" i="1"/>
  <c r="AU1207" i="1"/>
  <c r="AT1207" i="1"/>
  <c r="AV1206" i="1"/>
  <c r="AU1206" i="1"/>
  <c r="AT1206" i="1"/>
  <c r="AV1205" i="1"/>
  <c r="AU1205" i="1"/>
  <c r="AT1205" i="1"/>
  <c r="AV1204" i="1"/>
  <c r="AU1204" i="1"/>
  <c r="AT1204" i="1"/>
  <c r="AV1203" i="1"/>
  <c r="AU1203" i="1"/>
  <c r="AV1202" i="1"/>
  <c r="AU1202" i="1"/>
  <c r="AV1201" i="1"/>
  <c r="AU1201" i="1"/>
  <c r="AT1201" i="1"/>
  <c r="AV1200" i="1"/>
  <c r="AU1200" i="1"/>
  <c r="AT1200" i="1"/>
  <c r="AV1199" i="1"/>
  <c r="AU1199" i="1"/>
  <c r="AT1199" i="1"/>
  <c r="AV1198" i="1"/>
  <c r="AU1198" i="1"/>
  <c r="AT1198" i="1"/>
  <c r="AV1197" i="1"/>
  <c r="AU1197" i="1"/>
  <c r="AT1197" i="1"/>
  <c r="AV1196" i="1"/>
  <c r="AU1196" i="1"/>
  <c r="AT1196" i="1"/>
  <c r="AV1195" i="1"/>
  <c r="AU1195" i="1"/>
  <c r="AT1195" i="1"/>
  <c r="AV1194" i="1"/>
  <c r="AU1194" i="1"/>
  <c r="AV1193" i="1"/>
  <c r="AU1193" i="1"/>
  <c r="AT1193" i="1"/>
  <c r="AV1192" i="1"/>
  <c r="AU1192" i="1"/>
  <c r="AT1192" i="1"/>
  <c r="AV1191" i="1"/>
  <c r="AU1191" i="1"/>
  <c r="AV1190" i="1"/>
  <c r="AU1190" i="1"/>
  <c r="AV1189" i="1"/>
  <c r="AU1189" i="1"/>
  <c r="AV1188" i="1"/>
  <c r="AU1188" i="1"/>
  <c r="AT1188" i="1"/>
  <c r="AV1187" i="1"/>
  <c r="AU1187" i="1"/>
  <c r="AV1186" i="1"/>
  <c r="AU1186" i="1"/>
  <c r="AT1186" i="1"/>
  <c r="AV1185" i="1"/>
  <c r="AU1185" i="1"/>
  <c r="AT1185" i="1"/>
  <c r="AV1184" i="1"/>
  <c r="AU1184" i="1"/>
  <c r="AT1184" i="1"/>
  <c r="AV1183" i="1"/>
  <c r="AU1183" i="1"/>
  <c r="AT1183" i="1"/>
  <c r="AV1182" i="1"/>
  <c r="AU1182" i="1"/>
  <c r="AV1181" i="1"/>
  <c r="AU1181" i="1"/>
  <c r="AV1180" i="1"/>
  <c r="AU1180" i="1"/>
  <c r="AT1180" i="1"/>
  <c r="AV1179" i="1"/>
  <c r="AU1179" i="1"/>
  <c r="AV1178" i="1"/>
  <c r="AU1178" i="1"/>
  <c r="AT1178" i="1"/>
  <c r="AV1177" i="1"/>
  <c r="AU1177" i="1"/>
  <c r="AV1176" i="1"/>
  <c r="AU1176" i="1"/>
  <c r="AT1176" i="1"/>
  <c r="AV1175" i="1"/>
  <c r="AU1175" i="1"/>
  <c r="AT1175" i="1"/>
  <c r="AV1174" i="1"/>
  <c r="AU1174" i="1"/>
  <c r="AT1174" i="1"/>
  <c r="AV1173" i="1"/>
  <c r="AU1173" i="1"/>
  <c r="AT1173" i="1"/>
  <c r="AV1172" i="1"/>
  <c r="AU1172" i="1"/>
  <c r="AT1172" i="1"/>
  <c r="AV1171" i="1"/>
  <c r="AU1171" i="1"/>
  <c r="AT1171" i="1"/>
  <c r="AV1170" i="1"/>
  <c r="AU1170" i="1"/>
  <c r="AT1170" i="1"/>
  <c r="AV1169" i="1"/>
  <c r="AU1169" i="1"/>
  <c r="AT1169" i="1"/>
  <c r="AV1168" i="1"/>
  <c r="AU1168" i="1"/>
  <c r="AT1168" i="1"/>
  <c r="AV1167" i="1"/>
  <c r="AU1167" i="1"/>
  <c r="AV1166" i="1"/>
  <c r="AU1166" i="1"/>
  <c r="AT1166" i="1"/>
  <c r="AV1165" i="1"/>
  <c r="AU1165" i="1"/>
  <c r="AT1165" i="1"/>
  <c r="AV1164" i="1"/>
  <c r="AU1164" i="1"/>
  <c r="AV1163" i="1"/>
  <c r="AU1163" i="1"/>
  <c r="AV1162" i="1"/>
  <c r="AU1162" i="1"/>
  <c r="AT1162" i="1"/>
  <c r="AV1161" i="1"/>
  <c r="AU1161" i="1"/>
  <c r="AT1161" i="1"/>
  <c r="AV1160" i="1"/>
  <c r="AU1160" i="1"/>
  <c r="AT1160" i="1"/>
  <c r="AV1159" i="1"/>
  <c r="AU1159" i="1"/>
  <c r="AV1158" i="1"/>
  <c r="AU1158" i="1"/>
  <c r="AV1157" i="1"/>
  <c r="AU1157" i="1"/>
  <c r="AT1157" i="1"/>
  <c r="AV1156" i="1"/>
  <c r="AU1156" i="1"/>
  <c r="AV1155" i="1"/>
  <c r="AU1155" i="1"/>
  <c r="AT1155" i="1"/>
  <c r="AV1154" i="1"/>
  <c r="AU1154" i="1"/>
  <c r="AT1154" i="1"/>
  <c r="AV1153" i="1"/>
  <c r="AU1153" i="1"/>
  <c r="AV1152" i="1"/>
  <c r="AU1152" i="1"/>
  <c r="AV1151" i="1"/>
  <c r="AU1151" i="1"/>
  <c r="AV1150" i="1"/>
  <c r="AU1150" i="1"/>
  <c r="AV1149" i="1"/>
  <c r="AU1149" i="1"/>
  <c r="AV1148" i="1"/>
  <c r="AU1148" i="1"/>
  <c r="AT1148" i="1"/>
  <c r="AV1147" i="1"/>
  <c r="AU1147" i="1"/>
  <c r="AV1146" i="1"/>
  <c r="AU1146" i="1"/>
  <c r="AT1146" i="1"/>
  <c r="AV1145" i="1"/>
  <c r="AU1145" i="1"/>
  <c r="AT1145" i="1"/>
  <c r="AV1144" i="1"/>
  <c r="AU1144" i="1"/>
  <c r="AT1144" i="1"/>
  <c r="AV1143" i="1"/>
  <c r="AU1143" i="1"/>
  <c r="AT1143" i="1"/>
  <c r="AV1142" i="1"/>
  <c r="AU1142" i="1"/>
  <c r="AT1142" i="1"/>
  <c r="AV1141" i="1"/>
  <c r="AU1141" i="1"/>
  <c r="AT1141" i="1"/>
  <c r="AV1140" i="1"/>
  <c r="AU1140" i="1"/>
  <c r="AT1140" i="1"/>
  <c r="AV1139" i="1"/>
  <c r="AU1139" i="1"/>
  <c r="AT1139" i="1"/>
  <c r="AV1138" i="1"/>
  <c r="AU1138" i="1"/>
  <c r="AT1138" i="1"/>
  <c r="AV1137" i="1"/>
  <c r="AU1137" i="1"/>
  <c r="AT1137" i="1"/>
  <c r="AV1136" i="1"/>
  <c r="AU1136" i="1"/>
  <c r="AT1136" i="1"/>
  <c r="AV1135" i="1"/>
  <c r="AU1135" i="1"/>
  <c r="AT1135" i="1"/>
  <c r="AV1134" i="1"/>
  <c r="AU1134" i="1"/>
  <c r="AT1134" i="1"/>
  <c r="AV1133" i="1"/>
  <c r="AU1133" i="1"/>
  <c r="AT1133" i="1"/>
  <c r="AV1132" i="1"/>
  <c r="AU1132" i="1"/>
  <c r="AT1132" i="1"/>
  <c r="AV1131" i="1"/>
  <c r="AU1131" i="1"/>
  <c r="AV1130" i="1"/>
  <c r="AU1130" i="1"/>
  <c r="AT1130" i="1"/>
  <c r="AV1129" i="1"/>
  <c r="AU1129" i="1"/>
  <c r="AT1129" i="1"/>
  <c r="AV1128" i="1"/>
  <c r="AU1128" i="1"/>
  <c r="AT1128" i="1"/>
  <c r="AV1127" i="1"/>
  <c r="AU1127" i="1"/>
  <c r="AT1127" i="1"/>
  <c r="AV1126" i="1"/>
  <c r="AU1126" i="1"/>
  <c r="AV1125" i="1"/>
  <c r="AU1125" i="1"/>
  <c r="AV1124" i="1"/>
  <c r="AU1124" i="1"/>
  <c r="AV1123" i="1"/>
  <c r="AU1123" i="1"/>
  <c r="AT1123" i="1"/>
  <c r="AV1122" i="1"/>
  <c r="AU1122" i="1"/>
  <c r="AT1122" i="1"/>
  <c r="AV1121" i="1"/>
  <c r="AU1121" i="1"/>
  <c r="AV1120" i="1"/>
  <c r="AU1120" i="1"/>
  <c r="AV1119" i="1"/>
  <c r="AU1119" i="1"/>
  <c r="AT1119" i="1"/>
  <c r="AV1118" i="1"/>
  <c r="AU1118" i="1"/>
  <c r="AV1117" i="1"/>
  <c r="AU1117" i="1"/>
  <c r="AV1116" i="1"/>
  <c r="AU1116" i="1"/>
  <c r="AV1115" i="1"/>
  <c r="AU1115" i="1"/>
  <c r="AT1115" i="1"/>
  <c r="AV1114" i="1"/>
  <c r="AU1114" i="1"/>
  <c r="AT1114" i="1"/>
  <c r="AV1113" i="1"/>
  <c r="AU1113" i="1"/>
  <c r="AT1113" i="1"/>
  <c r="AV1112" i="1"/>
  <c r="AU1112" i="1"/>
  <c r="AT1112" i="1"/>
  <c r="AV1111" i="1"/>
  <c r="AU1111" i="1"/>
  <c r="AV1110" i="1"/>
  <c r="AU1110" i="1"/>
  <c r="AT1110" i="1"/>
  <c r="AV1109" i="1"/>
  <c r="AU1109" i="1"/>
  <c r="AT1109" i="1"/>
  <c r="AV1108" i="1"/>
  <c r="AU1108" i="1"/>
  <c r="AV1107" i="1"/>
  <c r="AU1107" i="1"/>
  <c r="AV1106" i="1"/>
  <c r="AU1106" i="1"/>
  <c r="AT1106" i="1"/>
  <c r="AV1105" i="1"/>
  <c r="AU1105" i="1"/>
  <c r="AT1105" i="1"/>
  <c r="AV1104" i="1"/>
  <c r="AU1104" i="1"/>
  <c r="AV1103" i="1"/>
  <c r="AU1103" i="1"/>
  <c r="AT1103" i="1"/>
  <c r="AV1102" i="1"/>
  <c r="AU1102" i="1"/>
  <c r="AT1102" i="1"/>
  <c r="AV1101" i="1"/>
  <c r="AU1101" i="1"/>
  <c r="AV1100" i="1"/>
  <c r="AU1100" i="1"/>
  <c r="AT1100" i="1"/>
  <c r="AV1099" i="1"/>
  <c r="AU1099" i="1"/>
  <c r="AT1099" i="1"/>
  <c r="AV1098" i="1"/>
  <c r="AU1098" i="1"/>
  <c r="AT1098" i="1"/>
  <c r="AV1097" i="1"/>
  <c r="AU1097" i="1"/>
  <c r="AT1097" i="1"/>
  <c r="AV1096" i="1"/>
  <c r="AU1096" i="1"/>
  <c r="AT1096" i="1"/>
  <c r="AV1095" i="1"/>
  <c r="AU1095" i="1"/>
  <c r="AT1095" i="1"/>
  <c r="AV1094" i="1"/>
  <c r="AU1094" i="1"/>
  <c r="AT1094" i="1"/>
  <c r="AV1093" i="1"/>
  <c r="AU1093" i="1"/>
  <c r="AT1093" i="1"/>
  <c r="AV1092" i="1"/>
  <c r="AU1092" i="1"/>
  <c r="AT1092" i="1"/>
  <c r="AV1091" i="1"/>
  <c r="AU1091" i="1"/>
  <c r="AV1090" i="1"/>
  <c r="AU1090" i="1"/>
  <c r="AT1090" i="1"/>
  <c r="AV1089" i="1"/>
  <c r="AU1089" i="1"/>
  <c r="AV1088" i="1"/>
  <c r="AU1088" i="1"/>
  <c r="AT1088" i="1"/>
  <c r="AV1087" i="1"/>
  <c r="AU1087" i="1"/>
  <c r="AV1086" i="1"/>
  <c r="AU1086" i="1"/>
  <c r="AT1086" i="1"/>
  <c r="AV1085" i="1"/>
  <c r="AU1085" i="1"/>
  <c r="AV1084" i="1"/>
  <c r="AU1084" i="1"/>
  <c r="AT1084" i="1"/>
  <c r="AV1083" i="1"/>
  <c r="AU1083" i="1"/>
  <c r="AT1083" i="1"/>
  <c r="AV1082" i="1"/>
  <c r="AU1082" i="1"/>
  <c r="AV1081" i="1"/>
  <c r="AU1081" i="1"/>
  <c r="AT1081" i="1"/>
  <c r="AV1080" i="1"/>
  <c r="AU1080" i="1"/>
  <c r="AT1080" i="1"/>
  <c r="AV1079" i="1"/>
  <c r="AU1079" i="1"/>
  <c r="AV1078" i="1"/>
  <c r="AU1078" i="1"/>
  <c r="AT1078" i="1"/>
  <c r="AV1077" i="1"/>
  <c r="AU1077" i="1"/>
  <c r="AV1076" i="1"/>
  <c r="AU1076" i="1"/>
  <c r="AT1076" i="1"/>
  <c r="AV1075" i="1"/>
  <c r="AU1075" i="1"/>
  <c r="AV1074" i="1"/>
  <c r="AU1074" i="1"/>
  <c r="AT1074" i="1"/>
  <c r="AV1073" i="1"/>
  <c r="AU1073" i="1"/>
  <c r="AT1073" i="1"/>
  <c r="AV1072" i="1"/>
  <c r="AU1072" i="1"/>
  <c r="AT1072" i="1"/>
  <c r="AV1071" i="1"/>
  <c r="AU1071" i="1"/>
  <c r="AT1071" i="1"/>
  <c r="AV1070" i="1"/>
  <c r="AU1070" i="1"/>
  <c r="AT1070" i="1"/>
  <c r="AV1069" i="1"/>
  <c r="AU1069" i="1"/>
  <c r="AV1068" i="1"/>
  <c r="AU1068" i="1"/>
  <c r="AT1068" i="1"/>
  <c r="AV1067" i="1"/>
  <c r="AU1067" i="1"/>
  <c r="AT1067" i="1"/>
  <c r="AV1066" i="1"/>
  <c r="AU1066" i="1"/>
  <c r="AV1065" i="1"/>
  <c r="AU1065" i="1"/>
  <c r="AT1065" i="1"/>
  <c r="AV1064" i="1"/>
  <c r="AU1064" i="1"/>
  <c r="AT1064" i="1"/>
  <c r="AV1063" i="1"/>
  <c r="AU1063" i="1"/>
  <c r="AT1063" i="1"/>
  <c r="AV1062" i="1"/>
  <c r="AU1062" i="1"/>
  <c r="AT1062" i="1"/>
  <c r="AV1061" i="1"/>
  <c r="AU1061" i="1"/>
  <c r="AV1060" i="1"/>
  <c r="AU1060" i="1"/>
  <c r="AV1059" i="1"/>
  <c r="AU1059" i="1"/>
  <c r="AT1059" i="1"/>
  <c r="AV1058" i="1"/>
  <c r="AU1058" i="1"/>
  <c r="AT1058" i="1"/>
  <c r="AV1057" i="1"/>
  <c r="AU1057" i="1"/>
  <c r="AV1056" i="1"/>
  <c r="AU1056" i="1"/>
  <c r="AV1055" i="1"/>
  <c r="AU1055" i="1"/>
  <c r="AT1055" i="1"/>
  <c r="AV1054" i="1"/>
  <c r="AU1054" i="1"/>
  <c r="AT1054" i="1"/>
  <c r="AV1053" i="1"/>
  <c r="AU1053" i="1"/>
  <c r="AT1053" i="1"/>
  <c r="AV1052" i="1"/>
  <c r="AU1052" i="1"/>
  <c r="AT1052" i="1"/>
  <c r="AV1051" i="1"/>
  <c r="AU1051" i="1"/>
  <c r="AT1051" i="1"/>
  <c r="AV1050" i="1"/>
  <c r="AU1050" i="1"/>
  <c r="AT1050" i="1"/>
  <c r="AV1049" i="1"/>
  <c r="AU1049" i="1"/>
  <c r="AT1049" i="1"/>
  <c r="AV1048" i="1"/>
  <c r="AU1048" i="1"/>
  <c r="AT1048" i="1"/>
  <c r="AV1047" i="1"/>
  <c r="AU1047" i="1"/>
  <c r="AV1046" i="1"/>
  <c r="AU1046" i="1"/>
  <c r="AT1046" i="1"/>
  <c r="AV1045" i="1"/>
  <c r="AU1045" i="1"/>
  <c r="AT1045" i="1"/>
  <c r="AV1044" i="1"/>
  <c r="AU1044" i="1"/>
  <c r="AT1044" i="1"/>
  <c r="AV1043" i="1"/>
  <c r="AU1043" i="1"/>
  <c r="AT1043" i="1"/>
  <c r="AV1042" i="1"/>
  <c r="AU1042" i="1"/>
  <c r="AV1041" i="1"/>
  <c r="AU1041" i="1"/>
  <c r="AV1040" i="1"/>
  <c r="AU1040" i="1"/>
  <c r="AV1039" i="1"/>
  <c r="AU1039" i="1"/>
  <c r="AV1038" i="1"/>
  <c r="AU1038" i="1"/>
  <c r="AV1037" i="1"/>
  <c r="AU1037" i="1"/>
  <c r="AT1037" i="1"/>
  <c r="AV1036" i="1"/>
  <c r="AU1036" i="1"/>
  <c r="AV1035" i="1"/>
  <c r="AU1035" i="1"/>
  <c r="AV1034" i="1"/>
  <c r="AU1034" i="1"/>
  <c r="AV1033" i="1"/>
  <c r="AU1033" i="1"/>
  <c r="AV1032" i="1"/>
  <c r="AU1032" i="1"/>
  <c r="AV1031" i="1"/>
  <c r="AU1031" i="1"/>
  <c r="AT1031" i="1"/>
  <c r="AV1030" i="1"/>
  <c r="AU1030" i="1"/>
  <c r="AT1030" i="1"/>
  <c r="AV1029" i="1"/>
  <c r="AU1029" i="1"/>
  <c r="AT1029" i="1"/>
  <c r="AV1028" i="1"/>
  <c r="AU1028" i="1"/>
  <c r="AV1027" i="1"/>
  <c r="AU1027" i="1"/>
  <c r="AT1027" i="1"/>
  <c r="AV1026" i="1"/>
  <c r="AU1026" i="1"/>
  <c r="AT1026" i="1"/>
  <c r="AV1025" i="1"/>
  <c r="AU1025" i="1"/>
  <c r="AT1025" i="1"/>
  <c r="AV1024" i="1"/>
  <c r="AU1024" i="1"/>
  <c r="AT1024" i="1"/>
  <c r="AV1023" i="1"/>
  <c r="AU1023" i="1"/>
  <c r="AV1022" i="1"/>
  <c r="AU1022" i="1"/>
  <c r="AV1021" i="1"/>
  <c r="AU1021" i="1"/>
  <c r="AV1020" i="1"/>
  <c r="AU1020" i="1"/>
  <c r="AT1020" i="1"/>
  <c r="AV1019" i="1"/>
  <c r="AU1019" i="1"/>
  <c r="AT1019" i="1"/>
  <c r="AV1018" i="1"/>
  <c r="AU1018" i="1"/>
  <c r="AT1018" i="1"/>
  <c r="AV1017" i="1"/>
  <c r="AU1017" i="1"/>
  <c r="AT1017" i="1"/>
  <c r="AV1016" i="1"/>
  <c r="AU1016" i="1"/>
  <c r="AT1016" i="1"/>
  <c r="AV1015" i="1"/>
  <c r="AU1015" i="1"/>
  <c r="AT1015" i="1"/>
  <c r="AV1014" i="1"/>
  <c r="AU1014" i="1"/>
  <c r="AV1013" i="1"/>
  <c r="AU1013" i="1"/>
  <c r="AT1013" i="1"/>
  <c r="AV1012" i="1"/>
  <c r="AU1012" i="1"/>
  <c r="AT1012" i="1"/>
  <c r="AV1011" i="1"/>
  <c r="AU1011" i="1"/>
  <c r="AT1011" i="1"/>
  <c r="AV1010" i="1"/>
  <c r="AU1010" i="1"/>
  <c r="AV1009" i="1"/>
  <c r="AU1009" i="1"/>
  <c r="AV1008" i="1"/>
  <c r="AU1008" i="1"/>
  <c r="AV1007" i="1"/>
  <c r="AU1007" i="1"/>
  <c r="AT1007" i="1"/>
  <c r="AV1006" i="1"/>
  <c r="AU1006" i="1"/>
  <c r="AT1006" i="1"/>
  <c r="AV1005" i="1"/>
  <c r="AU1005" i="1"/>
  <c r="AV1004" i="1"/>
  <c r="AU1004" i="1"/>
  <c r="AT1004" i="1"/>
  <c r="AV1003" i="1"/>
  <c r="AU1003" i="1"/>
  <c r="AT1003" i="1"/>
  <c r="AV1002" i="1"/>
  <c r="AU1002" i="1"/>
  <c r="AT1002" i="1"/>
  <c r="AV1001" i="1"/>
  <c r="AU1001" i="1"/>
  <c r="AT1001" i="1"/>
  <c r="AV1000" i="1"/>
  <c r="AU1000" i="1"/>
  <c r="AT1000" i="1"/>
  <c r="AV999" i="1"/>
  <c r="AU999" i="1"/>
  <c r="AT999" i="1"/>
  <c r="AV998" i="1"/>
  <c r="AU998" i="1"/>
  <c r="AT998" i="1"/>
  <c r="AV997" i="1"/>
  <c r="AU997" i="1"/>
  <c r="AT997" i="1"/>
  <c r="AV996" i="1"/>
  <c r="AU996" i="1"/>
  <c r="AT996" i="1"/>
  <c r="AV995" i="1"/>
  <c r="AU995" i="1"/>
  <c r="AT995" i="1"/>
  <c r="AV994" i="1"/>
  <c r="AU994" i="1"/>
  <c r="AT994" i="1"/>
  <c r="AV993" i="1"/>
  <c r="AU993" i="1"/>
  <c r="AT993" i="1"/>
  <c r="AV992" i="1"/>
  <c r="AU992" i="1"/>
  <c r="AV991" i="1"/>
  <c r="AU991" i="1"/>
  <c r="AT991" i="1"/>
  <c r="AV990" i="1"/>
  <c r="AU990" i="1"/>
  <c r="AT990" i="1"/>
  <c r="AV989" i="1"/>
  <c r="AU989" i="1"/>
  <c r="AT989" i="1"/>
  <c r="AV988" i="1"/>
  <c r="AU988" i="1"/>
  <c r="AT988" i="1"/>
  <c r="AV987" i="1"/>
  <c r="AU987" i="1"/>
  <c r="AT987" i="1"/>
  <c r="AV986" i="1"/>
  <c r="AU986" i="1"/>
  <c r="AT986" i="1"/>
  <c r="AV985" i="1"/>
  <c r="AU985" i="1"/>
  <c r="AV984" i="1"/>
  <c r="AU984" i="1"/>
  <c r="AT984" i="1"/>
  <c r="AV983" i="1"/>
  <c r="AU983" i="1"/>
  <c r="AT983" i="1"/>
  <c r="AV982" i="1"/>
  <c r="AU982" i="1"/>
  <c r="AT982" i="1"/>
  <c r="AV981" i="1"/>
  <c r="AU981" i="1"/>
  <c r="AT981" i="1"/>
  <c r="AV980" i="1"/>
  <c r="AU980" i="1"/>
  <c r="AT980" i="1"/>
  <c r="AV979" i="1"/>
  <c r="AU979" i="1"/>
  <c r="AV978" i="1"/>
  <c r="AU978" i="1"/>
  <c r="AT978" i="1"/>
  <c r="AV977" i="1"/>
  <c r="AU977" i="1"/>
  <c r="AT977" i="1"/>
  <c r="AV976" i="1"/>
  <c r="AU976" i="1"/>
  <c r="AV975" i="1"/>
  <c r="AU975" i="1"/>
  <c r="AV974" i="1"/>
  <c r="AU974" i="1"/>
  <c r="AT974" i="1"/>
  <c r="AV973" i="1"/>
  <c r="AU973" i="1"/>
  <c r="AT973" i="1"/>
  <c r="AV972" i="1"/>
  <c r="AU972" i="1"/>
  <c r="AT972" i="1"/>
  <c r="AV971" i="1"/>
  <c r="AU971" i="1"/>
  <c r="AT971" i="1"/>
  <c r="AV970" i="1"/>
  <c r="AU970" i="1"/>
  <c r="AT970" i="1"/>
  <c r="AV969" i="1"/>
  <c r="AU969" i="1"/>
  <c r="AT969" i="1"/>
  <c r="AV968" i="1"/>
  <c r="AU968" i="1"/>
  <c r="AT968" i="1"/>
  <c r="AV967" i="1"/>
  <c r="AU967" i="1"/>
  <c r="AV966" i="1"/>
  <c r="AU966" i="1"/>
  <c r="AT966" i="1"/>
  <c r="AV965" i="1"/>
  <c r="AU965" i="1"/>
  <c r="AV964" i="1"/>
  <c r="AU964" i="1"/>
  <c r="AV963" i="1"/>
  <c r="AU963" i="1"/>
  <c r="AT963" i="1"/>
  <c r="AV962" i="1"/>
  <c r="AU962" i="1"/>
  <c r="AT962" i="1"/>
  <c r="AV961" i="1"/>
  <c r="AU961" i="1"/>
  <c r="AV960" i="1"/>
  <c r="AU960" i="1"/>
  <c r="AT960" i="1"/>
  <c r="AV959" i="1"/>
  <c r="AU959" i="1"/>
  <c r="AV958" i="1"/>
  <c r="AU958" i="1"/>
  <c r="AT958" i="1"/>
  <c r="AV957" i="1"/>
  <c r="AU957" i="1"/>
  <c r="AV956" i="1"/>
  <c r="AU956" i="1"/>
  <c r="AV955" i="1"/>
  <c r="AU955" i="1"/>
  <c r="AV954" i="1"/>
  <c r="AU954" i="1"/>
  <c r="AT954" i="1"/>
  <c r="AV953" i="1"/>
  <c r="AU953" i="1"/>
  <c r="AT953" i="1"/>
  <c r="AV952" i="1"/>
  <c r="AU952" i="1"/>
  <c r="AT952" i="1"/>
  <c r="AV951" i="1"/>
  <c r="AU951" i="1"/>
  <c r="AT951" i="1"/>
  <c r="AV950" i="1"/>
  <c r="AU950" i="1"/>
  <c r="AT950" i="1"/>
  <c r="AV949" i="1"/>
  <c r="AU949" i="1"/>
  <c r="AT949" i="1"/>
  <c r="AV948" i="1"/>
  <c r="AU948" i="1"/>
  <c r="AT948" i="1"/>
  <c r="AV947" i="1"/>
  <c r="AU947" i="1"/>
  <c r="AV946" i="1"/>
  <c r="AU946" i="1"/>
  <c r="AT946" i="1"/>
  <c r="AV945" i="1"/>
  <c r="AU945" i="1"/>
  <c r="AT945" i="1"/>
  <c r="AV944" i="1"/>
  <c r="AU944" i="1"/>
  <c r="AV943" i="1"/>
  <c r="AU943" i="1"/>
  <c r="AT943" i="1"/>
  <c r="AV942" i="1"/>
  <c r="AU942" i="1"/>
  <c r="AV941" i="1"/>
  <c r="AU941" i="1"/>
  <c r="AT941" i="1"/>
  <c r="AV940" i="1"/>
  <c r="AU940" i="1"/>
  <c r="AT940" i="1"/>
  <c r="AV939" i="1"/>
  <c r="AU939" i="1"/>
  <c r="AV938" i="1"/>
  <c r="AU938" i="1"/>
  <c r="AT938" i="1"/>
  <c r="AV937" i="1"/>
  <c r="AU937" i="1"/>
  <c r="AT937" i="1"/>
  <c r="AV936" i="1"/>
  <c r="AU936" i="1"/>
  <c r="AV935" i="1"/>
  <c r="AU935" i="1"/>
  <c r="AT935" i="1"/>
  <c r="AV934" i="1"/>
  <c r="AU934" i="1"/>
  <c r="AT934" i="1"/>
  <c r="AV933" i="1"/>
  <c r="AU933" i="1"/>
  <c r="AT933" i="1"/>
  <c r="AV932" i="1"/>
  <c r="AU932" i="1"/>
  <c r="AT932" i="1"/>
  <c r="AV931" i="1"/>
  <c r="AU931" i="1"/>
  <c r="AT931" i="1"/>
  <c r="AV930" i="1"/>
  <c r="AU930" i="1"/>
  <c r="AT930" i="1"/>
  <c r="AV929" i="1"/>
  <c r="AU929" i="1"/>
  <c r="AT929" i="1"/>
  <c r="AV928" i="1"/>
  <c r="AU928" i="1"/>
  <c r="AT928" i="1"/>
  <c r="AV927" i="1"/>
  <c r="AU927" i="1"/>
  <c r="AT927" i="1"/>
  <c r="AV926" i="1"/>
  <c r="AU926" i="1"/>
  <c r="AT926" i="1"/>
  <c r="AV925" i="1"/>
  <c r="AU925" i="1"/>
  <c r="AT925" i="1"/>
  <c r="AV924" i="1"/>
  <c r="AU924" i="1"/>
  <c r="AV923" i="1"/>
  <c r="AU923" i="1"/>
  <c r="AT923" i="1"/>
  <c r="AV922" i="1"/>
  <c r="AU922" i="1"/>
  <c r="AT922" i="1"/>
  <c r="AV921" i="1"/>
  <c r="AU921" i="1"/>
  <c r="AV920" i="1"/>
  <c r="AU920" i="1"/>
  <c r="AT920" i="1"/>
  <c r="AV919" i="1"/>
  <c r="AU919" i="1"/>
  <c r="AV918" i="1"/>
  <c r="AU918" i="1"/>
  <c r="AT918" i="1"/>
  <c r="AV917" i="1"/>
  <c r="AU917" i="1"/>
  <c r="AT917" i="1"/>
  <c r="AV916" i="1"/>
  <c r="AU916" i="1"/>
  <c r="AT916" i="1"/>
  <c r="AV915" i="1"/>
  <c r="AU915" i="1"/>
  <c r="AT915" i="1"/>
  <c r="AV914" i="1"/>
  <c r="AU914" i="1"/>
  <c r="AT914" i="1"/>
  <c r="AV913" i="1"/>
  <c r="AU913" i="1"/>
  <c r="AT913" i="1"/>
  <c r="AV912" i="1"/>
  <c r="AU912" i="1"/>
  <c r="AT912" i="1"/>
  <c r="AV911" i="1"/>
  <c r="AU911" i="1"/>
  <c r="AV910" i="1"/>
  <c r="AU910" i="1"/>
  <c r="AT910" i="1"/>
  <c r="AV909" i="1"/>
  <c r="AU909" i="1"/>
  <c r="AV908" i="1"/>
  <c r="AU908" i="1"/>
  <c r="AV907" i="1"/>
  <c r="AU907" i="1"/>
  <c r="AT907" i="1"/>
  <c r="AV906" i="1"/>
  <c r="AU906" i="1"/>
  <c r="AV905" i="1"/>
  <c r="AU905" i="1"/>
  <c r="AV904" i="1"/>
  <c r="AU904" i="1"/>
  <c r="AT904" i="1"/>
  <c r="AV903" i="1"/>
  <c r="AU903" i="1"/>
  <c r="AV902" i="1"/>
  <c r="AU902" i="1"/>
  <c r="AT902" i="1"/>
  <c r="AV901" i="1"/>
  <c r="AU901" i="1"/>
  <c r="AT901" i="1"/>
  <c r="AV900" i="1"/>
  <c r="AU900" i="1"/>
  <c r="AT900" i="1"/>
  <c r="AV899" i="1"/>
  <c r="AU899" i="1"/>
  <c r="AT899" i="1"/>
  <c r="AV898" i="1"/>
  <c r="AU898" i="1"/>
  <c r="AT898" i="1"/>
  <c r="AV897" i="1"/>
  <c r="AU897" i="1"/>
  <c r="AV896" i="1"/>
  <c r="AU896" i="1"/>
  <c r="AV895" i="1"/>
  <c r="AU895" i="1"/>
  <c r="AT895" i="1"/>
  <c r="AV894" i="1"/>
  <c r="AU894" i="1"/>
  <c r="AV893" i="1"/>
  <c r="AU893" i="1"/>
  <c r="AV892" i="1"/>
  <c r="AU892" i="1"/>
  <c r="AV891" i="1"/>
  <c r="AU891" i="1"/>
  <c r="AV890" i="1"/>
  <c r="AU890" i="1"/>
  <c r="AV889" i="1"/>
  <c r="AU889" i="1"/>
  <c r="AT889" i="1"/>
  <c r="AV888" i="1"/>
  <c r="AU888" i="1"/>
  <c r="AT888" i="1"/>
  <c r="AV887" i="1"/>
  <c r="AU887" i="1"/>
  <c r="AV886" i="1"/>
  <c r="AU886" i="1"/>
  <c r="AT886" i="1"/>
  <c r="AV885" i="1"/>
  <c r="AU885" i="1"/>
  <c r="AT885" i="1"/>
  <c r="AV884" i="1"/>
  <c r="AU884" i="1"/>
  <c r="AV883" i="1"/>
  <c r="AU883" i="1"/>
  <c r="AT883" i="1"/>
  <c r="AV882" i="1"/>
  <c r="AU882" i="1"/>
  <c r="AT882" i="1"/>
  <c r="AV881" i="1"/>
  <c r="AU881" i="1"/>
  <c r="AV880" i="1"/>
  <c r="AU880" i="1"/>
  <c r="AT880" i="1"/>
  <c r="AV879" i="1"/>
  <c r="AU879" i="1"/>
  <c r="AT879" i="1"/>
  <c r="AV878" i="1"/>
  <c r="AU878" i="1"/>
  <c r="AT878" i="1"/>
  <c r="AV877" i="1"/>
  <c r="AU877" i="1"/>
  <c r="AT877" i="1"/>
  <c r="AV876" i="1"/>
  <c r="AU876" i="1"/>
  <c r="AT876" i="1"/>
  <c r="AV875" i="1"/>
  <c r="AU875" i="1"/>
  <c r="AT875" i="1"/>
  <c r="AV874" i="1"/>
  <c r="AU874" i="1"/>
  <c r="AV873" i="1"/>
  <c r="AU873" i="1"/>
  <c r="AV872" i="1"/>
  <c r="AU872" i="1"/>
  <c r="AV871" i="1"/>
  <c r="AU871" i="1"/>
  <c r="AT871" i="1"/>
  <c r="AV870" i="1"/>
  <c r="AU870" i="1"/>
  <c r="AT870" i="1"/>
  <c r="AV869" i="1"/>
  <c r="AU869" i="1"/>
  <c r="AV868" i="1"/>
  <c r="AU868" i="1"/>
  <c r="AT868" i="1"/>
  <c r="AV867" i="1"/>
  <c r="AU867" i="1"/>
  <c r="AT867" i="1"/>
  <c r="AV866" i="1"/>
  <c r="AU866" i="1"/>
  <c r="AT866" i="1"/>
  <c r="AV865" i="1"/>
  <c r="AU865" i="1"/>
  <c r="AV864" i="1"/>
  <c r="AU864" i="1"/>
  <c r="AV863" i="1"/>
  <c r="AU863" i="1"/>
  <c r="AT863" i="1"/>
  <c r="AV862" i="1"/>
  <c r="AU862" i="1"/>
  <c r="AT862" i="1"/>
  <c r="AV861" i="1"/>
  <c r="AU861" i="1"/>
  <c r="AT861" i="1"/>
  <c r="AV860" i="1"/>
  <c r="AU860" i="1"/>
  <c r="AT860" i="1"/>
  <c r="AV859" i="1"/>
  <c r="AU859" i="1"/>
  <c r="AT859" i="1"/>
  <c r="AV858" i="1"/>
  <c r="AU858" i="1"/>
  <c r="AT858" i="1"/>
  <c r="AV857" i="1"/>
  <c r="AU857" i="1"/>
  <c r="AT857" i="1"/>
  <c r="AV856" i="1"/>
  <c r="AU856" i="1"/>
  <c r="AT856" i="1"/>
  <c r="AV855" i="1"/>
  <c r="AU855" i="1"/>
  <c r="AT855" i="1"/>
  <c r="AV854" i="1"/>
  <c r="AU854" i="1"/>
  <c r="AV853" i="1"/>
  <c r="AU853" i="1"/>
  <c r="AT853" i="1"/>
  <c r="AV852" i="1"/>
  <c r="AU852" i="1"/>
  <c r="AT852" i="1"/>
  <c r="AV851" i="1"/>
  <c r="AU851" i="1"/>
  <c r="AT851" i="1"/>
  <c r="AV850" i="1"/>
  <c r="AU850" i="1"/>
  <c r="AT850" i="1"/>
  <c r="AV849" i="1"/>
  <c r="AU849" i="1"/>
  <c r="AT849" i="1"/>
  <c r="AV848" i="1"/>
  <c r="AU848" i="1"/>
  <c r="AT848" i="1"/>
  <c r="AV847" i="1"/>
  <c r="AU847" i="1"/>
  <c r="AV846" i="1"/>
  <c r="AU846" i="1"/>
  <c r="AT846" i="1"/>
  <c r="AV845" i="1"/>
  <c r="AU845" i="1"/>
  <c r="AT845" i="1"/>
  <c r="AV844" i="1"/>
  <c r="AU844" i="1"/>
  <c r="AT844" i="1"/>
  <c r="AV843" i="1"/>
  <c r="AU843" i="1"/>
  <c r="AT843" i="1"/>
  <c r="AV842" i="1"/>
  <c r="AU842" i="1"/>
  <c r="AT842" i="1"/>
  <c r="AV841" i="1"/>
  <c r="AU841" i="1"/>
  <c r="AT841" i="1"/>
  <c r="AV840" i="1"/>
  <c r="AU840" i="1"/>
  <c r="AV839" i="1"/>
  <c r="AU839" i="1"/>
  <c r="AV838" i="1"/>
  <c r="AU838" i="1"/>
  <c r="AT838" i="1"/>
  <c r="AV837" i="1"/>
  <c r="AU837" i="1"/>
  <c r="AT837" i="1"/>
  <c r="AV836" i="1"/>
  <c r="AU836" i="1"/>
  <c r="AT836" i="1"/>
  <c r="AV835" i="1"/>
  <c r="AU835" i="1"/>
  <c r="AT835" i="1"/>
  <c r="AV834" i="1"/>
  <c r="AU834" i="1"/>
  <c r="AT834" i="1"/>
  <c r="AV833" i="1"/>
  <c r="AU833" i="1"/>
  <c r="AV832" i="1"/>
  <c r="AU832" i="1"/>
  <c r="AT832" i="1"/>
  <c r="AV831" i="1"/>
  <c r="AU831" i="1"/>
  <c r="AV830" i="1"/>
  <c r="AU830" i="1"/>
  <c r="AT830" i="1"/>
  <c r="AV829" i="1"/>
  <c r="AU829" i="1"/>
  <c r="AV828" i="1"/>
  <c r="AU828" i="1"/>
  <c r="AT828" i="1"/>
  <c r="AV827" i="1"/>
  <c r="AU827" i="1"/>
  <c r="AT827" i="1"/>
  <c r="AV826" i="1"/>
  <c r="AU826" i="1"/>
  <c r="AV825" i="1"/>
  <c r="AU825" i="1"/>
  <c r="AT825" i="1"/>
  <c r="AV824" i="1"/>
  <c r="AU824" i="1"/>
  <c r="AV823" i="1"/>
  <c r="AU823" i="1"/>
  <c r="AV822" i="1"/>
  <c r="AU822" i="1"/>
  <c r="AT822" i="1"/>
  <c r="AV821" i="1"/>
  <c r="AU821" i="1"/>
  <c r="AT821" i="1"/>
  <c r="AV820" i="1"/>
  <c r="AU820" i="1"/>
  <c r="AT820" i="1"/>
  <c r="AV819" i="1"/>
  <c r="AU819" i="1"/>
  <c r="AT819" i="1"/>
  <c r="AV818" i="1"/>
  <c r="AU818" i="1"/>
  <c r="AT818" i="1"/>
  <c r="AV817" i="1"/>
  <c r="AU817" i="1"/>
  <c r="AT817" i="1"/>
  <c r="AV816" i="1"/>
  <c r="AU816" i="1"/>
  <c r="AV815" i="1"/>
  <c r="AU815" i="1"/>
  <c r="AT815" i="1"/>
  <c r="AV814" i="1"/>
  <c r="AU814" i="1"/>
  <c r="AT814" i="1"/>
  <c r="AV813" i="1"/>
  <c r="AU813" i="1"/>
  <c r="AT813" i="1"/>
  <c r="AV812" i="1"/>
  <c r="AU812" i="1"/>
  <c r="AT812" i="1"/>
  <c r="AV811" i="1"/>
  <c r="AU811" i="1"/>
  <c r="AT811" i="1"/>
  <c r="AV810" i="1"/>
  <c r="AU810" i="1"/>
  <c r="AT810" i="1"/>
  <c r="AV809" i="1"/>
  <c r="AU809" i="1"/>
  <c r="AT809" i="1"/>
  <c r="AV808" i="1"/>
  <c r="AU808" i="1"/>
  <c r="AV807" i="1"/>
  <c r="AU807" i="1"/>
  <c r="AT807" i="1"/>
  <c r="AV806" i="1"/>
  <c r="AU806" i="1"/>
  <c r="AT806" i="1"/>
  <c r="AV805" i="1"/>
  <c r="AU805" i="1"/>
  <c r="AT805" i="1"/>
  <c r="AV804" i="1"/>
  <c r="AU804" i="1"/>
  <c r="AT804" i="1"/>
  <c r="AV803" i="1"/>
  <c r="AU803" i="1"/>
  <c r="AT803" i="1"/>
  <c r="AV802" i="1"/>
  <c r="AU802" i="1"/>
  <c r="AT802" i="1"/>
  <c r="AV801" i="1"/>
  <c r="AU801" i="1"/>
  <c r="AT801" i="1"/>
  <c r="AV800" i="1"/>
  <c r="AU800" i="1"/>
  <c r="AV799" i="1"/>
  <c r="AU799" i="1"/>
  <c r="AT799" i="1"/>
  <c r="AV798" i="1"/>
  <c r="AU798" i="1"/>
  <c r="AT798" i="1"/>
  <c r="AV797" i="1"/>
  <c r="AU797" i="1"/>
  <c r="AT797" i="1"/>
  <c r="AV796" i="1"/>
  <c r="AU796" i="1"/>
  <c r="AV795" i="1"/>
  <c r="AU795" i="1"/>
  <c r="AT795" i="1"/>
  <c r="AV794" i="1"/>
  <c r="AU794" i="1"/>
  <c r="AT794" i="1"/>
  <c r="AV793" i="1"/>
  <c r="AU793" i="1"/>
  <c r="AT793" i="1"/>
  <c r="AV792" i="1"/>
  <c r="AU792" i="1"/>
  <c r="AT792" i="1"/>
  <c r="AV791" i="1"/>
  <c r="AU791" i="1"/>
  <c r="AT791" i="1"/>
  <c r="AV790" i="1"/>
  <c r="AU790" i="1"/>
  <c r="AT790" i="1"/>
  <c r="AV789" i="1"/>
  <c r="AU789" i="1"/>
  <c r="AT789" i="1"/>
  <c r="AV788" i="1"/>
  <c r="AU788" i="1"/>
  <c r="AT788" i="1"/>
  <c r="AV787" i="1"/>
  <c r="AU787" i="1"/>
  <c r="AT787" i="1"/>
  <c r="AV786" i="1"/>
  <c r="AU786" i="1"/>
  <c r="AV785" i="1"/>
  <c r="AU785" i="1"/>
  <c r="AT785" i="1"/>
  <c r="AV784" i="1"/>
  <c r="AU784" i="1"/>
  <c r="AV783" i="1"/>
  <c r="AU783" i="1"/>
  <c r="AV782" i="1"/>
  <c r="AU782" i="1"/>
  <c r="AT782" i="1"/>
  <c r="AV781" i="1"/>
  <c r="AU781" i="1"/>
  <c r="AT781" i="1"/>
  <c r="AV780" i="1"/>
  <c r="AU780" i="1"/>
  <c r="AT780" i="1"/>
  <c r="AV779" i="1"/>
  <c r="AU779" i="1"/>
  <c r="AT779" i="1"/>
  <c r="AV778" i="1"/>
  <c r="AU778" i="1"/>
  <c r="AT778" i="1"/>
  <c r="AV777" i="1"/>
  <c r="AU777" i="1"/>
  <c r="AT777" i="1"/>
  <c r="AV776" i="1"/>
  <c r="AU776" i="1"/>
  <c r="AT776" i="1"/>
  <c r="AV775" i="1"/>
  <c r="AU775" i="1"/>
  <c r="AT775" i="1"/>
  <c r="AV774" i="1"/>
  <c r="AU774" i="1"/>
  <c r="AT774" i="1"/>
  <c r="AV773" i="1"/>
  <c r="AU773" i="1"/>
  <c r="AT773" i="1"/>
  <c r="AV772" i="1"/>
  <c r="AU772" i="1"/>
  <c r="AT772" i="1"/>
  <c r="AV771" i="1"/>
  <c r="AU771" i="1"/>
  <c r="AT771" i="1"/>
  <c r="AV770" i="1"/>
  <c r="AU770" i="1"/>
  <c r="AT770" i="1"/>
  <c r="AV769" i="1"/>
  <c r="AU769" i="1"/>
  <c r="AV768" i="1"/>
  <c r="AU768" i="1"/>
  <c r="AV767" i="1"/>
  <c r="AU767" i="1"/>
  <c r="AT767" i="1"/>
  <c r="AV766" i="1"/>
  <c r="AU766" i="1"/>
  <c r="AT766" i="1"/>
  <c r="AV765" i="1"/>
  <c r="AU765" i="1"/>
  <c r="AT765" i="1"/>
  <c r="AV764" i="1"/>
  <c r="AU764" i="1"/>
  <c r="AT764" i="1"/>
  <c r="AV763" i="1"/>
  <c r="AU763" i="1"/>
  <c r="AV762" i="1"/>
  <c r="AU762" i="1"/>
  <c r="AT762" i="1"/>
  <c r="AV761" i="1"/>
  <c r="AU761" i="1"/>
  <c r="AT761" i="1"/>
  <c r="AV760" i="1"/>
  <c r="AU760" i="1"/>
  <c r="AT760" i="1"/>
  <c r="AV759" i="1"/>
  <c r="AU759" i="1"/>
  <c r="AV758" i="1"/>
  <c r="AU758" i="1"/>
  <c r="AT758" i="1"/>
  <c r="AV757" i="1"/>
  <c r="AU757" i="1"/>
  <c r="AT757" i="1"/>
  <c r="AV756" i="1"/>
  <c r="AU756" i="1"/>
  <c r="AT756" i="1"/>
  <c r="AV755" i="1"/>
  <c r="AU755" i="1"/>
  <c r="AT755" i="1"/>
  <c r="AV754" i="1"/>
  <c r="AU754" i="1"/>
  <c r="AT754" i="1"/>
  <c r="AV753" i="1"/>
  <c r="AU753" i="1"/>
  <c r="AV752" i="1"/>
  <c r="AU752" i="1"/>
  <c r="AT752" i="1"/>
  <c r="AV751" i="1"/>
  <c r="AU751" i="1"/>
  <c r="AT751" i="1"/>
  <c r="AV750" i="1"/>
  <c r="AU750" i="1"/>
  <c r="AT750" i="1"/>
  <c r="AV749" i="1"/>
  <c r="AU749" i="1"/>
  <c r="AT749" i="1"/>
  <c r="AV748" i="1"/>
  <c r="AU748" i="1"/>
  <c r="AV747" i="1"/>
  <c r="AU747" i="1"/>
  <c r="AV746" i="1"/>
  <c r="AU746" i="1"/>
  <c r="AT746" i="1"/>
  <c r="AV745" i="1"/>
  <c r="AU745" i="1"/>
  <c r="AT745" i="1"/>
  <c r="AV744" i="1"/>
  <c r="AU744" i="1"/>
  <c r="AV743" i="1"/>
  <c r="AU743" i="1"/>
  <c r="AT743" i="1"/>
  <c r="AV742" i="1"/>
  <c r="AU742" i="1"/>
  <c r="AT742" i="1"/>
  <c r="AV741" i="1"/>
  <c r="AU741" i="1"/>
  <c r="AT741" i="1"/>
  <c r="AV740" i="1"/>
  <c r="AU740" i="1"/>
  <c r="AT740" i="1"/>
  <c r="AV739" i="1"/>
  <c r="AU739" i="1"/>
  <c r="AV738" i="1"/>
  <c r="AU738" i="1"/>
  <c r="AV737" i="1"/>
  <c r="AU737" i="1"/>
  <c r="AT737" i="1"/>
  <c r="AV736" i="1"/>
  <c r="AU736" i="1"/>
  <c r="AV735" i="1"/>
  <c r="AU735" i="1"/>
  <c r="AV734" i="1"/>
  <c r="AU734" i="1"/>
  <c r="AT734" i="1"/>
  <c r="AV733" i="1"/>
  <c r="AU733" i="1"/>
  <c r="AT733" i="1"/>
  <c r="AV732" i="1"/>
  <c r="AU732" i="1"/>
  <c r="AT732" i="1"/>
  <c r="AV731" i="1"/>
  <c r="AU731" i="1"/>
  <c r="AT731" i="1"/>
  <c r="AV730" i="1"/>
  <c r="AU730" i="1"/>
  <c r="AV729" i="1"/>
  <c r="AU729" i="1"/>
  <c r="AV728" i="1"/>
  <c r="AU728" i="1"/>
  <c r="AT728" i="1"/>
  <c r="AV727" i="1"/>
  <c r="AU727" i="1"/>
  <c r="AT727" i="1"/>
  <c r="AV726" i="1"/>
  <c r="AU726" i="1"/>
  <c r="AT726" i="1"/>
  <c r="AV725" i="1"/>
  <c r="AU725" i="1"/>
  <c r="AV724" i="1"/>
  <c r="AU724" i="1"/>
  <c r="AT724" i="1"/>
  <c r="AV723" i="1"/>
  <c r="AU723" i="1"/>
  <c r="AT723" i="1"/>
  <c r="AV722" i="1"/>
  <c r="AU722" i="1"/>
  <c r="AT722" i="1"/>
  <c r="AV721" i="1"/>
  <c r="AU721" i="1"/>
  <c r="AT721" i="1"/>
  <c r="AV720" i="1"/>
  <c r="AU720" i="1"/>
  <c r="AV719" i="1"/>
  <c r="AU719" i="1"/>
  <c r="AV718" i="1"/>
  <c r="AU718" i="1"/>
  <c r="AT718" i="1"/>
  <c r="AV717" i="1"/>
  <c r="AU717" i="1"/>
  <c r="AT717" i="1"/>
  <c r="AV716" i="1"/>
  <c r="AU716" i="1"/>
  <c r="AV715" i="1"/>
  <c r="AU715" i="1"/>
  <c r="AT715" i="1"/>
  <c r="AV714" i="1"/>
  <c r="AU714" i="1"/>
  <c r="AV713" i="1"/>
  <c r="AU713" i="1"/>
  <c r="AT713" i="1"/>
  <c r="AV712" i="1"/>
  <c r="AU712" i="1"/>
  <c r="AT712" i="1"/>
  <c r="AV711" i="1"/>
  <c r="AU711" i="1"/>
  <c r="AT711" i="1"/>
  <c r="AV710" i="1"/>
  <c r="AU710" i="1"/>
  <c r="AT710" i="1"/>
  <c r="AV709" i="1"/>
  <c r="AU709" i="1"/>
  <c r="AT709" i="1"/>
  <c r="AV708" i="1"/>
  <c r="AU708" i="1"/>
  <c r="AT708" i="1"/>
  <c r="AV707" i="1"/>
  <c r="AU707" i="1"/>
  <c r="AT707" i="1"/>
  <c r="AV706" i="1"/>
  <c r="AU706" i="1"/>
  <c r="AT706" i="1"/>
  <c r="AV705" i="1"/>
  <c r="AU705" i="1"/>
  <c r="AV704" i="1"/>
  <c r="AU704" i="1"/>
  <c r="AV703" i="1"/>
  <c r="AU703" i="1"/>
  <c r="AT703" i="1"/>
  <c r="AV702" i="1"/>
  <c r="AU702" i="1"/>
  <c r="AT702" i="1"/>
  <c r="AV701" i="1"/>
  <c r="AU701" i="1"/>
  <c r="AT701" i="1"/>
  <c r="AV700" i="1"/>
  <c r="AU700" i="1"/>
  <c r="AV699" i="1"/>
  <c r="AU699" i="1"/>
  <c r="AT699" i="1"/>
  <c r="AV698" i="1"/>
  <c r="AU698" i="1"/>
  <c r="AT698" i="1"/>
  <c r="AV697" i="1"/>
  <c r="AU697" i="1"/>
  <c r="AV696" i="1"/>
  <c r="AU696" i="1"/>
  <c r="AT696" i="1"/>
  <c r="AV695" i="1"/>
  <c r="AU695" i="1"/>
  <c r="AT695" i="1"/>
  <c r="AV694" i="1"/>
  <c r="AU694" i="1"/>
  <c r="AV693" i="1"/>
  <c r="AU693" i="1"/>
  <c r="AT693" i="1"/>
  <c r="AV692" i="1"/>
  <c r="AU692" i="1"/>
  <c r="AT692" i="1"/>
  <c r="AV691" i="1"/>
  <c r="AU691" i="1"/>
  <c r="AT691" i="1"/>
  <c r="AV690" i="1"/>
  <c r="AU690" i="1"/>
  <c r="AT690" i="1"/>
  <c r="AV689" i="1"/>
  <c r="AU689" i="1"/>
  <c r="AV688" i="1"/>
  <c r="AU688" i="1"/>
  <c r="AT688" i="1"/>
  <c r="AV687" i="1"/>
  <c r="AU687" i="1"/>
  <c r="AT687" i="1"/>
  <c r="AV686" i="1"/>
  <c r="AU686" i="1"/>
  <c r="AT686" i="1"/>
  <c r="AV685" i="1"/>
  <c r="AU685" i="1"/>
  <c r="AT685" i="1"/>
  <c r="AV684" i="1"/>
  <c r="AU684" i="1"/>
  <c r="AT684" i="1"/>
  <c r="AV683" i="1"/>
  <c r="AU683" i="1"/>
  <c r="AT683" i="1"/>
  <c r="AV682" i="1"/>
  <c r="AU682" i="1"/>
  <c r="AT682" i="1"/>
  <c r="AV681" i="1"/>
  <c r="AU681" i="1"/>
  <c r="AT681" i="1"/>
  <c r="AV680" i="1"/>
  <c r="AU680" i="1"/>
  <c r="AT680" i="1"/>
  <c r="AV679" i="1"/>
  <c r="AU679" i="1"/>
  <c r="AT679" i="1"/>
  <c r="AV678" i="1"/>
  <c r="AU678" i="1"/>
  <c r="AT678" i="1"/>
  <c r="AV677" i="1"/>
  <c r="AU677" i="1"/>
  <c r="AT677" i="1"/>
  <c r="AV676" i="1"/>
  <c r="AU676" i="1"/>
  <c r="AV675" i="1"/>
  <c r="AU675" i="1"/>
  <c r="AV674" i="1"/>
  <c r="AU674" i="1"/>
  <c r="AT674" i="1"/>
  <c r="AV673" i="1"/>
  <c r="AU673" i="1"/>
  <c r="AT673" i="1"/>
  <c r="AV672" i="1"/>
  <c r="AU672" i="1"/>
  <c r="AV671" i="1"/>
  <c r="AU671" i="1"/>
  <c r="AV670" i="1"/>
  <c r="AU670" i="1"/>
  <c r="AT670" i="1"/>
  <c r="AV669" i="1"/>
  <c r="AU669" i="1"/>
  <c r="AV668" i="1"/>
  <c r="AU668" i="1"/>
  <c r="AV667" i="1"/>
  <c r="AU667" i="1"/>
  <c r="AT667" i="1"/>
  <c r="AV666" i="1"/>
  <c r="AU666" i="1"/>
  <c r="AV665" i="1"/>
  <c r="AU665" i="1"/>
  <c r="AT665" i="1"/>
  <c r="AV664" i="1"/>
  <c r="AU664" i="1"/>
  <c r="AT664" i="1"/>
  <c r="AV663" i="1"/>
  <c r="AU663" i="1"/>
  <c r="AT663" i="1"/>
  <c r="AV662" i="1"/>
  <c r="AU662" i="1"/>
  <c r="AV661" i="1"/>
  <c r="AU661" i="1"/>
  <c r="AT661" i="1"/>
  <c r="AV660" i="1"/>
  <c r="AU660" i="1"/>
  <c r="AV659" i="1"/>
  <c r="AU659" i="1"/>
  <c r="AT659" i="1"/>
  <c r="AV658" i="1"/>
  <c r="AU658" i="1"/>
  <c r="AT658" i="1"/>
  <c r="AV657" i="1"/>
  <c r="AU657" i="1"/>
  <c r="AV656" i="1"/>
  <c r="AU656" i="1"/>
  <c r="AT656" i="1"/>
  <c r="AV655" i="1"/>
  <c r="AU655" i="1"/>
  <c r="AT655" i="1"/>
  <c r="AV654" i="1"/>
  <c r="AU654" i="1"/>
  <c r="AV653" i="1"/>
  <c r="AU653" i="1"/>
  <c r="AT653" i="1"/>
  <c r="AV652" i="1"/>
  <c r="AU652" i="1"/>
  <c r="AT652" i="1"/>
  <c r="AV651" i="1"/>
  <c r="AU651" i="1"/>
  <c r="AT651" i="1"/>
  <c r="AV650" i="1"/>
  <c r="AU650" i="1"/>
  <c r="AT650" i="1"/>
  <c r="AV649" i="1"/>
  <c r="AU649" i="1"/>
  <c r="AT649" i="1"/>
  <c r="AV648" i="1"/>
  <c r="AU648" i="1"/>
  <c r="AT648" i="1"/>
  <c r="AV647" i="1"/>
  <c r="AU647" i="1"/>
  <c r="AV646" i="1"/>
  <c r="AU646" i="1"/>
  <c r="AV645" i="1"/>
  <c r="AU645" i="1"/>
  <c r="AV644" i="1"/>
  <c r="AU644" i="1"/>
  <c r="AT644" i="1"/>
  <c r="AV643" i="1"/>
  <c r="AU643" i="1"/>
  <c r="AT643" i="1"/>
  <c r="AV642" i="1"/>
  <c r="AU642" i="1"/>
  <c r="AV641" i="1"/>
  <c r="AU641" i="1"/>
  <c r="AV640" i="1"/>
  <c r="AU640" i="1"/>
  <c r="AT640" i="1"/>
  <c r="AV639" i="1"/>
  <c r="AU639" i="1"/>
  <c r="AT639" i="1"/>
  <c r="AV638" i="1"/>
  <c r="AU638" i="1"/>
  <c r="AT638" i="1"/>
  <c r="AV637" i="1"/>
  <c r="AU637" i="1"/>
  <c r="AV636" i="1"/>
  <c r="AU636" i="1"/>
  <c r="AT636" i="1"/>
  <c r="AV635" i="1"/>
  <c r="AU635" i="1"/>
  <c r="AT635" i="1"/>
  <c r="AV634" i="1"/>
  <c r="AU634" i="1"/>
  <c r="AV633" i="1"/>
  <c r="AU633" i="1"/>
  <c r="AT633" i="1"/>
  <c r="AV632" i="1"/>
  <c r="AU632" i="1"/>
  <c r="AV631" i="1"/>
  <c r="AU631" i="1"/>
  <c r="AT631" i="1"/>
  <c r="AV630" i="1"/>
  <c r="AU630" i="1"/>
  <c r="AT630" i="1"/>
  <c r="AV629" i="1"/>
  <c r="AU629" i="1"/>
  <c r="AV628" i="1"/>
  <c r="AU628" i="1"/>
  <c r="AT628" i="1"/>
  <c r="AV627" i="1"/>
  <c r="AU627" i="1"/>
  <c r="AV626" i="1"/>
  <c r="AU626" i="1"/>
  <c r="AT626" i="1"/>
  <c r="AV625" i="1"/>
  <c r="AU625" i="1"/>
  <c r="AV624" i="1"/>
  <c r="AU624" i="1"/>
  <c r="AT624" i="1"/>
  <c r="AV623" i="1"/>
  <c r="AU623" i="1"/>
  <c r="AV622" i="1"/>
  <c r="AU622" i="1"/>
  <c r="AV621" i="1"/>
  <c r="AU621" i="1"/>
  <c r="AT621" i="1"/>
  <c r="AV620" i="1"/>
  <c r="AU620" i="1"/>
  <c r="AV619" i="1"/>
  <c r="AU619" i="1"/>
  <c r="AT619" i="1"/>
  <c r="AV618" i="1"/>
  <c r="AU618" i="1"/>
  <c r="AT618" i="1"/>
  <c r="AV617" i="1"/>
  <c r="AU617" i="1"/>
  <c r="AV616" i="1"/>
  <c r="AU616" i="1"/>
  <c r="AV615" i="1"/>
  <c r="AU615" i="1"/>
  <c r="AT615" i="1"/>
  <c r="AV614" i="1"/>
  <c r="AU614" i="1"/>
  <c r="AT614" i="1"/>
  <c r="AV613" i="1"/>
  <c r="AU613" i="1"/>
  <c r="AT613" i="1"/>
  <c r="AV612" i="1"/>
  <c r="AU612" i="1"/>
  <c r="AV611" i="1"/>
  <c r="AU611" i="1"/>
  <c r="AT611" i="1"/>
  <c r="AV610" i="1"/>
  <c r="AU610" i="1"/>
  <c r="AV609" i="1"/>
  <c r="AU609" i="1"/>
  <c r="AV608" i="1"/>
  <c r="AU608" i="1"/>
  <c r="AV607" i="1"/>
  <c r="AU607" i="1"/>
  <c r="AT607" i="1"/>
  <c r="AV606" i="1"/>
  <c r="AU606" i="1"/>
  <c r="AT606" i="1"/>
  <c r="AV605" i="1"/>
  <c r="AU605" i="1"/>
  <c r="AV604" i="1"/>
  <c r="AU604" i="1"/>
  <c r="AT604" i="1"/>
  <c r="AV603" i="1"/>
  <c r="AU603" i="1"/>
  <c r="AV602" i="1"/>
  <c r="AU602" i="1"/>
  <c r="AV601" i="1"/>
  <c r="AU601" i="1"/>
  <c r="AT601" i="1"/>
  <c r="AV600" i="1"/>
  <c r="AU600" i="1"/>
  <c r="AT600" i="1"/>
  <c r="AV599" i="1"/>
  <c r="AU599" i="1"/>
  <c r="AT599" i="1"/>
  <c r="AV598" i="1"/>
  <c r="AU598" i="1"/>
  <c r="AT598" i="1"/>
  <c r="AV597" i="1"/>
  <c r="AU597" i="1"/>
  <c r="AT597" i="1"/>
  <c r="AV596" i="1"/>
  <c r="AU596" i="1"/>
  <c r="AT596" i="1"/>
  <c r="AV595" i="1"/>
  <c r="AU595" i="1"/>
  <c r="AV594" i="1"/>
  <c r="AU594" i="1"/>
  <c r="AT594" i="1"/>
  <c r="AV593" i="1"/>
  <c r="AU593" i="1"/>
  <c r="AT593" i="1"/>
  <c r="AV592" i="1"/>
  <c r="AU592" i="1"/>
  <c r="AT592" i="1"/>
  <c r="AV591" i="1"/>
  <c r="AU591" i="1"/>
  <c r="AV590" i="1"/>
  <c r="AU590" i="1"/>
  <c r="AV589" i="1"/>
  <c r="AU589" i="1"/>
  <c r="AT589" i="1"/>
  <c r="AV588" i="1"/>
  <c r="AU588" i="1"/>
  <c r="AT588" i="1"/>
  <c r="AV587" i="1"/>
  <c r="AU587" i="1"/>
  <c r="AT587" i="1"/>
  <c r="AV586" i="1"/>
  <c r="AU586" i="1"/>
  <c r="AT586" i="1"/>
  <c r="AV585" i="1"/>
  <c r="AU585" i="1"/>
  <c r="AV584" i="1"/>
  <c r="AU584" i="1"/>
  <c r="AT584" i="1"/>
  <c r="AV583" i="1"/>
  <c r="AU583" i="1"/>
  <c r="AT583" i="1"/>
  <c r="AV582" i="1"/>
  <c r="AU582" i="1"/>
  <c r="AT582" i="1"/>
  <c r="AV581" i="1"/>
  <c r="AU581" i="1"/>
  <c r="AV580" i="1"/>
  <c r="AU580" i="1"/>
  <c r="AT580" i="1"/>
  <c r="AV579" i="1"/>
  <c r="AU579" i="1"/>
  <c r="AT579" i="1"/>
  <c r="AV578" i="1"/>
  <c r="AU578" i="1"/>
  <c r="AT578" i="1"/>
  <c r="AV577" i="1"/>
  <c r="AU577" i="1"/>
  <c r="AT577" i="1"/>
  <c r="AV576" i="1"/>
  <c r="AU576" i="1"/>
  <c r="AT576" i="1"/>
  <c r="AV575" i="1"/>
  <c r="AU575" i="1"/>
  <c r="AT575" i="1"/>
  <c r="AV574" i="1"/>
  <c r="AU574" i="1"/>
  <c r="AT574" i="1"/>
  <c r="AV573" i="1"/>
  <c r="AU573" i="1"/>
  <c r="AT573" i="1"/>
  <c r="AV572" i="1"/>
  <c r="AU572" i="1"/>
  <c r="AT572" i="1"/>
  <c r="AV571" i="1"/>
  <c r="AU571" i="1"/>
  <c r="AT571" i="1"/>
  <c r="AV570" i="1"/>
  <c r="AU570" i="1"/>
  <c r="AT570" i="1"/>
  <c r="AV569" i="1"/>
  <c r="AU569" i="1"/>
  <c r="AV568" i="1"/>
  <c r="AU568" i="1"/>
  <c r="AT568" i="1"/>
  <c r="AV567" i="1"/>
  <c r="AU567" i="1"/>
  <c r="AT567" i="1"/>
  <c r="AV566" i="1"/>
  <c r="AU566" i="1"/>
  <c r="AT566" i="1"/>
  <c r="AV565" i="1"/>
  <c r="AU565" i="1"/>
  <c r="AT565" i="1"/>
  <c r="AV564" i="1"/>
  <c r="AU564" i="1"/>
  <c r="AV563" i="1"/>
  <c r="AU563" i="1"/>
  <c r="AT563" i="1"/>
  <c r="AV562" i="1"/>
  <c r="AU562" i="1"/>
  <c r="AV561" i="1"/>
  <c r="AU561" i="1"/>
  <c r="AT561" i="1"/>
  <c r="AV560" i="1"/>
  <c r="AU560" i="1"/>
  <c r="AT560" i="1"/>
  <c r="AV559" i="1"/>
  <c r="AU559" i="1"/>
  <c r="AT559" i="1"/>
  <c r="AV558" i="1"/>
  <c r="AU558" i="1"/>
  <c r="AV557" i="1"/>
  <c r="AU557" i="1"/>
  <c r="AT557" i="1"/>
  <c r="AV556" i="1"/>
  <c r="AU556" i="1"/>
  <c r="AT556" i="1"/>
  <c r="AV555" i="1"/>
  <c r="AU555" i="1"/>
  <c r="AV554" i="1"/>
  <c r="AU554" i="1"/>
  <c r="AV553" i="1"/>
  <c r="AU553" i="1"/>
  <c r="AT553" i="1"/>
  <c r="AV552" i="1"/>
  <c r="AU552" i="1"/>
  <c r="AV551" i="1"/>
  <c r="AU551" i="1"/>
  <c r="AT551" i="1"/>
  <c r="AV550" i="1"/>
  <c r="AU550" i="1"/>
  <c r="AV549" i="1"/>
  <c r="AU549" i="1"/>
  <c r="AV548" i="1"/>
  <c r="AU548" i="1"/>
  <c r="AT548" i="1"/>
  <c r="AV547" i="1"/>
  <c r="AU547" i="1"/>
  <c r="AT547" i="1"/>
  <c r="AV546" i="1"/>
  <c r="AU546" i="1"/>
  <c r="AV545" i="1"/>
  <c r="AU545" i="1"/>
  <c r="AV544" i="1"/>
  <c r="AU544" i="1"/>
  <c r="AV543" i="1"/>
  <c r="AU543" i="1"/>
  <c r="AT543" i="1"/>
  <c r="AV542" i="1"/>
  <c r="AU542" i="1"/>
  <c r="AT542" i="1"/>
  <c r="AV541" i="1"/>
  <c r="AU541" i="1"/>
  <c r="AT541" i="1"/>
  <c r="AV540" i="1"/>
  <c r="AU540" i="1"/>
  <c r="AV539" i="1"/>
  <c r="AU539" i="1"/>
  <c r="AV538" i="1"/>
  <c r="AU538" i="1"/>
  <c r="AV537" i="1"/>
  <c r="AU537" i="1"/>
  <c r="AT537" i="1"/>
  <c r="AV536" i="1"/>
  <c r="AU536" i="1"/>
  <c r="AV535" i="1"/>
  <c r="AU535" i="1"/>
  <c r="AV534" i="1"/>
  <c r="AU534" i="1"/>
  <c r="AV533" i="1"/>
  <c r="AU533" i="1"/>
  <c r="AV532" i="1"/>
  <c r="AU532" i="1"/>
  <c r="AV531" i="1"/>
  <c r="AU531" i="1"/>
  <c r="AV530" i="1"/>
  <c r="AU530" i="1"/>
  <c r="AT530" i="1"/>
  <c r="AV529" i="1"/>
  <c r="AU529" i="1"/>
  <c r="AT529" i="1"/>
  <c r="AV528" i="1"/>
  <c r="AU528" i="1"/>
  <c r="AT528" i="1"/>
  <c r="AV527" i="1"/>
  <c r="AU527" i="1"/>
  <c r="AT527" i="1"/>
  <c r="AV526" i="1"/>
  <c r="AU526" i="1"/>
  <c r="AT526" i="1"/>
  <c r="AV525" i="1"/>
  <c r="AU525" i="1"/>
  <c r="AT525" i="1"/>
  <c r="AV524" i="1"/>
  <c r="AU524" i="1"/>
  <c r="AT524" i="1"/>
  <c r="AV523" i="1"/>
  <c r="AU523" i="1"/>
  <c r="AT523" i="1"/>
  <c r="AV522" i="1"/>
  <c r="AU522" i="1"/>
  <c r="AT522" i="1"/>
  <c r="AV521" i="1"/>
  <c r="AU521" i="1"/>
  <c r="AT521" i="1"/>
  <c r="AV520" i="1"/>
  <c r="AU520" i="1"/>
  <c r="AV519" i="1"/>
  <c r="AU519" i="1"/>
  <c r="AV518" i="1"/>
  <c r="AU518" i="1"/>
  <c r="AT518" i="1"/>
  <c r="AV517" i="1"/>
  <c r="AU517" i="1"/>
  <c r="AT517" i="1"/>
  <c r="AV516" i="1"/>
  <c r="AU516" i="1"/>
  <c r="AV515" i="1"/>
  <c r="AU515" i="1"/>
  <c r="AV514" i="1"/>
  <c r="AU514" i="1"/>
  <c r="AT514" i="1"/>
  <c r="AV513" i="1"/>
  <c r="AU513" i="1"/>
  <c r="AT513" i="1"/>
  <c r="AV512" i="1"/>
  <c r="AU512" i="1"/>
  <c r="AT512" i="1"/>
  <c r="AV511" i="1"/>
  <c r="AU511" i="1"/>
  <c r="AV510" i="1"/>
  <c r="AU510" i="1"/>
  <c r="AT510" i="1"/>
  <c r="AV509" i="1"/>
  <c r="AU509" i="1"/>
  <c r="AV508" i="1"/>
  <c r="AU508" i="1"/>
  <c r="AT508" i="1"/>
  <c r="AV507" i="1"/>
  <c r="AU507" i="1"/>
  <c r="AT507" i="1"/>
  <c r="AV506" i="1"/>
  <c r="AU506" i="1"/>
  <c r="AT506" i="1"/>
  <c r="AV505" i="1"/>
  <c r="AU505" i="1"/>
  <c r="AV504" i="1"/>
  <c r="AU504" i="1"/>
  <c r="AT504" i="1"/>
  <c r="AV503" i="1"/>
  <c r="AU503" i="1"/>
  <c r="AT503" i="1"/>
  <c r="AV502" i="1"/>
  <c r="AU502" i="1"/>
  <c r="AT502" i="1"/>
  <c r="AV501" i="1"/>
  <c r="AU501" i="1"/>
  <c r="AV500" i="1"/>
  <c r="AU500" i="1"/>
  <c r="AV499" i="1"/>
  <c r="AU499" i="1"/>
  <c r="AT499" i="1"/>
  <c r="AV498" i="1"/>
  <c r="AU498" i="1"/>
  <c r="AT498" i="1"/>
  <c r="AV497" i="1"/>
  <c r="AU497" i="1"/>
  <c r="AV496" i="1"/>
  <c r="AU496" i="1"/>
  <c r="AT496" i="1"/>
  <c r="AV495" i="1"/>
  <c r="AU495" i="1"/>
  <c r="AV494" i="1"/>
  <c r="AU494" i="1"/>
  <c r="AT494" i="1"/>
  <c r="AV493" i="1"/>
  <c r="AU493" i="1"/>
  <c r="AT493" i="1"/>
  <c r="AV492" i="1"/>
  <c r="AU492" i="1"/>
  <c r="AV491" i="1"/>
  <c r="AU491" i="1"/>
  <c r="AT491" i="1"/>
  <c r="AV490" i="1"/>
  <c r="AU490" i="1"/>
  <c r="AT490" i="1"/>
  <c r="AV489" i="1"/>
  <c r="AU489" i="1"/>
  <c r="AT489" i="1"/>
  <c r="AV488" i="1"/>
  <c r="AU488" i="1"/>
  <c r="AT488" i="1"/>
  <c r="AV487" i="1"/>
  <c r="AU487" i="1"/>
  <c r="AT487" i="1"/>
  <c r="AV486" i="1"/>
  <c r="AU486" i="1"/>
  <c r="AT486" i="1"/>
  <c r="AV485" i="1"/>
  <c r="AU485" i="1"/>
  <c r="AT485" i="1"/>
  <c r="AV484" i="1"/>
  <c r="AU484" i="1"/>
  <c r="AT484" i="1"/>
  <c r="AV483" i="1"/>
  <c r="AU483" i="1"/>
  <c r="AT483" i="1"/>
  <c r="AV482" i="1"/>
  <c r="AU482" i="1"/>
  <c r="AT482" i="1"/>
  <c r="AV481" i="1"/>
  <c r="AU481" i="1"/>
  <c r="AT481" i="1"/>
  <c r="AV480" i="1"/>
  <c r="AU480" i="1"/>
  <c r="AT480" i="1"/>
  <c r="AV479" i="1"/>
  <c r="AU479" i="1"/>
  <c r="AT479" i="1"/>
  <c r="AV478" i="1"/>
  <c r="AU478" i="1"/>
  <c r="AV477" i="1"/>
  <c r="AU477" i="1"/>
  <c r="AT477" i="1"/>
  <c r="AV476" i="1"/>
  <c r="AU476" i="1"/>
  <c r="AT476" i="1"/>
  <c r="AV475" i="1"/>
  <c r="AU475" i="1"/>
  <c r="AT475" i="1"/>
  <c r="AV474" i="1"/>
  <c r="AU474" i="1"/>
  <c r="AT474" i="1"/>
  <c r="AV473" i="1"/>
  <c r="AU473" i="1"/>
  <c r="AV472" i="1"/>
  <c r="AU472" i="1"/>
  <c r="AV471" i="1"/>
  <c r="AU471" i="1"/>
  <c r="AT471" i="1"/>
  <c r="AV470" i="1"/>
  <c r="AU470" i="1"/>
  <c r="AT470" i="1"/>
  <c r="AV469" i="1"/>
  <c r="AU469" i="1"/>
  <c r="AT469" i="1"/>
  <c r="AV468" i="1"/>
  <c r="AU468" i="1"/>
  <c r="AT468" i="1"/>
  <c r="AV467" i="1"/>
  <c r="AU467" i="1"/>
  <c r="AT467" i="1"/>
  <c r="AV466" i="1"/>
  <c r="AU466" i="1"/>
  <c r="AT466" i="1"/>
  <c r="AV465" i="1"/>
  <c r="AU465" i="1"/>
  <c r="AV464" i="1"/>
  <c r="AU464" i="1"/>
  <c r="AT464" i="1"/>
  <c r="AV463" i="1"/>
  <c r="AU463" i="1"/>
  <c r="AV462" i="1"/>
  <c r="AU462" i="1"/>
  <c r="AT462" i="1"/>
  <c r="AV461" i="1"/>
  <c r="AU461" i="1"/>
  <c r="AT461" i="1"/>
  <c r="AV460" i="1"/>
  <c r="AU460" i="1"/>
  <c r="AT460" i="1"/>
  <c r="AV459" i="1"/>
  <c r="AU459" i="1"/>
  <c r="AT459" i="1"/>
  <c r="AV458" i="1"/>
  <c r="AU458" i="1"/>
  <c r="AT458" i="1"/>
  <c r="AV457" i="1"/>
  <c r="AU457" i="1"/>
  <c r="AT457" i="1"/>
  <c r="AV456" i="1"/>
  <c r="AU456" i="1"/>
  <c r="AT456" i="1"/>
  <c r="AV455" i="1"/>
  <c r="AU455" i="1"/>
  <c r="AT455" i="1"/>
  <c r="AV454" i="1"/>
  <c r="AU454" i="1"/>
  <c r="AT454" i="1"/>
  <c r="AV453" i="1"/>
  <c r="AU453" i="1"/>
  <c r="AT453" i="1"/>
  <c r="AV452" i="1"/>
  <c r="AU452" i="1"/>
  <c r="AV451" i="1"/>
  <c r="AU451" i="1"/>
  <c r="AV450" i="1"/>
  <c r="AU450" i="1"/>
  <c r="AT450" i="1"/>
  <c r="AV449" i="1"/>
  <c r="AU449" i="1"/>
  <c r="AT449" i="1"/>
  <c r="AV448" i="1"/>
  <c r="AU448" i="1"/>
  <c r="AT448" i="1"/>
  <c r="AV447" i="1"/>
  <c r="AU447" i="1"/>
  <c r="AT447" i="1"/>
  <c r="AV446" i="1"/>
  <c r="AU446" i="1"/>
  <c r="AV445" i="1"/>
  <c r="AU445" i="1"/>
  <c r="AT445" i="1"/>
  <c r="AV444" i="1"/>
  <c r="AU444" i="1"/>
  <c r="AT444" i="1"/>
  <c r="AV443" i="1"/>
  <c r="AU443" i="1"/>
  <c r="AV442" i="1"/>
  <c r="AU442" i="1"/>
  <c r="AT442" i="1"/>
  <c r="AV441" i="1"/>
  <c r="AU441" i="1"/>
  <c r="AT441" i="1"/>
  <c r="AV440" i="1"/>
  <c r="AU440" i="1"/>
  <c r="AT440" i="1"/>
  <c r="AV439" i="1"/>
  <c r="AU439" i="1"/>
  <c r="AT439" i="1"/>
  <c r="AV438" i="1"/>
  <c r="AU438" i="1"/>
  <c r="AT438" i="1"/>
  <c r="AV437" i="1"/>
  <c r="AU437" i="1"/>
  <c r="AT437" i="1"/>
  <c r="AV436" i="1"/>
  <c r="AU436" i="1"/>
  <c r="AT436" i="1"/>
  <c r="AV435" i="1"/>
  <c r="AU435" i="1"/>
  <c r="AT435" i="1"/>
  <c r="AV434" i="1"/>
  <c r="AU434" i="1"/>
  <c r="AT434" i="1"/>
  <c r="AV433" i="1"/>
  <c r="AU433" i="1"/>
  <c r="AT433" i="1"/>
  <c r="AV432" i="1"/>
  <c r="AU432" i="1"/>
  <c r="AT432" i="1"/>
  <c r="AV431" i="1"/>
  <c r="AU431" i="1"/>
  <c r="AT431" i="1"/>
  <c r="AV430" i="1"/>
  <c r="AU430" i="1"/>
  <c r="AT430" i="1"/>
  <c r="AV429" i="1"/>
  <c r="AU429" i="1"/>
  <c r="AT429" i="1"/>
  <c r="AV428" i="1"/>
  <c r="AU428" i="1"/>
  <c r="AV427" i="1"/>
  <c r="AU427" i="1"/>
  <c r="AT427" i="1"/>
  <c r="AV426" i="1"/>
  <c r="AU426" i="1"/>
  <c r="AV425" i="1"/>
  <c r="AU425" i="1"/>
  <c r="AT425" i="1"/>
  <c r="AV424" i="1"/>
  <c r="AU424" i="1"/>
  <c r="AT424" i="1"/>
  <c r="AV423" i="1"/>
  <c r="AU423" i="1"/>
  <c r="AT423" i="1"/>
  <c r="AV422" i="1"/>
  <c r="AU422" i="1"/>
  <c r="AT422" i="1"/>
  <c r="AV421" i="1"/>
  <c r="AU421" i="1"/>
  <c r="AT421" i="1"/>
  <c r="AV420" i="1"/>
  <c r="AU420" i="1"/>
  <c r="AT420" i="1"/>
  <c r="AV419" i="1"/>
  <c r="AU419" i="1"/>
  <c r="AT419" i="1"/>
  <c r="AV418" i="1"/>
  <c r="AU418" i="1"/>
  <c r="AT418" i="1"/>
  <c r="AV417" i="1"/>
  <c r="AU417" i="1"/>
  <c r="AT417" i="1"/>
  <c r="AV416" i="1"/>
  <c r="AU416" i="1"/>
  <c r="AT416" i="1"/>
  <c r="AV415" i="1"/>
  <c r="AU415" i="1"/>
  <c r="AT415" i="1"/>
  <c r="AV414" i="1"/>
  <c r="AU414" i="1"/>
  <c r="AT414" i="1"/>
  <c r="AV413" i="1"/>
  <c r="AU413" i="1"/>
  <c r="AT413" i="1"/>
  <c r="AV412" i="1"/>
  <c r="AU412" i="1"/>
  <c r="AT412" i="1"/>
  <c r="AV411" i="1"/>
  <c r="AU411" i="1"/>
  <c r="AV410" i="1"/>
  <c r="AU410" i="1"/>
  <c r="AV409" i="1"/>
  <c r="AU409" i="1"/>
  <c r="AT409" i="1"/>
  <c r="AV408" i="1"/>
  <c r="AU408" i="1"/>
  <c r="AT408" i="1"/>
  <c r="AV407" i="1"/>
  <c r="AU407" i="1"/>
  <c r="AT407" i="1"/>
  <c r="AV406" i="1"/>
  <c r="AU406" i="1"/>
  <c r="AT406" i="1"/>
  <c r="AV405" i="1"/>
  <c r="AU405" i="1"/>
  <c r="AT405" i="1"/>
  <c r="AV404" i="1"/>
  <c r="AU404" i="1"/>
  <c r="AT404" i="1"/>
  <c r="AV403" i="1"/>
  <c r="AU403" i="1"/>
  <c r="AT403" i="1"/>
  <c r="AV402" i="1"/>
  <c r="AU402" i="1"/>
  <c r="AT402" i="1"/>
  <c r="AV401" i="1"/>
  <c r="AU401" i="1"/>
  <c r="AT401" i="1"/>
  <c r="AV400" i="1"/>
  <c r="AU400" i="1"/>
  <c r="AT400" i="1"/>
  <c r="AV399" i="1"/>
  <c r="AU399" i="1"/>
  <c r="AT399" i="1"/>
  <c r="AV398" i="1"/>
  <c r="AU398" i="1"/>
  <c r="AT398" i="1"/>
  <c r="AV397" i="1"/>
  <c r="AU397" i="1"/>
  <c r="AV396" i="1"/>
  <c r="AU396" i="1"/>
  <c r="AV395" i="1"/>
  <c r="AU395" i="1"/>
  <c r="AV394" i="1"/>
  <c r="AU394" i="1"/>
  <c r="AV393" i="1"/>
  <c r="AU393" i="1"/>
  <c r="AV392" i="1"/>
  <c r="AU392" i="1"/>
  <c r="AT392" i="1"/>
  <c r="AV391" i="1"/>
  <c r="AU391" i="1"/>
  <c r="AT391" i="1"/>
  <c r="AV390" i="1"/>
  <c r="AU390" i="1"/>
  <c r="AV389" i="1"/>
  <c r="AU389" i="1"/>
  <c r="AT389" i="1"/>
  <c r="AV388" i="1"/>
  <c r="AU388" i="1"/>
  <c r="AT388" i="1"/>
  <c r="AV387" i="1"/>
  <c r="AU387" i="1"/>
  <c r="AT387" i="1"/>
  <c r="AV386" i="1"/>
  <c r="AU386" i="1"/>
  <c r="AT386" i="1"/>
  <c r="AV385" i="1"/>
  <c r="AU385" i="1"/>
  <c r="AV384" i="1"/>
  <c r="AU384" i="1"/>
  <c r="AV383" i="1"/>
  <c r="AU383" i="1"/>
  <c r="AV382" i="1"/>
  <c r="AU382" i="1"/>
  <c r="AT382" i="1"/>
  <c r="AV381" i="1"/>
  <c r="AU381" i="1"/>
  <c r="AT381" i="1"/>
  <c r="AV380" i="1"/>
  <c r="AU380" i="1"/>
  <c r="AV379" i="1"/>
  <c r="AU379" i="1"/>
  <c r="AT379" i="1"/>
  <c r="AV378" i="1"/>
  <c r="AU378" i="1"/>
  <c r="AT378" i="1"/>
  <c r="AV377" i="1"/>
  <c r="AU377" i="1"/>
  <c r="AV376" i="1"/>
  <c r="AU376" i="1"/>
  <c r="AV375" i="1"/>
  <c r="AU375" i="1"/>
  <c r="AV374" i="1"/>
  <c r="AU374" i="1"/>
  <c r="AV373" i="1"/>
  <c r="AU373" i="1"/>
  <c r="AV372" i="1"/>
  <c r="AU372" i="1"/>
  <c r="AT372" i="1"/>
  <c r="AV371" i="1"/>
  <c r="AU371" i="1"/>
  <c r="AV370" i="1"/>
  <c r="AU370" i="1"/>
  <c r="AT370" i="1"/>
  <c r="AV369" i="1"/>
  <c r="AU369" i="1"/>
  <c r="AT369" i="1"/>
  <c r="AV368" i="1"/>
  <c r="AU368" i="1"/>
  <c r="AT368" i="1"/>
  <c r="AV367" i="1"/>
  <c r="AU367" i="1"/>
  <c r="AV366" i="1"/>
  <c r="AU366" i="1"/>
  <c r="AT366" i="1"/>
  <c r="AV365" i="1"/>
  <c r="AU365" i="1"/>
  <c r="AV364" i="1"/>
  <c r="AU364" i="1"/>
  <c r="AV363" i="1"/>
  <c r="AU363" i="1"/>
  <c r="AT363" i="1"/>
  <c r="AV362" i="1"/>
  <c r="AU362" i="1"/>
  <c r="AT362" i="1"/>
  <c r="AV361" i="1"/>
  <c r="AU361" i="1"/>
  <c r="AV360" i="1"/>
  <c r="AU360" i="1"/>
  <c r="AT360" i="1"/>
  <c r="AV359" i="1"/>
  <c r="AU359" i="1"/>
  <c r="AT359" i="1"/>
  <c r="AV358" i="1"/>
  <c r="AU358" i="1"/>
  <c r="AT358" i="1"/>
  <c r="AV357" i="1"/>
  <c r="AU357" i="1"/>
  <c r="AV356" i="1"/>
  <c r="AU356" i="1"/>
  <c r="AV355" i="1"/>
  <c r="AU355" i="1"/>
  <c r="AT355" i="1"/>
  <c r="AV354" i="1"/>
  <c r="AU354" i="1"/>
  <c r="AT354" i="1"/>
  <c r="AV353" i="1"/>
  <c r="AU353" i="1"/>
  <c r="AT353" i="1"/>
  <c r="AV352" i="1"/>
  <c r="AU352" i="1"/>
  <c r="AT352" i="1"/>
  <c r="AV351" i="1"/>
  <c r="AU351" i="1"/>
  <c r="AT351" i="1"/>
  <c r="AV350" i="1"/>
  <c r="AU350" i="1"/>
  <c r="AV349" i="1"/>
  <c r="AU349" i="1"/>
  <c r="AT349" i="1"/>
  <c r="AV348" i="1"/>
  <c r="AU348" i="1"/>
  <c r="AV347" i="1"/>
  <c r="AU347" i="1"/>
  <c r="AV346" i="1"/>
  <c r="AU346" i="1"/>
  <c r="AT346" i="1"/>
  <c r="AV345" i="1"/>
  <c r="AU345" i="1"/>
  <c r="AT345" i="1"/>
  <c r="AV344" i="1"/>
  <c r="AU344" i="1"/>
  <c r="AT344" i="1"/>
  <c r="AV343" i="1"/>
  <c r="AU343" i="1"/>
  <c r="AT343" i="1"/>
  <c r="AV342" i="1"/>
  <c r="AU342" i="1"/>
  <c r="AT342" i="1"/>
  <c r="AV341" i="1"/>
  <c r="AU341" i="1"/>
  <c r="AV340" i="1"/>
  <c r="AU340" i="1"/>
  <c r="AT340" i="1"/>
  <c r="AV339" i="1"/>
  <c r="AU339" i="1"/>
  <c r="AT339" i="1"/>
  <c r="AV338" i="1"/>
  <c r="AU338" i="1"/>
  <c r="AT338" i="1"/>
  <c r="AV337" i="1"/>
  <c r="AU337" i="1"/>
  <c r="AV336" i="1"/>
  <c r="AU336" i="1"/>
  <c r="AT336" i="1"/>
  <c r="AV335" i="1"/>
  <c r="AU335" i="1"/>
  <c r="AV334" i="1"/>
  <c r="AU334" i="1"/>
  <c r="AT334" i="1"/>
  <c r="AV333" i="1"/>
  <c r="AU333" i="1"/>
  <c r="AT333" i="1"/>
  <c r="AV332" i="1"/>
  <c r="AU332" i="1"/>
  <c r="AT332" i="1"/>
  <c r="AV331" i="1"/>
  <c r="AU331" i="1"/>
  <c r="AT331" i="1"/>
  <c r="AV330" i="1"/>
  <c r="AU330" i="1"/>
  <c r="AT330" i="1"/>
  <c r="AV329" i="1"/>
  <c r="AU329" i="1"/>
  <c r="AV328" i="1"/>
  <c r="AU328" i="1"/>
  <c r="AT328" i="1"/>
  <c r="AV327" i="1"/>
  <c r="AU327" i="1"/>
  <c r="AT327" i="1"/>
  <c r="AV326" i="1"/>
  <c r="AU326" i="1"/>
  <c r="AT326" i="1"/>
  <c r="AV325" i="1"/>
  <c r="AU325" i="1"/>
  <c r="AT325" i="1"/>
  <c r="AV324" i="1"/>
  <c r="AU324" i="1"/>
  <c r="AT324" i="1"/>
  <c r="AV323" i="1"/>
  <c r="AU323" i="1"/>
  <c r="AT323" i="1"/>
  <c r="AV322" i="1"/>
  <c r="AU322" i="1"/>
  <c r="AT322" i="1"/>
  <c r="AV321" i="1"/>
  <c r="AU321" i="1"/>
  <c r="AT321" i="1"/>
  <c r="AV320" i="1"/>
  <c r="AU320" i="1"/>
  <c r="AT320" i="1"/>
  <c r="AV319" i="1"/>
  <c r="AU319" i="1"/>
  <c r="AT319" i="1"/>
  <c r="AV318" i="1"/>
  <c r="AU318" i="1"/>
  <c r="AT318" i="1"/>
  <c r="AV317" i="1"/>
  <c r="AU317" i="1"/>
  <c r="AV316" i="1"/>
  <c r="AU316" i="1"/>
  <c r="AT316" i="1"/>
  <c r="AV315" i="1"/>
  <c r="AU315" i="1"/>
  <c r="AT315" i="1"/>
  <c r="AV314" i="1"/>
  <c r="AU314" i="1"/>
  <c r="AT314" i="1"/>
  <c r="AV313" i="1"/>
  <c r="AU313" i="1"/>
  <c r="AT313" i="1"/>
  <c r="AV312" i="1"/>
  <c r="AU312" i="1"/>
  <c r="AT312" i="1"/>
  <c r="AV311" i="1"/>
  <c r="AU311" i="1"/>
  <c r="AT311" i="1"/>
  <c r="AV310" i="1"/>
  <c r="AU310" i="1"/>
  <c r="AT310" i="1"/>
  <c r="AV309" i="1"/>
  <c r="AU309" i="1"/>
  <c r="AV308" i="1"/>
  <c r="AU308" i="1"/>
  <c r="AT308" i="1"/>
  <c r="AV307" i="1"/>
  <c r="AU307" i="1"/>
  <c r="AV306" i="1"/>
  <c r="AU306" i="1"/>
  <c r="AT306" i="1"/>
  <c r="AV305" i="1"/>
  <c r="AU305" i="1"/>
  <c r="AT305" i="1"/>
  <c r="AV304" i="1"/>
  <c r="AU304" i="1"/>
  <c r="AT304" i="1"/>
  <c r="AV303" i="1"/>
  <c r="AU303" i="1"/>
  <c r="AV302" i="1"/>
  <c r="AU302" i="1"/>
  <c r="AT302" i="1"/>
  <c r="AV301" i="1"/>
  <c r="AU301" i="1"/>
  <c r="AT301" i="1"/>
  <c r="AV300" i="1"/>
  <c r="AU300" i="1"/>
  <c r="AT300" i="1"/>
  <c r="AV299" i="1"/>
  <c r="AU299" i="1"/>
  <c r="AT299" i="1"/>
  <c r="AV298" i="1"/>
  <c r="AU298" i="1"/>
  <c r="AT298" i="1"/>
  <c r="AV297" i="1"/>
  <c r="AU297" i="1"/>
  <c r="AT297" i="1"/>
  <c r="AV296" i="1"/>
  <c r="AU296" i="1"/>
  <c r="AT296" i="1"/>
  <c r="AV295" i="1"/>
  <c r="AU295" i="1"/>
  <c r="AT295" i="1"/>
  <c r="AV294" i="1"/>
  <c r="AU294" i="1"/>
  <c r="AT294" i="1"/>
  <c r="AV293" i="1"/>
  <c r="AU293" i="1"/>
  <c r="AV292" i="1"/>
  <c r="AU292" i="1"/>
  <c r="AT292" i="1"/>
  <c r="AV291" i="1"/>
  <c r="AU291" i="1"/>
  <c r="AT291" i="1"/>
  <c r="AV290" i="1"/>
  <c r="AU290" i="1"/>
  <c r="AT290" i="1"/>
  <c r="AV289" i="1"/>
  <c r="AU289" i="1"/>
  <c r="AV288" i="1"/>
  <c r="AU288" i="1"/>
  <c r="AV287" i="1"/>
  <c r="AU287" i="1"/>
  <c r="AT287" i="1"/>
  <c r="AV286" i="1"/>
  <c r="AU286" i="1"/>
  <c r="AT286" i="1"/>
  <c r="AV285" i="1"/>
  <c r="AU285" i="1"/>
  <c r="AT285" i="1"/>
  <c r="AV284" i="1"/>
  <c r="AU284" i="1"/>
  <c r="AT284" i="1"/>
  <c r="AV283" i="1"/>
  <c r="AU283" i="1"/>
  <c r="AV282" i="1"/>
  <c r="AU282" i="1"/>
  <c r="AT282" i="1"/>
  <c r="AV281" i="1"/>
  <c r="AU281" i="1"/>
  <c r="AT281" i="1"/>
  <c r="AV280" i="1"/>
  <c r="AU280" i="1"/>
  <c r="AT280" i="1"/>
  <c r="AV279" i="1"/>
  <c r="AU279" i="1"/>
  <c r="AT279" i="1"/>
  <c r="AV278" i="1"/>
  <c r="AU278" i="1"/>
  <c r="AT278" i="1"/>
  <c r="AV277" i="1"/>
  <c r="AU277" i="1"/>
  <c r="AT277" i="1"/>
  <c r="AV276" i="1"/>
  <c r="AU276" i="1"/>
  <c r="AV275" i="1"/>
  <c r="AU275" i="1"/>
  <c r="AV274" i="1"/>
  <c r="AU274" i="1"/>
  <c r="AT274" i="1"/>
  <c r="AV273" i="1"/>
  <c r="AU273" i="1"/>
  <c r="AT273" i="1"/>
  <c r="AV272" i="1"/>
  <c r="AU272" i="1"/>
  <c r="AV271" i="1"/>
  <c r="AU271" i="1"/>
  <c r="AV270" i="1"/>
  <c r="AU270" i="1"/>
  <c r="AT270" i="1"/>
  <c r="AV269" i="1"/>
  <c r="AU269" i="1"/>
  <c r="AV268" i="1"/>
  <c r="AU268" i="1"/>
  <c r="AV267" i="1"/>
  <c r="AU267" i="1"/>
  <c r="AT267" i="1"/>
  <c r="AV266" i="1"/>
  <c r="AU266" i="1"/>
  <c r="AT266" i="1"/>
  <c r="AV265" i="1"/>
  <c r="AU265" i="1"/>
  <c r="AV264" i="1"/>
  <c r="AU264" i="1"/>
  <c r="AT264" i="1"/>
  <c r="AV263" i="1"/>
  <c r="AU263" i="1"/>
  <c r="AT263" i="1"/>
  <c r="AV262" i="1"/>
  <c r="AU262" i="1"/>
  <c r="AT262" i="1"/>
  <c r="AV261" i="1"/>
  <c r="AU261" i="1"/>
  <c r="AT261" i="1"/>
  <c r="AV260" i="1"/>
  <c r="AU260" i="1"/>
  <c r="AV259" i="1"/>
  <c r="AU259" i="1"/>
  <c r="AT259" i="1"/>
  <c r="AV258" i="1"/>
  <c r="AU258" i="1"/>
  <c r="AV257" i="1"/>
  <c r="AU257" i="1"/>
  <c r="AT257" i="1"/>
  <c r="AV256" i="1"/>
  <c r="AU256" i="1"/>
  <c r="AT256" i="1"/>
  <c r="AV255" i="1"/>
  <c r="AU255" i="1"/>
  <c r="AT255" i="1"/>
  <c r="AV254" i="1"/>
  <c r="AU254" i="1"/>
  <c r="AT254" i="1"/>
  <c r="AV253" i="1"/>
  <c r="AU253" i="1"/>
  <c r="AV252" i="1"/>
  <c r="AU252" i="1"/>
  <c r="AV251" i="1"/>
  <c r="AU251" i="1"/>
  <c r="AT251" i="1"/>
  <c r="AV250" i="1"/>
  <c r="AU250" i="1"/>
  <c r="AV249" i="1"/>
  <c r="AU249" i="1"/>
  <c r="AT249" i="1"/>
  <c r="AV248" i="1"/>
  <c r="AU248" i="1"/>
  <c r="AT248" i="1"/>
  <c r="AV247" i="1"/>
  <c r="AU247" i="1"/>
  <c r="AT247" i="1"/>
  <c r="AV246" i="1"/>
  <c r="AU246" i="1"/>
  <c r="AV245" i="1"/>
  <c r="AU245" i="1"/>
  <c r="AV244" i="1"/>
  <c r="AU244" i="1"/>
  <c r="AT244" i="1"/>
  <c r="AV243" i="1"/>
  <c r="AU243" i="1"/>
  <c r="AT243" i="1"/>
  <c r="AV242" i="1"/>
  <c r="AU242" i="1"/>
  <c r="AV241" i="1"/>
  <c r="AU241" i="1"/>
  <c r="AT241" i="1"/>
  <c r="AV240" i="1"/>
  <c r="AU240" i="1"/>
  <c r="AT240" i="1"/>
  <c r="AV239" i="1"/>
  <c r="AU239" i="1"/>
  <c r="AT239" i="1"/>
  <c r="AV238" i="1"/>
  <c r="AU238" i="1"/>
  <c r="AT238" i="1"/>
  <c r="AV237" i="1"/>
  <c r="AU237" i="1"/>
  <c r="AV236" i="1"/>
  <c r="AU236" i="1"/>
  <c r="AV235" i="1"/>
  <c r="AU235" i="1"/>
  <c r="AT235" i="1"/>
  <c r="AV234" i="1"/>
  <c r="AU234" i="1"/>
  <c r="AT234" i="1"/>
  <c r="AV233" i="1"/>
  <c r="AU233" i="1"/>
  <c r="AV232" i="1"/>
  <c r="AU232" i="1"/>
  <c r="AV231" i="1"/>
  <c r="AU231" i="1"/>
  <c r="AT231" i="1"/>
  <c r="AV230" i="1"/>
  <c r="AU230" i="1"/>
  <c r="AT230" i="1"/>
  <c r="AV229" i="1"/>
  <c r="AU229" i="1"/>
  <c r="AT229" i="1"/>
  <c r="AV228" i="1"/>
  <c r="AU228" i="1"/>
  <c r="AV227" i="1"/>
  <c r="AU227" i="1"/>
  <c r="AT227" i="1"/>
  <c r="AV226" i="1"/>
  <c r="AU226" i="1"/>
  <c r="AT226" i="1"/>
  <c r="AV225" i="1"/>
  <c r="AU225" i="1"/>
  <c r="AV224" i="1"/>
  <c r="AU224" i="1"/>
  <c r="AV223" i="1"/>
  <c r="AU223" i="1"/>
  <c r="AT223" i="1"/>
  <c r="AV222" i="1"/>
  <c r="AU222" i="1"/>
  <c r="AT222" i="1"/>
  <c r="AV221" i="1"/>
  <c r="AU221" i="1"/>
  <c r="AT221" i="1"/>
  <c r="AV220" i="1"/>
  <c r="AU220" i="1"/>
  <c r="AT220" i="1"/>
  <c r="AV219" i="1"/>
  <c r="AU219" i="1"/>
  <c r="AV218" i="1"/>
  <c r="AU218" i="1"/>
  <c r="AT218" i="1"/>
  <c r="AV217" i="1"/>
  <c r="AU217" i="1"/>
  <c r="AT217" i="1"/>
  <c r="AV216" i="1"/>
  <c r="AU216" i="1"/>
  <c r="AT216" i="1"/>
  <c r="AV215" i="1"/>
  <c r="AU215" i="1"/>
  <c r="AT215" i="1"/>
  <c r="AV214" i="1"/>
  <c r="AU214" i="1"/>
  <c r="AV213" i="1"/>
  <c r="AU213" i="1"/>
  <c r="AV212" i="1"/>
  <c r="AU212" i="1"/>
  <c r="AT212" i="1"/>
  <c r="AV211" i="1"/>
  <c r="AU211" i="1"/>
  <c r="AT211" i="1"/>
  <c r="AV210" i="1"/>
  <c r="AU210" i="1"/>
  <c r="AT210" i="1"/>
  <c r="AV209" i="1"/>
  <c r="AU209" i="1"/>
  <c r="AT209" i="1"/>
  <c r="AV208" i="1"/>
  <c r="AU208" i="1"/>
  <c r="AT208" i="1"/>
  <c r="AV207" i="1"/>
  <c r="AU207" i="1"/>
  <c r="AT207" i="1"/>
  <c r="AV206" i="1"/>
  <c r="AU206" i="1"/>
  <c r="AV205" i="1"/>
  <c r="AU205" i="1"/>
  <c r="AV204" i="1"/>
  <c r="AU204" i="1"/>
  <c r="AT204" i="1"/>
  <c r="AV203" i="1"/>
  <c r="AU203" i="1"/>
  <c r="AT203" i="1"/>
  <c r="AV202" i="1"/>
  <c r="AU202" i="1"/>
  <c r="AT202" i="1"/>
  <c r="AV201" i="1"/>
  <c r="AU201" i="1"/>
  <c r="AT201" i="1"/>
  <c r="AV200" i="1"/>
  <c r="AU200" i="1"/>
  <c r="AT200" i="1"/>
  <c r="AV199" i="1"/>
  <c r="AU199" i="1"/>
  <c r="AT199" i="1"/>
  <c r="AV198" i="1"/>
  <c r="AU198" i="1"/>
  <c r="AT198" i="1"/>
  <c r="AV197" i="1"/>
  <c r="AU197" i="1"/>
  <c r="AT197" i="1"/>
  <c r="AV196" i="1"/>
  <c r="AU196" i="1"/>
  <c r="AV195" i="1"/>
  <c r="AU195" i="1"/>
  <c r="AT195" i="1"/>
  <c r="AV194" i="1"/>
  <c r="AU194" i="1"/>
  <c r="AT194" i="1"/>
  <c r="AV193" i="1"/>
  <c r="AU193" i="1"/>
  <c r="AT193" i="1"/>
  <c r="AV192" i="1"/>
  <c r="AU192" i="1"/>
  <c r="AV191" i="1"/>
  <c r="AU191" i="1"/>
  <c r="AT191" i="1"/>
  <c r="AV190" i="1"/>
  <c r="AU190" i="1"/>
  <c r="AV189" i="1"/>
  <c r="AU189" i="1"/>
  <c r="AV188" i="1"/>
  <c r="AU188" i="1"/>
  <c r="AT188" i="1"/>
  <c r="AV187" i="1"/>
  <c r="AU187" i="1"/>
  <c r="AV186" i="1"/>
  <c r="AU186" i="1"/>
  <c r="AT186" i="1"/>
  <c r="AV185" i="1"/>
  <c r="AU185" i="1"/>
  <c r="AT185" i="1"/>
  <c r="AV184" i="1"/>
  <c r="AU184" i="1"/>
  <c r="AV183" i="1"/>
  <c r="AU183" i="1"/>
  <c r="AT183" i="1"/>
  <c r="AV182" i="1"/>
  <c r="AU182" i="1"/>
  <c r="AV181" i="1"/>
  <c r="AU181" i="1"/>
  <c r="AV180" i="1"/>
  <c r="AU180" i="1"/>
  <c r="AV179" i="1"/>
  <c r="AU179" i="1"/>
  <c r="AT179" i="1"/>
  <c r="AV178" i="1"/>
  <c r="AU178" i="1"/>
  <c r="AV177" i="1"/>
  <c r="AU177" i="1"/>
  <c r="AT177" i="1"/>
  <c r="AV176" i="1"/>
  <c r="AU176" i="1"/>
  <c r="AT176" i="1"/>
  <c r="AV175" i="1"/>
  <c r="AU175" i="1"/>
  <c r="AT175" i="1"/>
  <c r="AV174" i="1"/>
  <c r="AU174" i="1"/>
  <c r="AV173" i="1"/>
  <c r="AU173" i="1"/>
  <c r="AV172" i="1"/>
  <c r="AU172" i="1"/>
  <c r="AT172" i="1"/>
  <c r="AV171" i="1"/>
  <c r="AU171" i="1"/>
  <c r="AV170" i="1"/>
  <c r="AU170" i="1"/>
  <c r="AV169" i="1"/>
  <c r="AU169" i="1"/>
  <c r="AV168" i="1"/>
  <c r="AU168" i="1"/>
  <c r="AT168" i="1"/>
  <c r="AV167" i="1"/>
  <c r="AU167" i="1"/>
  <c r="AV166" i="1"/>
  <c r="AU166" i="1"/>
  <c r="AT166" i="1"/>
  <c r="AV165" i="1"/>
  <c r="AU165" i="1"/>
  <c r="AT165" i="1"/>
  <c r="AV164" i="1"/>
  <c r="AU164" i="1"/>
  <c r="AV163" i="1"/>
  <c r="AU163" i="1"/>
  <c r="AT163" i="1"/>
  <c r="AV162" i="1"/>
  <c r="AU162" i="1"/>
  <c r="AT162" i="1"/>
  <c r="AV161" i="1"/>
  <c r="AU161" i="1"/>
  <c r="AT161" i="1"/>
  <c r="AV160" i="1"/>
  <c r="AU160" i="1"/>
  <c r="AV159" i="1"/>
  <c r="AU159" i="1"/>
  <c r="AT159" i="1"/>
  <c r="AV158" i="1"/>
  <c r="AU158" i="1"/>
  <c r="AT158" i="1"/>
  <c r="AV157" i="1"/>
  <c r="AU157" i="1"/>
  <c r="AT157" i="1"/>
  <c r="AV156" i="1"/>
  <c r="AU156" i="1"/>
  <c r="AT156" i="1"/>
  <c r="AV155" i="1"/>
  <c r="AU155" i="1"/>
  <c r="AT155" i="1"/>
  <c r="AV154" i="1"/>
  <c r="AU154" i="1"/>
  <c r="AT154" i="1"/>
  <c r="AV153" i="1"/>
  <c r="AU153" i="1"/>
  <c r="AT153" i="1"/>
  <c r="AV152" i="1"/>
  <c r="AU152" i="1"/>
  <c r="AT152" i="1"/>
  <c r="AV151" i="1"/>
  <c r="AU151" i="1"/>
  <c r="AT151" i="1"/>
  <c r="AV150" i="1"/>
  <c r="AU150" i="1"/>
  <c r="AV149" i="1"/>
  <c r="AU149" i="1"/>
  <c r="AT149" i="1"/>
  <c r="AV148" i="1"/>
  <c r="AU148" i="1"/>
  <c r="AT148" i="1"/>
  <c r="AV147" i="1"/>
  <c r="AU147" i="1"/>
  <c r="AT147" i="1"/>
  <c r="AV146" i="1"/>
  <c r="AU146" i="1"/>
  <c r="AT146" i="1"/>
  <c r="AV145" i="1"/>
  <c r="AU145" i="1"/>
  <c r="AV144" i="1"/>
  <c r="AU144" i="1"/>
  <c r="AV143" i="1"/>
  <c r="AU143" i="1"/>
  <c r="AT143" i="1"/>
  <c r="AV142" i="1"/>
  <c r="AU142" i="1"/>
  <c r="AT142" i="1"/>
  <c r="AV141" i="1"/>
  <c r="AU141" i="1"/>
  <c r="AT141" i="1"/>
  <c r="AV140" i="1"/>
  <c r="AU140" i="1"/>
  <c r="AT140" i="1"/>
  <c r="AV139" i="1"/>
  <c r="AU139" i="1"/>
  <c r="AV138" i="1"/>
  <c r="AU138" i="1"/>
  <c r="AT138" i="1"/>
  <c r="AV137" i="1"/>
  <c r="AU137" i="1"/>
  <c r="AT137" i="1"/>
  <c r="AV136" i="1"/>
  <c r="AU136" i="1"/>
  <c r="AV135" i="1"/>
  <c r="AU135" i="1"/>
  <c r="AT135" i="1"/>
  <c r="AV134" i="1"/>
  <c r="AU134" i="1"/>
  <c r="AT134" i="1"/>
  <c r="AV133" i="1"/>
  <c r="AU133" i="1"/>
  <c r="AT133" i="1"/>
  <c r="AV132" i="1"/>
  <c r="AU132" i="1"/>
  <c r="AT132" i="1"/>
  <c r="AV131" i="1"/>
  <c r="AU131" i="1"/>
  <c r="AV130" i="1"/>
  <c r="AU130" i="1"/>
  <c r="AV129" i="1"/>
  <c r="AU129" i="1"/>
  <c r="AT129" i="1"/>
  <c r="AV128" i="1"/>
  <c r="AU128" i="1"/>
  <c r="AT128" i="1"/>
  <c r="AV127" i="1"/>
  <c r="AU127" i="1"/>
  <c r="AT127" i="1"/>
  <c r="AV126" i="1"/>
  <c r="AU126" i="1"/>
  <c r="AT126" i="1"/>
  <c r="AV125" i="1"/>
  <c r="AU125" i="1"/>
  <c r="AV124" i="1"/>
  <c r="AU124" i="1"/>
  <c r="AT124" i="1"/>
  <c r="AV123" i="1"/>
  <c r="AU123" i="1"/>
  <c r="AT123" i="1"/>
  <c r="AV122" i="1"/>
  <c r="AU122" i="1"/>
  <c r="AT122" i="1"/>
  <c r="AV121" i="1"/>
  <c r="AU121" i="1"/>
  <c r="AT121" i="1"/>
  <c r="AV120" i="1"/>
  <c r="AU120" i="1"/>
  <c r="AT120" i="1"/>
  <c r="AV119" i="1"/>
  <c r="AU119" i="1"/>
  <c r="AV118" i="1"/>
  <c r="AU118" i="1"/>
  <c r="AT118" i="1"/>
  <c r="AV117" i="1"/>
  <c r="AU117" i="1"/>
  <c r="AT117" i="1"/>
  <c r="AV116" i="1"/>
  <c r="AU116" i="1"/>
  <c r="AT116" i="1"/>
  <c r="AV115" i="1"/>
  <c r="AU115" i="1"/>
  <c r="AV114" i="1"/>
  <c r="AU114" i="1"/>
  <c r="AT114" i="1"/>
  <c r="AV113" i="1"/>
  <c r="AU113" i="1"/>
  <c r="AT113" i="1"/>
  <c r="AV112" i="1"/>
  <c r="AU112" i="1"/>
  <c r="AV111" i="1"/>
  <c r="AU111" i="1"/>
  <c r="AT111" i="1"/>
  <c r="AV110" i="1"/>
  <c r="AU110" i="1"/>
  <c r="AV109" i="1"/>
  <c r="AU109" i="1"/>
  <c r="AV108" i="1"/>
  <c r="AU108" i="1"/>
  <c r="AV107" i="1"/>
  <c r="AU107" i="1"/>
  <c r="AT107" i="1"/>
  <c r="AV106" i="1"/>
  <c r="AU106" i="1"/>
  <c r="AV105" i="1"/>
  <c r="AU105" i="1"/>
  <c r="AT105" i="1"/>
  <c r="AV104" i="1"/>
  <c r="AU104" i="1"/>
  <c r="AT104" i="1"/>
  <c r="AV103" i="1"/>
  <c r="AU103" i="1"/>
  <c r="AT103" i="1"/>
  <c r="AV102" i="1"/>
  <c r="AU102" i="1"/>
  <c r="AV101" i="1"/>
  <c r="AU101" i="1"/>
  <c r="AT101" i="1"/>
  <c r="AV100" i="1"/>
  <c r="AU100" i="1"/>
  <c r="AV99" i="1"/>
  <c r="AU99" i="1"/>
  <c r="AT99" i="1"/>
  <c r="AV98" i="1"/>
  <c r="AU98" i="1"/>
  <c r="AT98" i="1"/>
  <c r="AV97" i="1"/>
  <c r="AU97" i="1"/>
  <c r="AT97" i="1"/>
  <c r="AV96" i="1"/>
  <c r="AU96" i="1"/>
  <c r="AT96" i="1"/>
  <c r="AV95" i="1"/>
  <c r="AU95" i="1"/>
  <c r="AT95" i="1"/>
  <c r="AV94" i="1"/>
  <c r="AU94" i="1"/>
  <c r="AV93" i="1"/>
  <c r="AU93" i="1"/>
  <c r="AT93" i="1"/>
  <c r="AV92" i="1"/>
  <c r="AU92" i="1"/>
  <c r="AV91" i="1"/>
  <c r="AU91" i="1"/>
  <c r="AT91" i="1"/>
  <c r="AV90" i="1"/>
  <c r="AU90" i="1"/>
  <c r="AT90" i="1"/>
  <c r="AV89" i="1"/>
  <c r="AU89" i="1"/>
  <c r="AT89" i="1"/>
  <c r="AV88" i="1"/>
  <c r="AU88" i="1"/>
  <c r="AV87" i="1"/>
  <c r="AU87" i="1"/>
  <c r="AT87" i="1"/>
  <c r="AV86" i="1"/>
  <c r="AU86" i="1"/>
  <c r="AT86" i="1"/>
  <c r="AV85" i="1"/>
  <c r="AU85" i="1"/>
  <c r="AV84" i="1"/>
  <c r="AU84" i="1"/>
  <c r="AV83" i="1"/>
  <c r="AU83" i="1"/>
  <c r="AT83" i="1"/>
  <c r="AV82" i="1"/>
  <c r="AU82" i="1"/>
  <c r="AV81" i="1"/>
  <c r="AU81" i="1"/>
  <c r="AT81" i="1"/>
  <c r="AV80" i="1"/>
  <c r="AU80" i="1"/>
  <c r="AV79" i="1"/>
  <c r="AU79" i="1"/>
  <c r="AV78" i="1"/>
  <c r="AU78" i="1"/>
  <c r="AT78" i="1"/>
  <c r="AV77" i="1"/>
  <c r="AU77" i="1"/>
  <c r="AV76" i="1"/>
  <c r="AU76" i="1"/>
  <c r="AV75" i="1"/>
  <c r="AU75" i="1"/>
  <c r="AT75" i="1"/>
  <c r="AV74" i="1"/>
  <c r="AU74" i="1"/>
  <c r="AV73" i="1"/>
  <c r="AU73" i="1"/>
  <c r="AV72" i="1"/>
  <c r="AU72" i="1"/>
  <c r="AT72" i="1"/>
  <c r="AV71" i="1"/>
  <c r="AU71" i="1"/>
  <c r="AT71" i="1"/>
  <c r="AV70" i="1"/>
  <c r="AU70" i="1"/>
  <c r="AT70" i="1"/>
  <c r="AV69" i="1"/>
  <c r="AU69" i="1"/>
  <c r="AV68" i="1"/>
  <c r="AU68" i="1"/>
  <c r="AT68" i="1"/>
  <c r="AV67" i="1"/>
  <c r="AU67" i="1"/>
  <c r="AT67" i="1"/>
  <c r="AV66" i="1"/>
  <c r="AU66" i="1"/>
  <c r="AV65" i="1"/>
  <c r="AU65" i="1"/>
  <c r="AT65" i="1"/>
  <c r="AV64" i="1"/>
  <c r="AU64" i="1"/>
  <c r="AV63" i="1"/>
  <c r="AU63" i="1"/>
  <c r="AT63" i="1"/>
  <c r="AV62" i="1"/>
  <c r="AU62" i="1"/>
  <c r="AT62" i="1"/>
  <c r="AV61" i="1"/>
  <c r="AU61" i="1"/>
  <c r="AT61" i="1"/>
  <c r="AV60" i="1"/>
  <c r="AU60" i="1"/>
  <c r="AT60" i="1"/>
  <c r="AV59" i="1"/>
  <c r="AU59" i="1"/>
  <c r="AT59" i="1"/>
  <c r="AV58" i="1"/>
  <c r="AU58" i="1"/>
  <c r="AV57" i="1"/>
  <c r="AU57" i="1"/>
  <c r="AV56" i="1"/>
  <c r="AU56" i="1"/>
  <c r="AT56" i="1"/>
  <c r="AV55" i="1"/>
  <c r="AU55" i="1"/>
  <c r="AT55" i="1"/>
  <c r="AV54" i="1"/>
  <c r="AU54" i="1"/>
  <c r="AT54" i="1"/>
  <c r="AV53" i="1"/>
  <c r="AU53" i="1"/>
  <c r="AT53" i="1"/>
  <c r="AV52" i="1"/>
  <c r="AU52" i="1"/>
  <c r="AT52" i="1"/>
  <c r="AV51" i="1"/>
  <c r="AU51" i="1"/>
  <c r="AV50" i="1"/>
  <c r="AU50" i="1"/>
  <c r="AT50" i="1"/>
  <c r="AV49" i="1"/>
  <c r="AU49" i="1"/>
  <c r="AT49" i="1"/>
  <c r="AV48" i="1"/>
  <c r="AU48" i="1"/>
  <c r="AT48" i="1"/>
  <c r="AV47" i="1"/>
  <c r="AU47" i="1"/>
  <c r="AV46" i="1"/>
  <c r="AU46" i="1"/>
  <c r="AV45" i="1"/>
  <c r="AU45" i="1"/>
  <c r="AT45" i="1"/>
  <c r="AV44" i="1"/>
  <c r="AU44" i="1"/>
  <c r="AV43" i="1"/>
  <c r="AU43" i="1"/>
  <c r="AV42" i="1"/>
  <c r="AU42" i="1"/>
  <c r="AT42" i="1"/>
  <c r="AV41" i="1"/>
  <c r="AU41" i="1"/>
  <c r="AT41" i="1"/>
  <c r="AV40" i="1"/>
  <c r="AU40" i="1"/>
  <c r="AV39" i="1"/>
  <c r="AU39" i="1"/>
  <c r="AT39" i="1"/>
  <c r="AV38" i="1"/>
  <c r="AU38" i="1"/>
  <c r="AV37" i="1"/>
  <c r="AU37" i="1"/>
  <c r="AV36" i="1"/>
  <c r="AU36" i="1"/>
  <c r="AT36" i="1"/>
  <c r="AV35" i="1"/>
  <c r="AU35" i="1"/>
  <c r="AT35" i="1"/>
  <c r="AV34" i="1"/>
  <c r="AU34" i="1"/>
  <c r="AT34" i="1"/>
  <c r="AV33" i="1"/>
  <c r="AU33" i="1"/>
  <c r="AV32" i="1"/>
  <c r="AU32" i="1"/>
  <c r="AV31" i="1"/>
  <c r="AU31" i="1"/>
  <c r="AT31" i="1"/>
  <c r="AV30" i="1"/>
  <c r="AU30" i="1"/>
  <c r="AV29" i="1"/>
  <c r="AU29" i="1"/>
  <c r="AT29" i="1"/>
  <c r="AV28" i="1"/>
  <c r="AU28" i="1"/>
  <c r="AT28" i="1"/>
  <c r="AV27" i="1"/>
  <c r="AU27" i="1"/>
  <c r="AT27" i="1"/>
  <c r="AV26" i="1"/>
  <c r="AU26" i="1"/>
  <c r="AT26" i="1"/>
  <c r="AV25" i="1"/>
  <c r="AU25" i="1"/>
  <c r="AT25" i="1"/>
  <c r="AV24" i="1"/>
  <c r="AU24" i="1"/>
  <c r="AV23" i="1"/>
  <c r="AU23" i="1"/>
  <c r="AT23" i="1"/>
  <c r="AV22" i="1"/>
  <c r="AU22" i="1"/>
  <c r="AV21" i="1"/>
  <c r="AU21" i="1"/>
  <c r="AT21" i="1"/>
  <c r="AV20" i="1"/>
  <c r="AU20" i="1"/>
  <c r="AV19" i="1"/>
  <c r="AU19" i="1"/>
  <c r="AV18" i="1"/>
  <c r="AU18" i="1"/>
  <c r="AV17" i="1"/>
  <c r="AU17" i="1"/>
  <c r="AT17" i="1"/>
  <c r="AV16" i="1"/>
  <c r="AU16" i="1"/>
  <c r="AV15" i="1"/>
  <c r="AU15" i="1"/>
  <c r="AT15" i="1"/>
  <c r="AV14" i="1"/>
  <c r="AU14" i="1"/>
  <c r="AV13" i="1"/>
  <c r="AU13" i="1"/>
  <c r="AT13" i="1"/>
  <c r="AV12" i="1"/>
  <c r="AU12" i="1"/>
  <c r="AV11" i="1"/>
  <c r="AU11" i="1"/>
  <c r="AV10" i="1"/>
  <c r="AU10" i="1"/>
  <c r="AT10" i="1"/>
  <c r="AV9" i="1"/>
  <c r="AU9" i="1"/>
  <c r="AV8" i="1"/>
  <c r="AU8" i="1"/>
  <c r="AV7" i="1"/>
  <c r="AU7" i="1"/>
  <c r="AV6" i="1"/>
  <c r="AU6" i="1"/>
  <c r="AT6" i="1"/>
  <c r="AV5" i="1"/>
  <c r="AU5" i="1"/>
  <c r="AT5" i="1"/>
  <c r="AV4" i="1"/>
  <c r="AU4" i="1"/>
  <c r="AT4" i="1"/>
  <c r="AV3" i="1"/>
  <c r="AU3" i="1"/>
  <c r="AV2" i="1"/>
  <c r="AU2" i="1"/>
</calcChain>
</file>

<file path=xl/sharedStrings.xml><?xml version="1.0" encoding="utf-8"?>
<sst xmlns="http://schemas.openxmlformats.org/spreadsheetml/2006/main" count="42310" uniqueCount="16016">
  <si>
    <t>CURAL</t>
  </si>
  <si>
    <t>SHELVES</t>
  </si>
  <si>
    <t>PQ101 .D7</t>
  </si>
  <si>
    <t>0                      PQ 0101000D  7</t>
  </si>
  <si>
    <t>Bibliographie de la littérature française, 1940-1949: complément à la bibliographie de H. P. Thieme.</t>
  </si>
  <si>
    <t>No</t>
  </si>
  <si>
    <t>1</t>
  </si>
  <si>
    <t>0</t>
  </si>
  <si>
    <t>Drevet, Marguerite L.</t>
  </si>
  <si>
    <t>Genève, Librairie E. Droz, 1954.</t>
  </si>
  <si>
    <t>1954</t>
  </si>
  <si>
    <t>fre</t>
  </si>
  <si>
    <t xml:space="preserve">sz </t>
  </si>
  <si>
    <t xml:space="preserve">PQ </t>
  </si>
  <si>
    <t>1995-04-04</t>
  </si>
  <si>
    <t>1992-08-03</t>
  </si>
  <si>
    <t>2219285:fre</t>
  </si>
  <si>
    <t>1332798</t>
  </si>
  <si>
    <t>991003698499702656</t>
  </si>
  <si>
    <t>2259983230002656</t>
  </si>
  <si>
    <t>BOOK</t>
  </si>
  <si>
    <t>32285001250660</t>
  </si>
  <si>
    <t>893775053</t>
  </si>
  <si>
    <t>PQ101 .L58 1992b</t>
  </si>
  <si>
    <t>0                      PQ 0101000L  58          1992b</t>
  </si>
  <si>
    <t>Littérature francophone : anthologie / par un ensemble de professeurs francophones sous la direction de Jean-Louis Joubert.</t>
  </si>
  <si>
    <t>Nathan : Agence de Coopération Culturelle et Technique ; New York, N.Y. : Gessler, c1992.</t>
  </si>
  <si>
    <t>1992</t>
  </si>
  <si>
    <t xml:space="preserve">fr </t>
  </si>
  <si>
    <t>2000-01-07</t>
  </si>
  <si>
    <t>1996-08-23</t>
  </si>
  <si>
    <t>889735458:fre</t>
  </si>
  <si>
    <t>32477465</t>
  </si>
  <si>
    <t>991002497339702656</t>
  </si>
  <si>
    <t>2266435880002656</t>
  </si>
  <si>
    <t>9782288824011</t>
  </si>
  <si>
    <t>32285002291945</t>
  </si>
  <si>
    <t>893498187</t>
  </si>
  <si>
    <t>PQ1107 .V65 1990</t>
  </si>
  <si>
    <t>0                      PQ 1107000V  65          1990</t>
  </si>
  <si>
    <t>Voix de femmes : écritures de femmes dans la littérature française du XIX-XXe s. / textes choisis et présentés par Claire-Lise Tondeur.</t>
  </si>
  <si>
    <t>Lanham [Md.] : University Press of America, c1990.</t>
  </si>
  <si>
    <t>1990</t>
  </si>
  <si>
    <t>mdu</t>
  </si>
  <si>
    <t>1998-05-13</t>
  </si>
  <si>
    <t>1992-04-08</t>
  </si>
  <si>
    <t>Yes</t>
  </si>
  <si>
    <t>908312999:fre</t>
  </si>
  <si>
    <t>21298612</t>
  </si>
  <si>
    <t>991001672539702656</t>
  </si>
  <si>
    <t>2261601190002656</t>
  </si>
  <si>
    <t>9780819177933</t>
  </si>
  <si>
    <t>32285001008969</t>
  </si>
  <si>
    <t>893772786</t>
  </si>
  <si>
    <t>PQ1136 .B7</t>
  </si>
  <si>
    <t>0                      PQ 1136000B  7</t>
  </si>
  <si>
    <t>French literature of the nineteenth century / edited by Robert Foster Bradley and Robert Bell Michell.</t>
  </si>
  <si>
    <t>Bradley, Robert Foster, editor.</t>
  </si>
  <si>
    <t>New York : F.S. Crofts &amp; Co., 1935.</t>
  </si>
  <si>
    <t>1935</t>
  </si>
  <si>
    <t>eng</t>
  </si>
  <si>
    <t>nyu</t>
  </si>
  <si>
    <t>2002-04-24</t>
  </si>
  <si>
    <t>1995-05-02</t>
  </si>
  <si>
    <t>1479117:eng</t>
  </si>
  <si>
    <t>341481</t>
  </si>
  <si>
    <t>991002415209702656</t>
  </si>
  <si>
    <t>2265676240002656</t>
  </si>
  <si>
    <t>32285002031119</t>
  </si>
  <si>
    <t>893421324</t>
  </si>
  <si>
    <t>PQ1141 .B56</t>
  </si>
  <si>
    <t>0                      PQ 1141000B  56</t>
  </si>
  <si>
    <t>Une anthologie vivante de la littérature d'aujourd'hui [1945-1965]</t>
  </si>
  <si>
    <t>V.2</t>
  </si>
  <si>
    <t>Boisdeffre, Pierre de editor.</t>
  </si>
  <si>
    <t>Paris, Perrin [1965-66]</t>
  </si>
  <si>
    <t>1965</t>
  </si>
  <si>
    <t>1992-12-08</t>
  </si>
  <si>
    <t>1992-12-05</t>
  </si>
  <si>
    <t>1995-08-28</t>
  </si>
  <si>
    <t>1255312938:fre</t>
  </si>
  <si>
    <t>254891</t>
  </si>
  <si>
    <t>991001988939702656</t>
  </si>
  <si>
    <t>2269373100002656</t>
  </si>
  <si>
    <t>32285001439743</t>
  </si>
  <si>
    <t>893809261</t>
  </si>
  <si>
    <t>PQ116 .D48 1994</t>
  </si>
  <si>
    <t>0                      PQ 0116000D  48          1994</t>
  </si>
  <si>
    <t>La littérature française au fil des siècles / par Pierre Deshusses, Léon Karlson.</t>
  </si>
  <si>
    <t>Deshusses, Pierre.</t>
  </si>
  <si>
    <t>Paris : Bordas, c1994.</t>
  </si>
  <si>
    <t>1994</t>
  </si>
  <si>
    <t>1996-09-13</t>
  </si>
  <si>
    <t>1996-06-24</t>
  </si>
  <si>
    <t>3901654698:fre</t>
  </si>
  <si>
    <t>31847108</t>
  </si>
  <si>
    <t>991002441879702656</t>
  </si>
  <si>
    <t>2259806190002656</t>
  </si>
  <si>
    <t>9782288826695</t>
  </si>
  <si>
    <t>32285002172285</t>
  </si>
  <si>
    <t>893335316</t>
  </si>
  <si>
    <t>V.1</t>
  </si>
  <si>
    <t>32285002172277</t>
  </si>
  <si>
    <t>893341445</t>
  </si>
  <si>
    <t>PQ116 .H5</t>
  </si>
  <si>
    <t>0                      PQ 0116000H  5</t>
  </si>
  <si>
    <t>Histoire de la littérature française. / par Pierre Brunel [et al.]</t>
  </si>
  <si>
    <t>Paris ; New York : Bordas, [1972]</t>
  </si>
  <si>
    <t>1972</t>
  </si>
  <si>
    <t>1992-11-05</t>
  </si>
  <si>
    <t>4918947225:fre</t>
  </si>
  <si>
    <t>819853</t>
  </si>
  <si>
    <t>991003296939702656</t>
  </si>
  <si>
    <t>2264446660002656</t>
  </si>
  <si>
    <t>32285001250678</t>
  </si>
  <si>
    <t>893428649</t>
  </si>
  <si>
    <t>PQ116 .M3</t>
  </si>
  <si>
    <t>0                      PQ 0116000M  3</t>
  </si>
  <si>
    <t>De la littérature à l'alittérature.</t>
  </si>
  <si>
    <t>Mauriac, Claude, 1914-1996.</t>
  </si>
  <si>
    <t>Paris, B. Grasset, 1969.</t>
  </si>
  <si>
    <t>1969</t>
  </si>
  <si>
    <t>1997-04-28</t>
  </si>
  <si>
    <t>350383560:fre</t>
  </si>
  <si>
    <t>638259</t>
  </si>
  <si>
    <t>991003088069702656</t>
  </si>
  <si>
    <t>2259527850002656</t>
  </si>
  <si>
    <t>32285002588530</t>
  </si>
  <si>
    <t>893711032</t>
  </si>
  <si>
    <t>PQ1170.E6 B4</t>
  </si>
  <si>
    <t>0                      PQ 1170000E  6                  B  4</t>
  </si>
  <si>
    <t>Baudelaire, Rimbaud, Verlaine : selected verse and prose poems / edited, with an introduction, by Joseph M. Bernstein.</t>
  </si>
  <si>
    <t>Baudelaire, Charles, 1821-1867.</t>
  </si>
  <si>
    <t>New York, The Citadel Press 1965, c1947.</t>
  </si>
  <si>
    <t>2nd paperbound ed.</t>
  </si>
  <si>
    <t>1998-10-01</t>
  </si>
  <si>
    <t>1997-05-07</t>
  </si>
  <si>
    <t>1395695:eng</t>
  </si>
  <si>
    <t>21968746</t>
  </si>
  <si>
    <t>991001734939702656</t>
  </si>
  <si>
    <t>2272085520002656</t>
  </si>
  <si>
    <t>32285002650876</t>
  </si>
  <si>
    <t>893444777</t>
  </si>
  <si>
    <t>PQ1173 .S37</t>
  </si>
  <si>
    <t>0                      PQ 1173000S  37</t>
  </si>
  <si>
    <t>Poètes du XVIe siècle.</t>
  </si>
  <si>
    <t>Schmidt, Albert-Marie, editor.</t>
  </si>
  <si>
    <t>[Paris, Gallimard, 1953]</t>
  </si>
  <si>
    <t>1953</t>
  </si>
  <si>
    <t>Bibliothèque de la Pléiade, v. 96</t>
  </si>
  <si>
    <t>2001-02-11</t>
  </si>
  <si>
    <t>5621338004:fre</t>
  </si>
  <si>
    <t>789157</t>
  </si>
  <si>
    <t>991003262889702656</t>
  </si>
  <si>
    <t>2264342870002656</t>
  </si>
  <si>
    <t>32285002650900</t>
  </si>
  <si>
    <t>893240033</t>
  </si>
  <si>
    <t>PQ118 .K3 1970</t>
  </si>
  <si>
    <t>0                      PQ 0118000K  3           1970</t>
  </si>
  <si>
    <t>A short history of French literature from the origins to the present day / by L. E. Kastner and Henry Gibson Atkins.</t>
  </si>
  <si>
    <t>Kastner, L. E. (Léon Emile), 1867-1940.</t>
  </si>
  <si>
    <t>Port Washington, N.Y. : Kennikat Press, [1970]</t>
  </si>
  <si>
    <t>1970</t>
  </si>
  <si>
    <t>2006-10-25</t>
  </si>
  <si>
    <t>1993-05-04</t>
  </si>
  <si>
    <t>5172860:eng</t>
  </si>
  <si>
    <t>58521</t>
  </si>
  <si>
    <t>991000143979702656</t>
  </si>
  <si>
    <t>2260093350002656</t>
  </si>
  <si>
    <t>9780804608664</t>
  </si>
  <si>
    <t>32285001633600</t>
  </si>
  <si>
    <t>893595325</t>
  </si>
  <si>
    <t>PQ1184 .B42</t>
  </si>
  <si>
    <t>0                      PQ 1184000B  42</t>
  </si>
  <si>
    <t>La poésie surréaliste / présentée par Jean-Louis Bédouin. --</t>
  </si>
  <si>
    <t>Bédouin, Jean-Louis, editor.</t>
  </si>
  <si>
    <t>Paris : Seghers, 1964.</t>
  </si>
  <si>
    <t>1964</t>
  </si>
  <si>
    <t>Collection P.S.</t>
  </si>
  <si>
    <t>1993-12-03</t>
  </si>
  <si>
    <t>1992-08-04</t>
  </si>
  <si>
    <t>353328100:fre</t>
  </si>
  <si>
    <t>4228086</t>
  </si>
  <si>
    <t>991004613069702656</t>
  </si>
  <si>
    <t>2255082960002656</t>
  </si>
  <si>
    <t>32285001251445</t>
  </si>
  <si>
    <t>893706625</t>
  </si>
  <si>
    <t>PQ119 .B7</t>
  </si>
  <si>
    <t>0                      PQ 0119000B  7</t>
  </si>
  <si>
    <t>A short history of French literature.</t>
  </si>
  <si>
    <t>Brereton, Geoffrey.</t>
  </si>
  <si>
    <t>London, Cassell [1962, c1954]</t>
  </si>
  <si>
    <t>1962</t>
  </si>
  <si>
    <t>enk</t>
  </si>
  <si>
    <t>The Belle sauvage library.</t>
  </si>
  <si>
    <t>1998-09-20</t>
  </si>
  <si>
    <t>2075734:eng</t>
  </si>
  <si>
    <t>2163652</t>
  </si>
  <si>
    <t>991004033589702656</t>
  </si>
  <si>
    <t>2266546580002656</t>
  </si>
  <si>
    <t>32285002588555</t>
  </si>
  <si>
    <t>893781776</t>
  </si>
  <si>
    <t>PQ119 .H8 1970</t>
  </si>
  <si>
    <t>0                      PQ 0119000H  8           1970</t>
  </si>
  <si>
    <t>A short history of French literature. With memoir of the author by A. A. Jack.</t>
  </si>
  <si>
    <t>Hudson, William Henry, 1862-1918.</t>
  </si>
  <si>
    <t>Port Washington, N.Y., Kennikat Press [1970]</t>
  </si>
  <si>
    <t>1224807:eng</t>
  </si>
  <si>
    <t>62389</t>
  </si>
  <si>
    <t>991000183129702656</t>
  </si>
  <si>
    <t>2255127880002656</t>
  </si>
  <si>
    <t>9780804608640</t>
  </si>
  <si>
    <t>32285002588563</t>
  </si>
  <si>
    <t>893320889</t>
  </si>
  <si>
    <t>PQ119 .N58 1950</t>
  </si>
  <si>
    <t>0                      PQ 0119000N  58          1950</t>
  </si>
  <si>
    <t>A history of French literature : from the earliest times to the present / by William A. Nitze and E. Preston Dargan.</t>
  </si>
  <si>
    <t>Nitze, William Albert, 1876-1957.</t>
  </si>
  <si>
    <t>New York : Holt, Rinehart and Winston, 1950.</t>
  </si>
  <si>
    <t>1950</t>
  </si>
  <si>
    <t>3d ed.</t>
  </si>
  <si>
    <t>1999-08-23</t>
  </si>
  <si>
    <t>1997-08-21</t>
  </si>
  <si>
    <t>5703472:eng</t>
  </si>
  <si>
    <t>4294039</t>
  </si>
  <si>
    <t>991004620949702656</t>
  </si>
  <si>
    <t>2269565520002656</t>
  </si>
  <si>
    <t>32285003001194</t>
  </si>
  <si>
    <t>893624903</t>
  </si>
  <si>
    <t>PQ1223 .P8</t>
  </si>
  <si>
    <t>0                      PQ 1223000P  8</t>
  </si>
  <si>
    <t>The French theater since 1930 : six contemporary full-length plays / edited by Oreste F. Pucciani.</t>
  </si>
  <si>
    <t>Pucciani, Oreste F.</t>
  </si>
  <si>
    <t>Boston : Ginn, c1954.</t>
  </si>
  <si>
    <t xml:space="preserve">xx </t>
  </si>
  <si>
    <t>2004-11-15</t>
  </si>
  <si>
    <t>1997-05-08</t>
  </si>
  <si>
    <t>2078600:fre</t>
  </si>
  <si>
    <t>3778698</t>
  </si>
  <si>
    <t>991004514339702656</t>
  </si>
  <si>
    <t>2259441930002656</t>
  </si>
  <si>
    <t>32285002651122</t>
  </si>
  <si>
    <t>893446258</t>
  </si>
  <si>
    <t>PQ1342.E5 A9</t>
  </si>
  <si>
    <t>0                      PQ 1342000E  5                  A  9</t>
  </si>
  <si>
    <t>Medieval French plays. Translated by Richard Axton and John Stevens.</t>
  </si>
  <si>
    <t>Axton, Richard, compiler.</t>
  </si>
  <si>
    <t>New York, Barnes &amp; Noble, 1971.</t>
  </si>
  <si>
    <t>1971</t>
  </si>
  <si>
    <t>1998-10-08</t>
  </si>
  <si>
    <t>366120317:eng</t>
  </si>
  <si>
    <t>164910</t>
  </si>
  <si>
    <t>991000936149702656</t>
  </si>
  <si>
    <t>2271693610002656</t>
  </si>
  <si>
    <t>9780389041115</t>
  </si>
  <si>
    <t>32285002651460</t>
  </si>
  <si>
    <t>893496696</t>
  </si>
  <si>
    <t>PQ1342.E5 F58 1982</t>
  </si>
  <si>
    <t>0                      PQ 1342000E  5                  F  58          1982</t>
  </si>
  <si>
    <t>Five comedies of medieval France / translated and introduced by Oscar Mandel.</t>
  </si>
  <si>
    <t>Washington, D.C. : University Press of America, c1982.</t>
  </si>
  <si>
    <t>1982</t>
  </si>
  <si>
    <t>dcu</t>
  </si>
  <si>
    <t>1994-10-05</t>
  </si>
  <si>
    <t>1251047:eng</t>
  </si>
  <si>
    <t>8666776</t>
  </si>
  <si>
    <t>991000042589702656</t>
  </si>
  <si>
    <t>2272444200002656</t>
  </si>
  <si>
    <t>9780819126689</t>
  </si>
  <si>
    <t>32285001251494</t>
  </si>
  <si>
    <t>893425352</t>
  </si>
  <si>
    <t>PQ1345.A2 E5 1976</t>
  </si>
  <si>
    <t>0                      PQ 1345000A  2                  E  5           1976</t>
  </si>
  <si>
    <t>The play of Adam = Ordo representacionis Ade / the original text reviewed, with introduction, notes, and an English translation by Carl J. Odenkirchen.</t>
  </si>
  <si>
    <t>Adam (Mystery). English &amp; Anglo-Norman.</t>
  </si>
  <si>
    <t>Brookline, Mass. : Classical Folia Editions, 1976.</t>
  </si>
  <si>
    <t>1976</t>
  </si>
  <si>
    <t>mau</t>
  </si>
  <si>
    <t>Medieval classics : texts and studies ; 5</t>
  </si>
  <si>
    <t>1998-12-14</t>
  </si>
  <si>
    <t>1089567758:eng</t>
  </si>
  <si>
    <t>2932522</t>
  </si>
  <si>
    <t>991004288259702656</t>
  </si>
  <si>
    <t>2268696670002656</t>
  </si>
  <si>
    <t>32285001251502</t>
  </si>
  <si>
    <t>893712377</t>
  </si>
  <si>
    <t>PQ142 .M4 1977</t>
  </si>
  <si>
    <t>0                      PQ 0142000M  4           1977</t>
  </si>
  <si>
    <t>Revolution and repetition : Marx/Hugo/Balzac / Jeffrey Mehlman.</t>
  </si>
  <si>
    <t>Mehlman, Jeffrey.</t>
  </si>
  <si>
    <t>Berkeley : University of California Press, c1977.</t>
  </si>
  <si>
    <t>1977</t>
  </si>
  <si>
    <t>cau</t>
  </si>
  <si>
    <t>Quantum books</t>
  </si>
  <si>
    <t>1994-03-27</t>
  </si>
  <si>
    <t>836699041:eng</t>
  </si>
  <si>
    <t>3428758</t>
  </si>
  <si>
    <t>991004432419702656</t>
  </si>
  <si>
    <t>2258445120002656</t>
  </si>
  <si>
    <t>9780520031111</t>
  </si>
  <si>
    <t>32285001250710</t>
  </si>
  <si>
    <t>893229364</t>
  </si>
  <si>
    <t>PQ1426.E5 M3 1958</t>
  </si>
  <si>
    <t>0                      PQ 1426000E  5                  M  3           1958</t>
  </si>
  <si>
    <t>Aucassin and Nicolette : and other mediaeval romances and legends / translated with an introduction by Eugene Mason.</t>
  </si>
  <si>
    <t>Aucassin et Nicolette.</t>
  </si>
  <si>
    <t>New York : Dutton, 1958.</t>
  </si>
  <si>
    <t>1958</t>
  </si>
  <si>
    <t>1998-09-10</t>
  </si>
  <si>
    <t>1995-10-30</t>
  </si>
  <si>
    <t>474901:eng</t>
  </si>
  <si>
    <t>8673525</t>
  </si>
  <si>
    <t>991000048629702656</t>
  </si>
  <si>
    <t>2272009240002656</t>
  </si>
  <si>
    <t>9780525470199</t>
  </si>
  <si>
    <t>32285002069309</t>
  </si>
  <si>
    <t>893808595</t>
  </si>
  <si>
    <t>PQ143.U6 M37 1993</t>
  </si>
  <si>
    <t>0                      PQ 0143000U  6                  M  37          1993</t>
  </si>
  <si>
    <t>Extrême-Occident : French intellectuals and America / Jean-Philippe Mathy.</t>
  </si>
  <si>
    <t>Mathy, Jean-Philippe.</t>
  </si>
  <si>
    <t>Chicago : University of Chicago Press, c1993.</t>
  </si>
  <si>
    <t>1993</t>
  </si>
  <si>
    <t>ilu</t>
  </si>
  <si>
    <t>1994-03-25</t>
  </si>
  <si>
    <t>1994-02-17</t>
  </si>
  <si>
    <t>807325990:eng</t>
  </si>
  <si>
    <t>27643073</t>
  </si>
  <si>
    <t>991002146059702656</t>
  </si>
  <si>
    <t>2272060300002656</t>
  </si>
  <si>
    <t>9780226510637</t>
  </si>
  <si>
    <t>32285001843043</t>
  </si>
  <si>
    <t>893256927</t>
  </si>
  <si>
    <t>PQ1448 .G77</t>
  </si>
  <si>
    <t>0                      PQ 1448000G  77</t>
  </si>
  <si>
    <t>Chrétien de Troyes: inventor of the modern novel.</t>
  </si>
  <si>
    <t>Guyer, Foster Erwin, 1884-</t>
  </si>
  <si>
    <t>New York, Bookman Associates [1957]</t>
  </si>
  <si>
    <t>1957</t>
  </si>
  <si>
    <t>2000-01-26</t>
  </si>
  <si>
    <t>1997-05-09</t>
  </si>
  <si>
    <t>1387956:eng</t>
  </si>
  <si>
    <t>7375901</t>
  </si>
  <si>
    <t>991005108399702656</t>
  </si>
  <si>
    <t>2267808780002656</t>
  </si>
  <si>
    <t>32285002651817</t>
  </si>
  <si>
    <t>893889682</t>
  </si>
  <si>
    <t>PQ1448 .H74</t>
  </si>
  <si>
    <t>0                      PQ 1448000H  74</t>
  </si>
  <si>
    <t>Chrétien de Troyes.</t>
  </si>
  <si>
    <t>Holmes, Urban T., Jr., 1900-1972.</t>
  </si>
  <si>
    <t>New York, Twayne Publishers [1970]</t>
  </si>
  <si>
    <t>Twayne's world authors series. TWAS94. France</t>
  </si>
  <si>
    <t>2000-04-24</t>
  </si>
  <si>
    <t>3902601200:eng</t>
  </si>
  <si>
    <t>123515</t>
  </si>
  <si>
    <t>991000691079702656</t>
  </si>
  <si>
    <t>2263552690002656</t>
  </si>
  <si>
    <t>32285002651825</t>
  </si>
  <si>
    <t>893315154</t>
  </si>
  <si>
    <t>PQ1448 .L4</t>
  </si>
  <si>
    <t>0                      PQ 1448000L  4</t>
  </si>
  <si>
    <t>Classical mythology and Arthurian romance; a study of the sources of Chrestien de Troyes' "Yvain" and other Arthurian romances, by Charles Bertram Lewis ...</t>
  </si>
  <si>
    <t>Lewis, C. B. (Charles Bertram)</t>
  </si>
  <si>
    <t>London, New York [etc.] Pub. for St. Andrews University by H. Milford, Oxford University Press, 1932.</t>
  </si>
  <si>
    <t>1932</t>
  </si>
  <si>
    <t>St. Andrews University publications ; no. 32</t>
  </si>
  <si>
    <t>2004-10-07</t>
  </si>
  <si>
    <t>1023670:eng</t>
  </si>
  <si>
    <t>2980937</t>
  </si>
  <si>
    <t>991004304509702656</t>
  </si>
  <si>
    <t>2260556070002656</t>
  </si>
  <si>
    <t>32285002651833</t>
  </si>
  <si>
    <t>893247410</t>
  </si>
  <si>
    <t>PQ1448 .L6</t>
  </si>
  <si>
    <t>0                      PQ 1448000L  6</t>
  </si>
  <si>
    <t>Arthurian tradition &amp; Chrétien de Troyes.</t>
  </si>
  <si>
    <t>Loomis, Roger Sherman, 1887-1966.</t>
  </si>
  <si>
    <t>New York : Columbia Univ. Press, 1949.</t>
  </si>
  <si>
    <t>1949</t>
  </si>
  <si>
    <t>1991-07-11</t>
  </si>
  <si>
    <t>451255:eng</t>
  </si>
  <si>
    <t>336265</t>
  </si>
  <si>
    <t>991002399599702656</t>
  </si>
  <si>
    <t>2255155780002656</t>
  </si>
  <si>
    <t>32285000638196</t>
  </si>
  <si>
    <t>893704026</t>
  </si>
  <si>
    <t>PQ1448 .Z3</t>
  </si>
  <si>
    <t>0                      PQ 1448000Z  3</t>
  </si>
  <si>
    <t>Chrétien studies: problems of form and meaning in Erec, Yvain, Cligés and the Charrete, by Z.P. Zaddy.</t>
  </si>
  <si>
    <t>Zaddy, Zara Patricia.</t>
  </si>
  <si>
    <t>Glasgow, University of Glasgow Press, 1973.</t>
  </si>
  <si>
    <t>1973</t>
  </si>
  <si>
    <t>stk</t>
  </si>
  <si>
    <t>2149794:mul</t>
  </si>
  <si>
    <t>1243574</t>
  </si>
  <si>
    <t>991003644159702656</t>
  </si>
  <si>
    <t>2261403250002656</t>
  </si>
  <si>
    <t>9780852610923</t>
  </si>
  <si>
    <t>32285002651841</t>
  </si>
  <si>
    <t>893422788</t>
  </si>
  <si>
    <t>PQ145.1.G6 G6 1959</t>
  </si>
  <si>
    <t>0                      PQ 0145100G  6                  G  6           1959</t>
  </si>
  <si>
    <t>Le dieu caché : étude sur la vision tragique dans les Pensées de Pascal et dans le théâtre de Racine / Lucien Goldmann.</t>
  </si>
  <si>
    <t>Goldmann, Lucien.</t>
  </si>
  <si>
    <t>[Paris] : Gallimard, [1959]</t>
  </si>
  <si>
    <t>1959</t>
  </si>
  <si>
    <t>Bibliothèque des idées</t>
  </si>
  <si>
    <t>1997-02-26</t>
  </si>
  <si>
    <t>1995-10-16</t>
  </si>
  <si>
    <t>364967735:fre</t>
  </si>
  <si>
    <t>595014</t>
  </si>
  <si>
    <t>991003032079702656</t>
  </si>
  <si>
    <t>2272347690002656</t>
  </si>
  <si>
    <t>32285002096302</t>
  </si>
  <si>
    <t>893686119</t>
  </si>
  <si>
    <t>PQ145.1.H4 R52 1983</t>
  </si>
  <si>
    <t>0                      PQ 0145100H  4                  R  52          1983</t>
  </si>
  <si>
    <t>The Christian tragic hero in French and English literature / George Ross Ridge and Benedict Chiaka Njoku.</t>
  </si>
  <si>
    <t>Ridge, George Ross.</t>
  </si>
  <si>
    <t>Atlantic Highlands, NJ : Humanities Press, 1983.</t>
  </si>
  <si>
    <t>1983</t>
  </si>
  <si>
    <t>nju</t>
  </si>
  <si>
    <t>1995-03-02</t>
  </si>
  <si>
    <t>19793793:eng</t>
  </si>
  <si>
    <t>9325156</t>
  </si>
  <si>
    <t>991000173299702656</t>
  </si>
  <si>
    <t>2267487110002656</t>
  </si>
  <si>
    <t>9780391028586</t>
  </si>
  <si>
    <t>32285001250736</t>
  </si>
  <si>
    <t>893589238</t>
  </si>
  <si>
    <t>PQ145.4.R4 M57 1994</t>
  </si>
  <si>
    <t>0                      PQ 0145400R  4                  M  57          1994</t>
  </si>
  <si>
    <t>L'illusion réaliste : de Balzac à Aragon / Henri Mitterand.</t>
  </si>
  <si>
    <t>Mitterand, Henri.</t>
  </si>
  <si>
    <t>Paris : Presses universitaires de France, c1994.</t>
  </si>
  <si>
    <t>1. éd.</t>
  </si>
  <si>
    <t>Ecriture, 0222-1179</t>
  </si>
  <si>
    <t>2007-04-28</t>
  </si>
  <si>
    <t>1996-07-01</t>
  </si>
  <si>
    <t>365074362:fre</t>
  </si>
  <si>
    <t>33665830</t>
  </si>
  <si>
    <t>991002577289702656</t>
  </si>
  <si>
    <t>2259613430002656</t>
  </si>
  <si>
    <t>9782130465973</t>
  </si>
  <si>
    <t>32285002205127</t>
  </si>
  <si>
    <t>893434039</t>
  </si>
  <si>
    <t>PQ145.7.A2 C45 1996</t>
  </si>
  <si>
    <t>0                      PQ 0145700A  2                  C  45          1996</t>
  </si>
  <si>
    <t>From cannibals to radicals : figures and limits of exoticism / Roger Célestin.</t>
  </si>
  <si>
    <t>Célestin, Roger.</t>
  </si>
  <si>
    <t>Minneapolis : University of Minnesota Press, c1996.</t>
  </si>
  <si>
    <t>1996</t>
  </si>
  <si>
    <t>mnu</t>
  </si>
  <si>
    <t>2005-03-21</t>
  </si>
  <si>
    <t>1996-12-11</t>
  </si>
  <si>
    <t>794048378:eng</t>
  </si>
  <si>
    <t>32924559</t>
  </si>
  <si>
    <t>991002534219702656</t>
  </si>
  <si>
    <t>2262479130002656</t>
  </si>
  <si>
    <t>9780816626045</t>
  </si>
  <si>
    <t>32285002392396</t>
  </si>
  <si>
    <t>893433987</t>
  </si>
  <si>
    <t>PQ1472 .B6</t>
  </si>
  <si>
    <t>0                      PQ 1472000B  6</t>
  </si>
  <si>
    <t>The Romance of the Grail: a study of the structure and genesis of a thirteenth-century Arthurian prose romance.</t>
  </si>
  <si>
    <t>Bogdanow, Fanni.</t>
  </si>
  <si>
    <t>Manchester, Manchester U.P.; New York, Barnes &amp; Noble, 1966.</t>
  </si>
  <si>
    <t>1966</t>
  </si>
  <si>
    <t>235743610:eng</t>
  </si>
  <si>
    <t>336367</t>
  </si>
  <si>
    <t>991004149209702656</t>
  </si>
  <si>
    <t>2267010840002656</t>
  </si>
  <si>
    <t>32285002651908</t>
  </si>
  <si>
    <t>893624400</t>
  </si>
  <si>
    <t>PQ1475 .L6 1967</t>
  </si>
  <si>
    <t>0                      PQ 1475000L  6           1967</t>
  </si>
  <si>
    <t>The quest for the Holy Grail; a literary study of a thirteenth-century French romance.</t>
  </si>
  <si>
    <t>Locke, Frederick W.</t>
  </si>
  <si>
    <t>New York, AMS Press, 1967 [c1960]</t>
  </si>
  <si>
    <t>1967</t>
  </si>
  <si>
    <t>Stanford studies in languages and literature, 21</t>
  </si>
  <si>
    <t>1998-03-02</t>
  </si>
  <si>
    <t>1424244:eng</t>
  </si>
  <si>
    <t>403559</t>
  </si>
  <si>
    <t>991002695909702656</t>
  </si>
  <si>
    <t>2259896040002656</t>
  </si>
  <si>
    <t>32285002651916</t>
  </si>
  <si>
    <t>893245520</t>
  </si>
  <si>
    <t>PQ1475 .M67</t>
  </si>
  <si>
    <t>0                      PQ 1475000M  67</t>
  </si>
  <si>
    <t>The pattern of judgment in the Queste and Cleanness / Charlotte C. Morse. --</t>
  </si>
  <si>
    <t>Morse, Charlotte C., 1942-</t>
  </si>
  <si>
    <t>Columbia : University of Missouri Press, 1978.</t>
  </si>
  <si>
    <t>1978</t>
  </si>
  <si>
    <t>mou</t>
  </si>
  <si>
    <t>10544454:eng</t>
  </si>
  <si>
    <t>3481491</t>
  </si>
  <si>
    <t>991004445869702656</t>
  </si>
  <si>
    <t>2264389900002656</t>
  </si>
  <si>
    <t>9780826202420</t>
  </si>
  <si>
    <t>32285001251577</t>
  </si>
  <si>
    <t>893259740</t>
  </si>
  <si>
    <t>PQ1489.L2 E56 2000</t>
  </si>
  <si>
    <t>0                      PQ 1489000L  2                  E  56          2000</t>
  </si>
  <si>
    <t>The Lancelot-Grail reader : selections from the medieval French Arthurian cycle / edited by Norris J. Lacy.</t>
  </si>
  <si>
    <t>Lancelot (Prose cycle). Selections. English.</t>
  </si>
  <si>
    <t>New York : Garland Pub., 2000.</t>
  </si>
  <si>
    <t>2000</t>
  </si>
  <si>
    <t>Garland reference library of the humanities ; 2162</t>
  </si>
  <si>
    <t>2005-10-31</t>
  </si>
  <si>
    <t>2002-05-14</t>
  </si>
  <si>
    <t>371962159:eng</t>
  </si>
  <si>
    <t>41940161</t>
  </si>
  <si>
    <t>991003791999702656</t>
  </si>
  <si>
    <t>2265937770002656</t>
  </si>
  <si>
    <t>9780815334194</t>
  </si>
  <si>
    <t>32285004488176</t>
  </si>
  <si>
    <t>893258870</t>
  </si>
  <si>
    <t>PQ1494 .L2 1960</t>
  </si>
  <si>
    <t>0                      PQ 1494000L  2           1960</t>
  </si>
  <si>
    <t>Lais / Marie de France ; edited by Alfred Ewert.</t>
  </si>
  <si>
    <t>Marie, de France, active 12th century.</t>
  </si>
  <si>
    <t>Oxford, Oxfordshire, UK ; New York, NY, USA : Blackwell, c1960.</t>
  </si>
  <si>
    <t>1960</t>
  </si>
  <si>
    <t>Blackwell's French texts</t>
  </si>
  <si>
    <t>2001-09-25</t>
  </si>
  <si>
    <t>1997-12-04</t>
  </si>
  <si>
    <t>5578394718:fre</t>
  </si>
  <si>
    <t>13542725</t>
  </si>
  <si>
    <t>991000843789702656</t>
  </si>
  <si>
    <t>2272527520002656</t>
  </si>
  <si>
    <t>9780631004707</t>
  </si>
  <si>
    <t>32285003290235</t>
  </si>
  <si>
    <t>893231462</t>
  </si>
  <si>
    <t>PQ1501.P35 E5 1978</t>
  </si>
  <si>
    <t>0                      PQ 1501000P  35                 E  5           1978</t>
  </si>
  <si>
    <t>The high book of the Grail : a translation of the thirteenth century romance of Perlesvaus / Nigel Bryant.</t>
  </si>
  <si>
    <t>Perlesvaus. English.</t>
  </si>
  <si>
    <t>Ipswich : Brewer ; Totowa, N.J. : Rowman and Littlefield, 1978.</t>
  </si>
  <si>
    <t>2002-04-25</t>
  </si>
  <si>
    <t>1991-04-30</t>
  </si>
  <si>
    <t>889797575:eng</t>
  </si>
  <si>
    <t>4809458</t>
  </si>
  <si>
    <t>991004725739702656</t>
  </si>
  <si>
    <t>2272604430002656</t>
  </si>
  <si>
    <t>9780859910392</t>
  </si>
  <si>
    <t>32285000527837</t>
  </si>
  <si>
    <t>893776365</t>
  </si>
  <si>
    <t>PQ151 .M84 1985</t>
  </si>
  <si>
    <t>0                      PQ 0151000M  84          1985</t>
  </si>
  <si>
    <t>Literature and society in medieval France : the mirror and the image, 1100-1500 / Lynette R. Muir.</t>
  </si>
  <si>
    <t>Muir, Lynette R.</t>
  </si>
  <si>
    <t>New York : St. Martin's Press, 1985.</t>
  </si>
  <si>
    <t>1985</t>
  </si>
  <si>
    <t>2010-03-31</t>
  </si>
  <si>
    <t>1992-05-01</t>
  </si>
  <si>
    <t>836662912:eng</t>
  </si>
  <si>
    <t>12107409</t>
  </si>
  <si>
    <t>991000642669702656</t>
  </si>
  <si>
    <t>2268291520002656</t>
  </si>
  <si>
    <t>9780312487485</t>
  </si>
  <si>
    <t>32285001091296</t>
  </si>
  <si>
    <t>893249531</t>
  </si>
  <si>
    <t>PQ151 .Z5413 1998</t>
  </si>
  <si>
    <t>0                      PQ 0151000Z  5413        1998</t>
  </si>
  <si>
    <t>The enchantment of the Middle Ages / Michel Zink ; translated by Jane Marie Todd.</t>
  </si>
  <si>
    <t>Zink, Michel.</t>
  </si>
  <si>
    <t>Baltimore, MD : Johns Hopkins University Press, 1998.</t>
  </si>
  <si>
    <t>1998</t>
  </si>
  <si>
    <t>Parallax : re-visions of culture and society</t>
  </si>
  <si>
    <t>2009-02-09</t>
  </si>
  <si>
    <t>1151913645:eng</t>
  </si>
  <si>
    <t>37652113</t>
  </si>
  <si>
    <t>991005296099702656</t>
  </si>
  <si>
    <t>2271422330002656</t>
  </si>
  <si>
    <t>9780801858185</t>
  </si>
  <si>
    <t>32285005503445</t>
  </si>
  <si>
    <t>893883637</t>
  </si>
  <si>
    <t>PQ1524.E8 J6 1963</t>
  </si>
  <si>
    <t>0                      PQ 1524000E  8                  J  6           1963</t>
  </si>
  <si>
    <t>The ethos of the Song of Roland.</t>
  </si>
  <si>
    <t>Jones, George Fenwick, 1916-2010.</t>
  </si>
  <si>
    <t>Baltimore : Johns Hopkins Press, 1963.</t>
  </si>
  <si>
    <t>1963</t>
  </si>
  <si>
    <t>1998-11-02</t>
  </si>
  <si>
    <t>1991-10-29</t>
  </si>
  <si>
    <t>1456207:eng</t>
  </si>
  <si>
    <t>336308</t>
  </si>
  <si>
    <t>991002399789702656</t>
  </si>
  <si>
    <t>2255096990002656</t>
  </si>
  <si>
    <t>32285000527936</t>
  </si>
  <si>
    <t>893421310</t>
  </si>
  <si>
    <t>PQ1525 .D82</t>
  </si>
  <si>
    <t>0                      PQ 1525000D  82</t>
  </si>
  <si>
    <t>The Song of Roland : formulaic style and poetic craft / [by] Joseph J. Duggan.</t>
  </si>
  <si>
    <t>Duggan, Joseph J.</t>
  </si>
  <si>
    <t>Berkeley : University of California Press, 1973.</t>
  </si>
  <si>
    <t>Publications of the Center for Medieval and Renaissance Studies, UCLA, 6</t>
  </si>
  <si>
    <t>1418976424:eng</t>
  </si>
  <si>
    <t>629242</t>
  </si>
  <si>
    <t>991003076679702656</t>
  </si>
  <si>
    <t>2268937550002656</t>
  </si>
  <si>
    <t>9780520022010</t>
  </si>
  <si>
    <t>32285000527944</t>
  </si>
  <si>
    <t>893623127</t>
  </si>
  <si>
    <t>PQ155.B63 G75 2000</t>
  </si>
  <si>
    <t>0                      PQ 0155000B  63                 G  75          2000</t>
  </si>
  <si>
    <t>The gab as a latent genre in medieval French literature : drinking and boasting in the Middle Ages / John L. Grigsby.</t>
  </si>
  <si>
    <t>Grigsby, John L.</t>
  </si>
  <si>
    <t>Cambridge, Mass. : Medieval Academy of America, 2000.</t>
  </si>
  <si>
    <t>Medieval Academy books ; no. 103</t>
  </si>
  <si>
    <t>2003-11-20</t>
  </si>
  <si>
    <t>367335784:eng</t>
  </si>
  <si>
    <t>45903655</t>
  </si>
  <si>
    <t>991004152339702656</t>
  </si>
  <si>
    <t>2262942980002656</t>
  </si>
  <si>
    <t>9780915651115</t>
  </si>
  <si>
    <t>32285004840574</t>
  </si>
  <si>
    <t>893593328</t>
  </si>
  <si>
    <t>PQ155.L7 L3 1964</t>
  </si>
  <si>
    <t>0                      PQ 0155000L  7                  L  3           1964</t>
  </si>
  <si>
    <t>Amour courtois et "fin'amors" dans la littérature du XIIe siècle.</t>
  </si>
  <si>
    <t>Lazar, Moshe, 1928-2012.</t>
  </si>
  <si>
    <t>Paris, Librairie C. Klincksieck [1964]</t>
  </si>
  <si>
    <t>Bibliothèque française et romane. Série C, Etudes littéraires ; 8</t>
  </si>
  <si>
    <t>2006-09-20</t>
  </si>
  <si>
    <t>1997-04-29</t>
  </si>
  <si>
    <t>1483575:fre</t>
  </si>
  <si>
    <t>342825</t>
  </si>
  <si>
    <t>991002421129702656</t>
  </si>
  <si>
    <t>2266247860002656</t>
  </si>
  <si>
    <t>32285002588894</t>
  </si>
  <si>
    <t>893427577</t>
  </si>
  <si>
    <t>PQ155.M27 L413 1988</t>
  </si>
  <si>
    <t>0                      PQ 0155000M  27                 L  413         1988</t>
  </si>
  <si>
    <t>The medieval imagination / Jacques Le Goff ; translated by Arthur Goldhammer.</t>
  </si>
  <si>
    <t>Le Goff, Jacques, 1924-2014.</t>
  </si>
  <si>
    <t>Chicago : University of Chicago Press, 1988.</t>
  </si>
  <si>
    <t>1988</t>
  </si>
  <si>
    <t>2010-10-22</t>
  </si>
  <si>
    <t>1992-07-28</t>
  </si>
  <si>
    <t>2908536324:eng</t>
  </si>
  <si>
    <t>17621497</t>
  </si>
  <si>
    <t>991001242559702656</t>
  </si>
  <si>
    <t>2261045240002656</t>
  </si>
  <si>
    <t>9780226470849</t>
  </si>
  <si>
    <t>32285001195444</t>
  </si>
  <si>
    <t>893243977</t>
  </si>
  <si>
    <t>PQ155.M3 A5</t>
  </si>
  <si>
    <t>0                      PQ 0155000M  3                  A  5</t>
  </si>
  <si>
    <t>Le culte de la Sainte Vierge et la littérature française profane du moyen âge. [par] dr. H. P. J. M. Ahsmann.</t>
  </si>
  <si>
    <t>Ahsmann, Hubertus Petrus Johannes Maria.</t>
  </si>
  <si>
    <t>Utrecht-Nimègue, N. V. Dekker &amp; Van de Vegt en J. W. Van Leeuwen; Paris, A. Picard [1930]</t>
  </si>
  <si>
    <t>1930</t>
  </si>
  <si>
    <t>2000-10-02</t>
  </si>
  <si>
    <t>352014439:fre</t>
  </si>
  <si>
    <t>1038238</t>
  </si>
  <si>
    <t>991003489409702656</t>
  </si>
  <si>
    <t>2266353790002656</t>
  </si>
  <si>
    <t>32285003608907</t>
  </si>
  <si>
    <t>893348727</t>
  </si>
  <si>
    <t>PQ1593 .B83 2000</t>
  </si>
  <si>
    <t>0                      PQ 1593000B  83          2000</t>
  </si>
  <si>
    <t>Danse macabre : Fran*cois Villon, poetry, &amp; murder in Medieval France / Aubrey Burl.</t>
  </si>
  <si>
    <t>Burl, Aubrey.</t>
  </si>
  <si>
    <t>Stroud, Gloucestershire : Sutton Pub., 2000.</t>
  </si>
  <si>
    <t>2002-05-06</t>
  </si>
  <si>
    <t>35681348:eng</t>
  </si>
  <si>
    <t>45827835</t>
  </si>
  <si>
    <t>991003789779702656</t>
  </si>
  <si>
    <t>2257230280002656</t>
  </si>
  <si>
    <t>9780750921770</t>
  </si>
  <si>
    <t>32285004483482</t>
  </si>
  <si>
    <t>893318412</t>
  </si>
  <si>
    <t>PQ1625.G2 A76 1952</t>
  </si>
  <si>
    <t>0                      PQ 1625000G  2                  A  76          1952</t>
  </si>
  <si>
    <t>La Troade ; Antigone / Robert Garnier. Texte étabi et présenté par Raymond Lebègue.</t>
  </si>
  <si>
    <t>Garnier, Robert, 1544-1590.</t>
  </si>
  <si>
    <t>Paris : Société Les Belles Lettres, 1952.</t>
  </si>
  <si>
    <t>1952</t>
  </si>
  <si>
    <t>His Œuvres complètes</t>
  </si>
  <si>
    <t>1996-07-25</t>
  </si>
  <si>
    <t>1996-06-27</t>
  </si>
  <si>
    <t>2169513:fre</t>
  </si>
  <si>
    <t>1301854</t>
  </si>
  <si>
    <t>991003678449702656</t>
  </si>
  <si>
    <t>2266598260002656</t>
  </si>
  <si>
    <t>32285002174398</t>
  </si>
  <si>
    <t>893800018</t>
  </si>
  <si>
    <t>PQ1643 .B56 1970</t>
  </si>
  <si>
    <t>0                      PQ 1643000B  56          1970</t>
  </si>
  <si>
    <t>The fortunes of Montaigne : a history of the Essays in France, 1580-1669 / by Alan M. Boase.</t>
  </si>
  <si>
    <t>Boase, Alan M. (Alan Martin), 1902-1982.</t>
  </si>
  <si>
    <t>New York : Octagon Books, 1970.</t>
  </si>
  <si>
    <t>1997-04-23</t>
  </si>
  <si>
    <t>1992-01-23</t>
  </si>
  <si>
    <t>1325065:eng</t>
  </si>
  <si>
    <t>97347</t>
  </si>
  <si>
    <t>991000597099702656</t>
  </si>
  <si>
    <t>2269844980002656</t>
  </si>
  <si>
    <t>32285000528512</t>
  </si>
  <si>
    <t>893601887</t>
  </si>
  <si>
    <t>PQ1643 .C57 1987</t>
  </si>
  <si>
    <t>0                      PQ 1643000C  57          1987</t>
  </si>
  <si>
    <t>Montaigne's Essais / Dorothy Gabe Coleman.</t>
  </si>
  <si>
    <t>Coleman, Dorothy Gabe.</t>
  </si>
  <si>
    <t>London ; Boston : Allen &amp; Unwin, 1987.</t>
  </si>
  <si>
    <t>1987</t>
  </si>
  <si>
    <t>Unwin critical library</t>
  </si>
  <si>
    <t>2000-11-30</t>
  </si>
  <si>
    <t>8476694:eng</t>
  </si>
  <si>
    <t>14716224</t>
  </si>
  <si>
    <t>991000954949702656</t>
  </si>
  <si>
    <t>2255651280002656</t>
  </si>
  <si>
    <t>9780048000729</t>
  </si>
  <si>
    <t>32285000528520</t>
  </si>
  <si>
    <t>893315387</t>
  </si>
  <si>
    <t>PQ1643 .S2 1983</t>
  </si>
  <si>
    <t>0                      PQ 1643000S  2           1983</t>
  </si>
  <si>
    <t>A descriptive bibliography of Montaigne's Essais, 1580-1700 / R.A. Sayce and David Maskell.</t>
  </si>
  <si>
    <t>Sayce, Richard Anthony.</t>
  </si>
  <si>
    <t>London : Bibliographical Society : Modern Humanities Research Association, 1983.</t>
  </si>
  <si>
    <t>Bibliographical Society (Great Britain) publications : 1979</t>
  </si>
  <si>
    <t>3115561:eng</t>
  </si>
  <si>
    <t>10515769</t>
  </si>
  <si>
    <t>991000386399702656</t>
  </si>
  <si>
    <t>2255490610002656</t>
  </si>
  <si>
    <t>9780197217948</t>
  </si>
  <si>
    <t>32285000528595</t>
  </si>
  <si>
    <t>893871617</t>
  </si>
  <si>
    <t>PQ1643 .S38 1991</t>
  </si>
  <si>
    <t>0                      PQ 1643000S  38          1991</t>
  </si>
  <si>
    <t>Montaigne and melancholy : the wisdom of the Essays / M.A. Screech.</t>
  </si>
  <si>
    <t>Screech, M. A. (Michael Andrew)</t>
  </si>
  <si>
    <t>London : Penguin, 1991, c1983.</t>
  </si>
  <si>
    <t>1991</t>
  </si>
  <si>
    <t>2000-12-02</t>
  </si>
  <si>
    <t>1992-12-11</t>
  </si>
  <si>
    <t>836624285:eng</t>
  </si>
  <si>
    <t>877565265</t>
  </si>
  <si>
    <t>991002057969702656</t>
  </si>
  <si>
    <t>2262231300002656</t>
  </si>
  <si>
    <t>9780140143621</t>
  </si>
  <si>
    <t>32285001402345</t>
  </si>
  <si>
    <t>893238592</t>
  </si>
  <si>
    <t>PQ1694 .C53 1982</t>
  </si>
  <si>
    <t>0                      PQ 1694000C  53          1982</t>
  </si>
  <si>
    <t>The countervoyage of Rabelais and Ariosto : a comparative reading of two Renaissance mock epics / Elizabeth A. Chesney.</t>
  </si>
  <si>
    <t>Chesney, Elizabeth A., 1949-</t>
  </si>
  <si>
    <t>Durham, N.C. : Duke University Press, 1982.</t>
  </si>
  <si>
    <t>ncu</t>
  </si>
  <si>
    <t>1994-11-26</t>
  </si>
  <si>
    <t>1991-05-07</t>
  </si>
  <si>
    <t>427381580:eng</t>
  </si>
  <si>
    <t>7573052</t>
  </si>
  <si>
    <t>991005131649702656</t>
  </si>
  <si>
    <t>2271690850002656</t>
  </si>
  <si>
    <t>9780822304562</t>
  </si>
  <si>
    <t>32285000601327</t>
  </si>
  <si>
    <t>893344693</t>
  </si>
  <si>
    <t>PQ1722 .W5</t>
  </si>
  <si>
    <t>0                      PQ 1722000W  5</t>
  </si>
  <si>
    <t>Nicolas Boileau.</t>
  </si>
  <si>
    <t>White, Julian Eugene.</t>
  </si>
  <si>
    <t>New York : Twayne Publishers, [c1969]</t>
  </si>
  <si>
    <t>Twayne's world authors series, 91. France</t>
  </si>
  <si>
    <t>1997-09-24</t>
  </si>
  <si>
    <t>1993-05-05</t>
  </si>
  <si>
    <t>1235395:eng</t>
  </si>
  <si>
    <t>117126</t>
  </si>
  <si>
    <t>991000659329702656</t>
  </si>
  <si>
    <t>2261056470002656</t>
  </si>
  <si>
    <t>32285001634251</t>
  </si>
  <si>
    <t>893802975</t>
  </si>
  <si>
    <t>PQ1723 .C6</t>
  </si>
  <si>
    <t>0                      PQ 1723000C  6</t>
  </si>
  <si>
    <t>Boileau and the French classical critics in England, 1660-1830 / by A.F.B. Clark.</t>
  </si>
  <si>
    <t>Clark, A. F. B. (Alexander Frederick Bruce), 1884-</t>
  </si>
  <si>
    <t>New York : Russell &amp; Russell, 1965.</t>
  </si>
  <si>
    <t>1311894:eng</t>
  </si>
  <si>
    <t>339087</t>
  </si>
  <si>
    <t>991002409739702656</t>
  </si>
  <si>
    <t>2259132190002656</t>
  </si>
  <si>
    <t>32285001634228</t>
  </si>
  <si>
    <t>893603563</t>
  </si>
  <si>
    <t>PQ1745.E5 C3 1975</t>
  </si>
  <si>
    <t>0                      PQ 1745000E  5                  C  3           1975</t>
  </si>
  <si>
    <t>The Cid ; Cinna : the theatrical illusion / [by] Pierre Corneille ; translated and introduced by John Cairncross.</t>
  </si>
  <si>
    <t>Corneille, Pierre, 1606-1684.</t>
  </si>
  <si>
    <t>Harmondsworth : Penguin, 1975.</t>
  </si>
  <si>
    <t>1975</t>
  </si>
  <si>
    <t>The Penguin classics</t>
  </si>
  <si>
    <t>1998-09-30</t>
  </si>
  <si>
    <t>1993-02-17</t>
  </si>
  <si>
    <t>2869470033:eng</t>
  </si>
  <si>
    <t>2075209</t>
  </si>
  <si>
    <t>991004002539702656</t>
  </si>
  <si>
    <t>2261940450002656</t>
  </si>
  <si>
    <t>9780140443127</t>
  </si>
  <si>
    <t>32285001502599</t>
  </si>
  <si>
    <t>893888208</t>
  </si>
  <si>
    <t>PQ1754 .A17 1970</t>
  </si>
  <si>
    <t>0                      PQ 1754000A  17          1970</t>
  </si>
  <si>
    <t>Horace : tragédie / Corneille ; avec une notice biographique, une notice historique et littéraire, un lexique, des notes explicatives, un questionnaire, des documents, des jugements et des sujets de devoirs, par Bernard Masson.</t>
  </si>
  <si>
    <t>Paris : Larousse, c1970.</t>
  </si>
  <si>
    <t>Nouveaux classiques Larousse</t>
  </si>
  <si>
    <t>2004-11-08</t>
  </si>
  <si>
    <t>2564928377:fre</t>
  </si>
  <si>
    <t>2067709</t>
  </si>
  <si>
    <t>991003998219702656</t>
  </si>
  <si>
    <t>2262385970002656</t>
  </si>
  <si>
    <t>32285000601442</t>
  </si>
  <si>
    <t>893512668</t>
  </si>
  <si>
    <t>PQ1772 .A54</t>
  </si>
  <si>
    <t>0                      PQ 1772000A  54</t>
  </si>
  <si>
    <t>Pierre Corneille, by Claude Abraham.</t>
  </si>
  <si>
    <t>Abraham, Claude Kurt, 1931-</t>
  </si>
  <si>
    <t>New York, Twayne Publishers [1972]</t>
  </si>
  <si>
    <t>Twayne's world authors series, TWAS 214. France</t>
  </si>
  <si>
    <t>1997-07-24</t>
  </si>
  <si>
    <t>461403:eng</t>
  </si>
  <si>
    <t>509345</t>
  </si>
  <si>
    <t>991002887179702656</t>
  </si>
  <si>
    <t>2261710050002656</t>
  </si>
  <si>
    <t>32285002652286</t>
  </si>
  <si>
    <t>893622863</t>
  </si>
  <si>
    <t>PQ1777 .N4</t>
  </si>
  <si>
    <t>0                      PQ 1777000N  4</t>
  </si>
  <si>
    <t>Corneille and Racine : parallels and contrasts / edited with and introduction by Robert J. Nelson.</t>
  </si>
  <si>
    <t>Nelson, Robert James, 1925- editor.</t>
  </si>
  <si>
    <t>Englewood Cliffs, NJ : Prentice-Hall, [1966]</t>
  </si>
  <si>
    <t>Prentice-Hall confrontations series</t>
  </si>
  <si>
    <t>1993-05-03</t>
  </si>
  <si>
    <t>1993-03-18</t>
  </si>
  <si>
    <t>4159872426:eng</t>
  </si>
  <si>
    <t>337247</t>
  </si>
  <si>
    <t>991002401919702656</t>
  </si>
  <si>
    <t>2255947870002656</t>
  </si>
  <si>
    <t>32285001574150</t>
  </si>
  <si>
    <t>893622245</t>
  </si>
  <si>
    <t>PQ1782 .N4</t>
  </si>
  <si>
    <t>0                      PQ 1782000N  4</t>
  </si>
  <si>
    <t>Corneille : his heroes and their worlds / by Robert J. Nelson.</t>
  </si>
  <si>
    <t>Nelson, Robert J.</t>
  </si>
  <si>
    <t>Philadelphia : University of Pennsylvania Press, c1963.</t>
  </si>
  <si>
    <t>xxu</t>
  </si>
  <si>
    <t>196533110:eng</t>
  </si>
  <si>
    <t>17518617</t>
  </si>
  <si>
    <t>991001228619702656</t>
  </si>
  <si>
    <t>2271510640002656</t>
  </si>
  <si>
    <t>9780812273847</t>
  </si>
  <si>
    <t>32285001574143</t>
  </si>
  <si>
    <t>893772418</t>
  </si>
  <si>
    <t>PQ1791 .B4 1960</t>
  </si>
  <si>
    <t>0                      PQ 1791000B  4           1960</t>
  </si>
  <si>
    <t>Le berger extravagant : pastorale burlesque / Thomas Corneille. Édition critique présentée par Francis Bar.</t>
  </si>
  <si>
    <t>Corneille, Thomas, 1625-1709.</t>
  </si>
  <si>
    <t>Genève : Droz, 1960.</t>
  </si>
  <si>
    <t>Textes littéraires français ; 90</t>
  </si>
  <si>
    <t>46104385:fre</t>
  </si>
  <si>
    <t>3701761</t>
  </si>
  <si>
    <t>991004496449702656</t>
  </si>
  <si>
    <t>2268298450002656</t>
  </si>
  <si>
    <t>32285002174422</t>
  </si>
  <si>
    <t>893235572</t>
  </si>
  <si>
    <t>PQ1799.G795 L4339 2000</t>
  </si>
  <si>
    <t>0                      PQ 1799000G  795                L  4339        2000</t>
  </si>
  <si>
    <t>The Portuguese nun : formation of a national myth / Anna Klobucka.</t>
  </si>
  <si>
    <t>Klobucka, Anna, 1961-</t>
  </si>
  <si>
    <t>Lewisburg : Bucknell University Press, 2000.</t>
  </si>
  <si>
    <t>pau</t>
  </si>
  <si>
    <t>2002-07-10</t>
  </si>
  <si>
    <t>2002-07-09</t>
  </si>
  <si>
    <t>52597:eng</t>
  </si>
  <si>
    <t>44026404</t>
  </si>
  <si>
    <t>991003824429702656</t>
  </si>
  <si>
    <t>2266820200002656</t>
  </si>
  <si>
    <t>9780838754658</t>
  </si>
  <si>
    <t>32285004496468</t>
  </si>
  <si>
    <t>893711838</t>
  </si>
  <si>
    <t>PQ1803 .K5 1974</t>
  </si>
  <si>
    <t>0                      PQ 1803000K  5           1974</t>
  </si>
  <si>
    <t>Jean de la Bruyère / by Edward C. Knox.</t>
  </si>
  <si>
    <t>Knox, Edward C.</t>
  </si>
  <si>
    <t>New York : Twayne Publishers, [1974, c1973]</t>
  </si>
  <si>
    <t>1974</t>
  </si>
  <si>
    <t>Twayne's world authors series, TWAS 298. France</t>
  </si>
  <si>
    <t>1993-12-16</t>
  </si>
  <si>
    <t>461413:eng</t>
  </si>
  <si>
    <t>704906</t>
  </si>
  <si>
    <t>991003167829702656</t>
  </si>
  <si>
    <t>2259242370002656</t>
  </si>
  <si>
    <t>9780805725070</t>
  </si>
  <si>
    <t>32285001633873</t>
  </si>
  <si>
    <t>893780672</t>
  </si>
  <si>
    <t>PQ1808 .G8</t>
  </si>
  <si>
    <t>0                      PQ 1808000G  8</t>
  </si>
  <si>
    <t>La Fontaine : poet and counterpoet / Margaret Guiton.</t>
  </si>
  <si>
    <t>Guiton, Margaret.</t>
  </si>
  <si>
    <t>New Brunswick, N.J. : Rutgers University Press, [1961]</t>
  </si>
  <si>
    <t>1961</t>
  </si>
  <si>
    <t>1997-02-13</t>
  </si>
  <si>
    <t>1993-03-25</t>
  </si>
  <si>
    <t>2012-07-26</t>
  </si>
  <si>
    <t>351010468:eng</t>
  </si>
  <si>
    <t>337269</t>
  </si>
  <si>
    <t>991002401949702656</t>
  </si>
  <si>
    <t>2255947050002656</t>
  </si>
  <si>
    <t>32285001591204</t>
  </si>
  <si>
    <t>893226798</t>
  </si>
  <si>
    <t>PQ1812 .H3 1970</t>
  </si>
  <si>
    <t>0                      PQ 1812000H  3           1970</t>
  </si>
  <si>
    <t>Jean de la Fontaine.</t>
  </si>
  <si>
    <t>Hamel, Frank.</t>
  </si>
  <si>
    <t>1993-04-06</t>
  </si>
  <si>
    <t>1166755:eng</t>
  </si>
  <si>
    <t>100135</t>
  </si>
  <si>
    <t>991000609209702656</t>
  </si>
  <si>
    <t>2258328170002656</t>
  </si>
  <si>
    <t>9780804609968</t>
  </si>
  <si>
    <t>32285001602472</t>
  </si>
  <si>
    <t>893683578</t>
  </si>
  <si>
    <t>PQ1812 .O7</t>
  </si>
  <si>
    <t>0                      PQ 1812000O  7</t>
  </si>
  <si>
    <t>La Fontaine : ou, La vie est un conte / Jean Orieux.</t>
  </si>
  <si>
    <t>Orieux, Jean, 1907-1990.</t>
  </si>
  <si>
    <t>Paris : Flammarion, c1976.</t>
  </si>
  <si>
    <t>1997-02-19</t>
  </si>
  <si>
    <t>347819864:fre</t>
  </si>
  <si>
    <t>2391788</t>
  </si>
  <si>
    <t>991004109349702656</t>
  </si>
  <si>
    <t>2270796680002656</t>
  </si>
  <si>
    <t>9782080608604</t>
  </si>
  <si>
    <t>32285001591196</t>
  </si>
  <si>
    <t>893435897</t>
  </si>
  <si>
    <t>PQ1815 .M68</t>
  </si>
  <si>
    <t>0                      PQ 1815000M  68</t>
  </si>
  <si>
    <t>Two French moralists : La Rochefoucauld &amp; La Bruyère / Odette de Mourgues.</t>
  </si>
  <si>
    <t>Mourgues, Odette de.</t>
  </si>
  <si>
    <t>Cambridge [Eng.] ; New York : Cambridge University Press, 1978.</t>
  </si>
  <si>
    <t>Major European authors</t>
  </si>
  <si>
    <t>2000-02-10</t>
  </si>
  <si>
    <t>347375917:eng</t>
  </si>
  <si>
    <t>3272827</t>
  </si>
  <si>
    <t>991004392579702656</t>
  </si>
  <si>
    <t>2263639860002656</t>
  </si>
  <si>
    <t>9780521218238</t>
  </si>
  <si>
    <t>32285000601491</t>
  </si>
  <si>
    <t>893718851</t>
  </si>
  <si>
    <t>PQ1837.A1 M6 1966</t>
  </si>
  <si>
    <t>0                      PQ 1837000A  1                  M  6           1966</t>
  </si>
  <si>
    <t>Le misanthrope de Molière : étude et analyse / par René Doumic.</t>
  </si>
  <si>
    <t>Doumic, René, 1860-1937.</t>
  </si>
  <si>
    <t>Paris : Éditions de la Pensée Moderne, c1966.</t>
  </si>
  <si>
    <t>Les chefs-d'oeuvre de la littérature expliqués</t>
  </si>
  <si>
    <t>2001-04-10</t>
  </si>
  <si>
    <t>1997-05-13</t>
  </si>
  <si>
    <t>365463872:fre</t>
  </si>
  <si>
    <t>8179193</t>
  </si>
  <si>
    <t>991005215129702656</t>
  </si>
  <si>
    <t>2256533910002656</t>
  </si>
  <si>
    <t>32285002652435</t>
  </si>
  <si>
    <t>893905309</t>
  </si>
  <si>
    <t>PQ1852 .B7 1942</t>
  </si>
  <si>
    <t>0                      PQ 1852000B  7           1942</t>
  </si>
  <si>
    <t>Molière : sa vie dans ses œuvres.</t>
  </si>
  <si>
    <t>Brisson, Pierre, 1896-1964.</t>
  </si>
  <si>
    <t>[Paris] : Gallimard, [1942]</t>
  </si>
  <si>
    <t>1942</t>
  </si>
  <si>
    <t>1999-01-28</t>
  </si>
  <si>
    <t>1993-05-12</t>
  </si>
  <si>
    <t>11957957:fre</t>
  </si>
  <si>
    <t>3406170</t>
  </si>
  <si>
    <t>991004427229702656</t>
  </si>
  <si>
    <t>2261968740002656</t>
  </si>
  <si>
    <t>32285001653699</t>
  </si>
  <si>
    <t>893513232</t>
  </si>
  <si>
    <t>PQ1876.P3 P74</t>
  </si>
  <si>
    <t>0                      PQ 1876000P  3                  P  74</t>
  </si>
  <si>
    <t>The rhetoric of Pascal : a study of his art of persuasion in the 'Provinciales' and the 'Pensées'.</t>
  </si>
  <si>
    <t>Topliss, Patricia.</t>
  </si>
  <si>
    <t>Leicester : Leicester U.P., 1966.</t>
  </si>
  <si>
    <t>1990-11-19</t>
  </si>
  <si>
    <t>197462407:eng</t>
  </si>
  <si>
    <t>401908</t>
  </si>
  <si>
    <t>991002691909702656</t>
  </si>
  <si>
    <t>2268274660002656</t>
  </si>
  <si>
    <t>32285000397116</t>
  </si>
  <si>
    <t>893251526</t>
  </si>
  <si>
    <t>PQ1877 .B3</t>
  </si>
  <si>
    <t>0                      PQ 1877000B  3</t>
  </si>
  <si>
    <t>Charles Perrault / by Jacques Barchilon and Peter Flinders.</t>
  </si>
  <si>
    <t>Barchilon, Jacques.</t>
  </si>
  <si>
    <t>Boston : Twayne Publishers, 1981.</t>
  </si>
  <si>
    <t>1981</t>
  </si>
  <si>
    <t>Twayne's world authors series ; TWAS 639. France</t>
  </si>
  <si>
    <t>2004-02-04</t>
  </si>
  <si>
    <t>28562891:eng</t>
  </si>
  <si>
    <t>7553740</t>
  </si>
  <si>
    <t>991005126199702656</t>
  </si>
  <si>
    <t>2265119010002656</t>
  </si>
  <si>
    <t>9780805764833</t>
  </si>
  <si>
    <t>32285000601558</t>
  </si>
  <si>
    <t>893713481</t>
  </si>
  <si>
    <t>PQ1898 .D4 1978</t>
  </si>
  <si>
    <t>0                      PQ 1898000D  4           1978</t>
  </si>
  <si>
    <t>Racine et sa "Phèdre" / Charles Dédéyan, ....</t>
  </si>
  <si>
    <t>Dédéyan, Charles.</t>
  </si>
  <si>
    <t>Paris : Société d'édition d'enseignement supérieur, 1978.</t>
  </si>
  <si>
    <t>2e éd. revue et mise à jour.</t>
  </si>
  <si>
    <t>Collection Littérature</t>
  </si>
  <si>
    <t>1993-11-16</t>
  </si>
  <si>
    <t>1470456:fre</t>
  </si>
  <si>
    <t>4887301</t>
  </si>
  <si>
    <t>991004742739702656</t>
  </si>
  <si>
    <t>2261654740002656</t>
  </si>
  <si>
    <t>9782718103280</t>
  </si>
  <si>
    <t>32285000601574</t>
  </si>
  <si>
    <t>893876527</t>
  </si>
  <si>
    <t>PQ1904 .B65</t>
  </si>
  <si>
    <t>0                      PQ 1904000B  65</t>
  </si>
  <si>
    <t>Racine / Clément Borgal.</t>
  </si>
  <si>
    <t>Borgal, Clément.</t>
  </si>
  <si>
    <t>Paris, Éditions universitaires [1974]</t>
  </si>
  <si>
    <t>Classiques du XXe siècle ; 117</t>
  </si>
  <si>
    <t>2004-02-03</t>
  </si>
  <si>
    <t>2002458:fre</t>
  </si>
  <si>
    <t>1039156</t>
  </si>
  <si>
    <t>991003699439702656</t>
  </si>
  <si>
    <t>2258563280002656</t>
  </si>
  <si>
    <t>32285000601582</t>
  </si>
  <si>
    <t>893318291</t>
  </si>
  <si>
    <t>PQ1904 .B67</t>
  </si>
  <si>
    <t>0                      PQ 1904000B  67</t>
  </si>
  <si>
    <t>Jean Racine : a critical biography.</t>
  </si>
  <si>
    <t>London : Cassell, [1951]</t>
  </si>
  <si>
    <t>1951</t>
  </si>
  <si>
    <t>1994-02-08</t>
  </si>
  <si>
    <t>504178656:eng</t>
  </si>
  <si>
    <t>777567</t>
  </si>
  <si>
    <t>991003252869702656</t>
  </si>
  <si>
    <t>2268028220002656</t>
  </si>
  <si>
    <t>32285001837524</t>
  </si>
  <si>
    <t>893227865</t>
  </si>
  <si>
    <t>PQ1905 .W4</t>
  </si>
  <si>
    <t>0                      PQ 1905000W  4</t>
  </si>
  <si>
    <t>The art of Jean Racine.</t>
  </si>
  <si>
    <t>Weinberg, Bernard, 1909-1973.</t>
  </si>
  <si>
    <t>Chicago : University of Chicago Press, 1969, c1963.</t>
  </si>
  <si>
    <t>1st Phoenix ed.</t>
  </si>
  <si>
    <t>Phoenix books ; 339</t>
  </si>
  <si>
    <t>1995-02-06</t>
  </si>
  <si>
    <t>1992-11-07</t>
  </si>
  <si>
    <t>419513:eng</t>
  </si>
  <si>
    <t>12742453</t>
  </si>
  <si>
    <t>991000732349702656</t>
  </si>
  <si>
    <t>2266342260002656</t>
  </si>
  <si>
    <t>32285001383297</t>
  </si>
  <si>
    <t>893620744</t>
  </si>
  <si>
    <t>PQ1908.T7 W5</t>
  </si>
  <si>
    <t>0                      PQ 1908000T  7                  W  5</t>
  </si>
  <si>
    <t>Racine and English classicism.</t>
  </si>
  <si>
    <t>Wheatley, Katherine Ernestine.</t>
  </si>
  <si>
    <t>Austin : University of Texas Press, 1956.</t>
  </si>
  <si>
    <t>1956</t>
  </si>
  <si>
    <t>txu</t>
  </si>
  <si>
    <t>1999-10-06</t>
  </si>
  <si>
    <t>912888:eng</t>
  </si>
  <si>
    <t>341654</t>
  </si>
  <si>
    <t>991002415559702656</t>
  </si>
  <si>
    <t>2265663630002656</t>
  </si>
  <si>
    <t>32285001602456</t>
  </si>
  <si>
    <t>893329051</t>
  </si>
  <si>
    <t>PQ1925 .O33 1990</t>
  </si>
  <si>
    <t>0                      PQ 1925000O  33          1990</t>
  </si>
  <si>
    <t>Madame de Sévigné : a seventeenth-century life / Jeanne A. Ojala and William T. Ojala.</t>
  </si>
  <si>
    <t>Ojala, Jeanne A.</t>
  </si>
  <si>
    <t>Oxford [England] ; New York : Berg ; New York : Distributed exclusively in the US and Canada by St. Martin's Press, 1990.</t>
  </si>
  <si>
    <t>Berg women's series</t>
  </si>
  <si>
    <t>1996-02-21</t>
  </si>
  <si>
    <t>1991-03-11</t>
  </si>
  <si>
    <t>22259807:eng</t>
  </si>
  <si>
    <t>20294513</t>
  </si>
  <si>
    <t>991001557489702656</t>
  </si>
  <si>
    <t>2266244520002656</t>
  </si>
  <si>
    <t>9780854961696</t>
  </si>
  <si>
    <t>32285000511369</t>
  </si>
  <si>
    <t>893256307</t>
  </si>
  <si>
    <t>PQ1956 .A7 1934</t>
  </si>
  <si>
    <t>0                      PQ 1956000A  7           1934</t>
  </si>
  <si>
    <t>Le mariage de Figaro : comédie / Beaumarchais ; avec une notice historique et littéraire, des notes explicatives, des jugements, un questionnaire et des sujets de devoirs, par Pierre Richard.</t>
  </si>
  <si>
    <t>Beaumarchais, Pierre Augustin Caron de, 1732-1799.</t>
  </si>
  <si>
    <t>Paris : Librairie Larousse, 1934.</t>
  </si>
  <si>
    <t>1934</t>
  </si>
  <si>
    <t>Classiques Larousse</t>
  </si>
  <si>
    <t>2000-11-28</t>
  </si>
  <si>
    <t>4160663845:fre</t>
  </si>
  <si>
    <t>5139993</t>
  </si>
  <si>
    <t>991003348599702656</t>
  </si>
  <si>
    <t>2262639510002656</t>
  </si>
  <si>
    <t>32285004267687</t>
  </si>
  <si>
    <t>893330229</t>
  </si>
  <si>
    <t>32285004267679</t>
  </si>
  <si>
    <t>893352799</t>
  </si>
  <si>
    <t>PQ1956 .R3</t>
  </si>
  <si>
    <t>0                      PQ 1956000R  3</t>
  </si>
  <si>
    <t>The comic style of Beaumarchais, by J.B. Ratermanis and W.R. Irwin.</t>
  </si>
  <si>
    <t>Ratermanis, J. B.</t>
  </si>
  <si>
    <t>Seattle, University of Washington Press, 1961.</t>
  </si>
  <si>
    <t>wau</t>
  </si>
  <si>
    <t>1220910:eng</t>
  </si>
  <si>
    <t>338575</t>
  </si>
  <si>
    <t>991002406519702656</t>
  </si>
  <si>
    <t>2257108290002656</t>
  </si>
  <si>
    <t>9780837122984</t>
  </si>
  <si>
    <t>32285002653037</t>
  </si>
  <si>
    <t>893685329</t>
  </si>
  <si>
    <t>PQ1971.C6 A6513 1978</t>
  </si>
  <si>
    <t>0                      PQ 1971000C  6                  A  6513        1978</t>
  </si>
  <si>
    <t>The wayward head and heart / Crébillon fils ; translated by Barbara Bray ; introduced by Rayner Heppenstall.</t>
  </si>
  <si>
    <t>Crébillon, Claude-Prosper Jolyot de, 1707-1777.</t>
  </si>
  <si>
    <t>Westport, Conn. : Greenwood Press, [1978] c1963.</t>
  </si>
  <si>
    <t>ctu</t>
  </si>
  <si>
    <t>1994-10-10</t>
  </si>
  <si>
    <t>445217:eng</t>
  </si>
  <si>
    <t>4036769</t>
  </si>
  <si>
    <t>991004573319702656</t>
  </si>
  <si>
    <t>2269083980002656</t>
  </si>
  <si>
    <t>9780313205781</t>
  </si>
  <si>
    <t>32285000601673</t>
  </si>
  <si>
    <t>893687885</t>
  </si>
  <si>
    <t>PQ1979 .F72 1983</t>
  </si>
  <si>
    <t>0                      PQ 1979000F  72          1983</t>
  </si>
  <si>
    <t>Diderot / Peter France.</t>
  </si>
  <si>
    <t>France, Peter, 1935-</t>
  </si>
  <si>
    <t>Oxford ; New York : Oxford University Press, 1983.</t>
  </si>
  <si>
    <t>Past masters</t>
  </si>
  <si>
    <t>1996-09-20</t>
  </si>
  <si>
    <t>2564786014:eng</t>
  </si>
  <si>
    <t>10362397</t>
  </si>
  <si>
    <t>991000360679702656</t>
  </si>
  <si>
    <t>2269147870002656</t>
  </si>
  <si>
    <t>9780192875518</t>
  </si>
  <si>
    <t>32285000601681</t>
  </si>
  <si>
    <t>893345575</t>
  </si>
  <si>
    <t>PQ1993.L22 Z6 1969</t>
  </si>
  <si>
    <t>0                      PQ 1993000L  22                 Z  6           1969</t>
  </si>
  <si>
    <t>Laclos : teoría del libertino / [editor] Roger Vailland.</t>
  </si>
  <si>
    <t>Laclos, Choderlos de, 1741-1803.</t>
  </si>
  <si>
    <t>Barcelona : Editorial Anagrama, [1969]</t>
  </si>
  <si>
    <t>spa</t>
  </si>
  <si>
    <t xml:space="preserve">sp </t>
  </si>
  <si>
    <t>Colección Argumentos / Anagrama ; 2</t>
  </si>
  <si>
    <t>2002-07-29</t>
  </si>
  <si>
    <t>4495332221:spa</t>
  </si>
  <si>
    <t>45246816</t>
  </si>
  <si>
    <t>991003846439702656</t>
  </si>
  <si>
    <t>2267945690002656</t>
  </si>
  <si>
    <t>9788433900029</t>
  </si>
  <si>
    <t>32285004499876</t>
  </si>
  <si>
    <t>893894230</t>
  </si>
  <si>
    <t>PQ2003 .V5 1963</t>
  </si>
  <si>
    <t>0                      PQ 2003000V  5           1963</t>
  </si>
  <si>
    <t>La Vie de Marianne ; ou les Aventures de Madame la Comtesse de*** / Marivaux. [Texte établi, avec introduction, chronologie, bibliographie, notes et glossaire par Frédéric Deloffre]</t>
  </si>
  <si>
    <t>Marivaux, Pierre Carlet de Chamblain de, 1688-1763.</t>
  </si>
  <si>
    <t>Paris : Garnier, [1963]</t>
  </si>
  <si>
    <t>Classiques Garnier</t>
  </si>
  <si>
    <t>1995-09-18</t>
  </si>
  <si>
    <t>348391605:fre</t>
  </si>
  <si>
    <t>676111</t>
  </si>
  <si>
    <t>991003133729702656</t>
  </si>
  <si>
    <t>2270199760002656</t>
  </si>
  <si>
    <t>32285002094224</t>
  </si>
  <si>
    <t>893721801</t>
  </si>
  <si>
    <t>PQ2011 .E8 1967</t>
  </si>
  <si>
    <t>0                      PQ 2011000E  8           1967</t>
  </si>
  <si>
    <t>Essai sur le goût / Montesquieu. Introd. et notes par Charles-Jacques Beyer.</t>
  </si>
  <si>
    <t>Montesquieu, Charles de Secondat, baron de, 1689-1755.</t>
  </si>
  <si>
    <t>Genève : Droz, 1967.</t>
  </si>
  <si>
    <t>Textes littéraires français ; 143</t>
  </si>
  <si>
    <t>1996-07-20</t>
  </si>
  <si>
    <t>2908904878:fre</t>
  </si>
  <si>
    <t>588759</t>
  </si>
  <si>
    <t>991003023809702656</t>
  </si>
  <si>
    <t>2270001090002656</t>
  </si>
  <si>
    <t>32285002094174</t>
  </si>
  <si>
    <t>893342161</t>
  </si>
  <si>
    <t>PQ2036 .E4 1966</t>
  </si>
  <si>
    <t>0                      PQ 2036000E  4           1966</t>
  </si>
  <si>
    <t>Rousseau's Venetian story; an essay upon art and truth in Les confessions, by Madeleine B. Ellis.</t>
  </si>
  <si>
    <t>Ellis, Madeleine B.</t>
  </si>
  <si>
    <t>Baltimore, Johns Hopkins Press [1966]</t>
  </si>
  <si>
    <t>2003-10-15</t>
  </si>
  <si>
    <t>936492629:eng</t>
  </si>
  <si>
    <t>342353</t>
  </si>
  <si>
    <t>991004162139702656</t>
  </si>
  <si>
    <t>2266317610002656</t>
  </si>
  <si>
    <t>32285004788450</t>
  </si>
  <si>
    <t>893687442</t>
  </si>
  <si>
    <t>PQ2039 .A1 1967</t>
  </si>
  <si>
    <t>0                      PQ 2039000A  1           1967</t>
  </si>
  <si>
    <t>La nouvelle Héloise. Étude et analyse par Daniel Mornet.</t>
  </si>
  <si>
    <t>Rousseau, Jean-Jacques, 1712-1778.</t>
  </si>
  <si>
    <t>Paris, Éditions Mellotée [1967]</t>
  </si>
  <si>
    <t>Les Chefs-d'oeuvre de la littérature expliques</t>
  </si>
  <si>
    <t>1999-06-16</t>
  </si>
  <si>
    <t>1997-05-12</t>
  </si>
  <si>
    <t>3373510288:fre</t>
  </si>
  <si>
    <t>331436</t>
  </si>
  <si>
    <t>991002389249702656</t>
  </si>
  <si>
    <t>2258517010002656</t>
  </si>
  <si>
    <t>32285002653490</t>
  </si>
  <si>
    <t>893873452</t>
  </si>
  <si>
    <t>PQ2043 .G75</t>
  </si>
  <si>
    <t>0                      PQ 2043000G  75</t>
  </si>
  <si>
    <t>Jean-Jacques Rousseau : a critical study of his life and writings.</t>
  </si>
  <si>
    <t>Green, F. C. (Frederick Charles), 1891-1964.</t>
  </si>
  <si>
    <t>Cambridge, [Eng.] : University Press, 1955.</t>
  </si>
  <si>
    <t>1955</t>
  </si>
  <si>
    <t>2002-12-04</t>
  </si>
  <si>
    <t>1995-03-16</t>
  </si>
  <si>
    <t>199519594:eng</t>
  </si>
  <si>
    <t>338930</t>
  </si>
  <si>
    <t>991002409239702656</t>
  </si>
  <si>
    <t>2257161130002656</t>
  </si>
  <si>
    <t>32285002020260</t>
  </si>
  <si>
    <t>893873480</t>
  </si>
  <si>
    <t>1995-04-23</t>
  </si>
  <si>
    <t>1995-01-27</t>
  </si>
  <si>
    <t>32285001987915</t>
  </si>
  <si>
    <t>893873479</t>
  </si>
  <si>
    <t>PQ2057.A2 D4 1966</t>
  </si>
  <si>
    <t>0                      PQ 2057000A  2                  D  4           1966</t>
  </si>
  <si>
    <t>Jean-Jacques Rousseau et la sensibilité littéraire à la fin du xviiie siècle.</t>
  </si>
  <si>
    <t>Paris, Société d'édition d'enseignement supérieur 1966.</t>
  </si>
  <si>
    <t>___</t>
  </si>
  <si>
    <t>1997-09-18</t>
  </si>
  <si>
    <t>1425222:fre</t>
  </si>
  <si>
    <t>280049</t>
  </si>
  <si>
    <t>991002186679702656</t>
  </si>
  <si>
    <t>2265287120002656</t>
  </si>
  <si>
    <t>32285000601814</t>
  </si>
  <si>
    <t>893703769</t>
  </si>
  <si>
    <t>PQ2057.S6 S6 1969</t>
  </si>
  <si>
    <t>0                      PQ 2057000S  6                  S  6           1969</t>
  </si>
  <si>
    <t>Rousseau in the Spanish world before 1833; a study in Franco-Spanish literary relations.</t>
  </si>
  <si>
    <t>Spell, Jefferson Rea, 1886-1967.</t>
  </si>
  <si>
    <t>New York, Octagon Books, 1969 [c1938]</t>
  </si>
  <si>
    <t>2003-12-10</t>
  </si>
  <si>
    <t>287542803:eng</t>
  </si>
  <si>
    <t>24114</t>
  </si>
  <si>
    <t>991000058579702656</t>
  </si>
  <si>
    <t>2266687600002656</t>
  </si>
  <si>
    <t>32285002653607</t>
  </si>
  <si>
    <t>893224697</t>
  </si>
  <si>
    <t>PQ2063.S3 L4413</t>
  </si>
  <si>
    <t>0                      PQ 2063000S  3                  L  4413</t>
  </si>
  <si>
    <t>Portrait of De Sade; an illustrated biography. Translated by Sarah Twohig.</t>
  </si>
  <si>
    <t>Lennig, Walter.</t>
  </si>
  <si>
    <t>[New York] Herder and Herder [1971]</t>
  </si>
  <si>
    <t>2005-05-05</t>
  </si>
  <si>
    <t>1328310:eng</t>
  </si>
  <si>
    <t>146991</t>
  </si>
  <si>
    <t>991000829129702656</t>
  </si>
  <si>
    <t>2258668560002656</t>
  </si>
  <si>
    <t>32285002653623</t>
  </si>
  <si>
    <t>893496596</t>
  </si>
  <si>
    <t>PQ207 .B56 1986</t>
  </si>
  <si>
    <t>0                      PQ 0207000B  56          1986</t>
  </si>
  <si>
    <t>The scandal of the fabliaux / R. Howard Bloch.</t>
  </si>
  <si>
    <t>Bloch, R. Howard.</t>
  </si>
  <si>
    <t>Chicago : University of Chicago Press, 1986.</t>
  </si>
  <si>
    <t>1986</t>
  </si>
  <si>
    <t>2000-11-08</t>
  </si>
  <si>
    <t>4979669:eng</t>
  </si>
  <si>
    <t>12315661</t>
  </si>
  <si>
    <t>991000671649702656</t>
  </si>
  <si>
    <t>2272803180002656</t>
  </si>
  <si>
    <t>9780226059761</t>
  </si>
  <si>
    <t>32285001250843</t>
  </si>
  <si>
    <t>893708599</t>
  </si>
  <si>
    <t>PQ207 .C64</t>
  </si>
  <si>
    <t>0                      PQ 0207000C  64</t>
  </si>
  <si>
    <t>The humor of the fabliaux : a collection of critical essays / edited by Thomas D. Cooke, Benjamin L. Honeycutt.</t>
  </si>
  <si>
    <t>Cooke, Thomas Darlington, 1933-</t>
  </si>
  <si>
    <t>Columbia : University of Missouri Press, 1974.</t>
  </si>
  <si>
    <t>msu</t>
  </si>
  <si>
    <t>2000-11-02</t>
  </si>
  <si>
    <t>493246:eng</t>
  </si>
  <si>
    <t>1217601</t>
  </si>
  <si>
    <t>991003627089702656</t>
  </si>
  <si>
    <t>2269727800002656</t>
  </si>
  <si>
    <t>9780826201683</t>
  </si>
  <si>
    <t>32285002589009</t>
  </si>
  <si>
    <t>893699217</t>
  </si>
  <si>
    <t>PQ207 .C645</t>
  </si>
  <si>
    <t>0                      PQ 0207000C  645</t>
  </si>
  <si>
    <t>The Old French and Chaucerian fabliaux : a study of their comic climax / Thomas D. Cooke.</t>
  </si>
  <si>
    <t>8079263:eng</t>
  </si>
  <si>
    <t>3089128</t>
  </si>
  <si>
    <t>991004340729702656</t>
  </si>
  <si>
    <t>2262855020002656</t>
  </si>
  <si>
    <t>9780826202253</t>
  </si>
  <si>
    <t>32285002589017</t>
  </si>
  <si>
    <t>893882356</t>
  </si>
  <si>
    <t>PQ2099 .L3</t>
  </si>
  <si>
    <t>0                      PQ 2099000L  3</t>
  </si>
  <si>
    <t>Voltaire / par Gustave Lanson.</t>
  </si>
  <si>
    <t>Lanson, Gustave, 1857-1934.</t>
  </si>
  <si>
    <t>Paris : Hachette et cie, 1906.</t>
  </si>
  <si>
    <t>1906</t>
  </si>
  <si>
    <t>Les grands écrivains français</t>
  </si>
  <si>
    <t>1997-09-02</t>
  </si>
  <si>
    <t>1992-12-18</t>
  </si>
  <si>
    <t>4916918977:fre</t>
  </si>
  <si>
    <t>2812886</t>
  </si>
  <si>
    <t>991004251179702656</t>
  </si>
  <si>
    <t>2261874210002656</t>
  </si>
  <si>
    <t>32285001444651</t>
  </si>
  <si>
    <t>893810431</t>
  </si>
  <si>
    <t>PQ2126.W6 A3</t>
  </si>
  <si>
    <t>0                      PQ 2126000W  6                  A  3</t>
  </si>
  <si>
    <t>La femme dans les contes et les romans de Voltaire / D. J. Adams.</t>
  </si>
  <si>
    <t>Adams, D. J. (David J.)</t>
  </si>
  <si>
    <t>Paris : A. G. Nizet, 1974.</t>
  </si>
  <si>
    <t>1999-02-17</t>
  </si>
  <si>
    <t>358005524:fre</t>
  </si>
  <si>
    <t>1298277</t>
  </si>
  <si>
    <t>991003676609702656</t>
  </si>
  <si>
    <t>2263966660002656</t>
  </si>
  <si>
    <t>32285001444644</t>
  </si>
  <si>
    <t>893598839</t>
  </si>
  <si>
    <t>PQ2159.C72 H8 1964</t>
  </si>
  <si>
    <t>0                      PQ 2159000C  72                 H  8           1964</t>
  </si>
  <si>
    <t>Balzac's Comédie humaine / by Herbert J. Hunt.</t>
  </si>
  <si>
    <t>Hunt, Herbert J., 1899-1973.</t>
  </si>
  <si>
    <t>[London] : University of London, Athlone Press, [1964]</t>
  </si>
  <si>
    <t>2002-01-30</t>
  </si>
  <si>
    <t>1466364:fre</t>
  </si>
  <si>
    <t>338880</t>
  </si>
  <si>
    <t>991003718349702656</t>
  </si>
  <si>
    <t>2257202820002656</t>
  </si>
  <si>
    <t>32285004450689</t>
  </si>
  <si>
    <t>893868757</t>
  </si>
  <si>
    <t>PQ2178 .M333 1966</t>
  </si>
  <si>
    <t>0                      PQ 2178000M  333         1966</t>
  </si>
  <si>
    <t>Prometheus : the life of Balzac / translated by Norman Denny.</t>
  </si>
  <si>
    <t>Maurois, André, 1885-1967.</t>
  </si>
  <si>
    <t>New York : Harper &amp; Row, [1966, c1965]</t>
  </si>
  <si>
    <t>[1st ed.]</t>
  </si>
  <si>
    <t>2001-02-14</t>
  </si>
  <si>
    <t>1993-03-16</t>
  </si>
  <si>
    <t>3377369925:eng</t>
  </si>
  <si>
    <t>2360260</t>
  </si>
  <si>
    <t>991004096729702656</t>
  </si>
  <si>
    <t>2272804970002656</t>
  </si>
  <si>
    <t>32285001572840</t>
  </si>
  <si>
    <t>893705988</t>
  </si>
  <si>
    <t>PQ2178 .P74 1973b</t>
  </si>
  <si>
    <t>0                      PQ 2178000P  74          1973b</t>
  </si>
  <si>
    <t>Balzac [by] V. S. Pritchett.</t>
  </si>
  <si>
    <t>Pritchett, V. S. (Victor Sawdon), 1900-1997.</t>
  </si>
  <si>
    <t>London, Chatto &amp; Windus, 1973.</t>
  </si>
  <si>
    <t>2002-11-05</t>
  </si>
  <si>
    <t>57069166:eng</t>
  </si>
  <si>
    <t>761688</t>
  </si>
  <si>
    <t>991003237299702656</t>
  </si>
  <si>
    <t>2267872730002656</t>
  </si>
  <si>
    <t>9780701119522</t>
  </si>
  <si>
    <t>32285002653904</t>
  </si>
  <si>
    <t>893610843</t>
  </si>
  <si>
    <t>PQ2178 .R48 1994</t>
  </si>
  <si>
    <t>0                      PQ 2178000R  48          1994</t>
  </si>
  <si>
    <t>Balzac : a life / Graham Robb.</t>
  </si>
  <si>
    <t>Robb, Graham, 1958-</t>
  </si>
  <si>
    <t>New York : Norton, 1994.</t>
  </si>
  <si>
    <t>1st American ed.</t>
  </si>
  <si>
    <t>3943791691:eng</t>
  </si>
  <si>
    <t>30436965</t>
  </si>
  <si>
    <t>991002337919702656</t>
  </si>
  <si>
    <t>2259472590002656</t>
  </si>
  <si>
    <t>9780393036794</t>
  </si>
  <si>
    <t>32285001948669</t>
  </si>
  <si>
    <t>893245047</t>
  </si>
  <si>
    <t>PQ2181 .F44</t>
  </si>
  <si>
    <t>0                      PQ 2181000F  44</t>
  </si>
  <si>
    <t>Honoré de Balzac / by Diana Festa-McCormick.</t>
  </si>
  <si>
    <t>Festa-McCormick, Diana.</t>
  </si>
  <si>
    <t>Boston : Twayne, 1979.</t>
  </si>
  <si>
    <t>1979</t>
  </si>
  <si>
    <t>Twayne's world authors series ; TWAS 541 : France</t>
  </si>
  <si>
    <t>1998-06-20</t>
  </si>
  <si>
    <t>1991-05-09</t>
  </si>
  <si>
    <t>1813297056:eng</t>
  </si>
  <si>
    <t>4593647</t>
  </si>
  <si>
    <t>991004688509702656</t>
  </si>
  <si>
    <t>2271380500002656</t>
  </si>
  <si>
    <t>9780805763836</t>
  </si>
  <si>
    <t>32285000602465</t>
  </si>
  <si>
    <t>893612649</t>
  </si>
  <si>
    <t>PQ2184.F54 B35 1990</t>
  </si>
  <si>
    <t>0                      PQ 2184000F  54                 B  35          1990</t>
  </si>
  <si>
    <t>Balzac cinéaste / Anne-Marie Baron.</t>
  </si>
  <si>
    <t>Baron, Anne-Marie.</t>
  </si>
  <si>
    <t>Paris : Méridiens-Klincksieck, 1990.</t>
  </si>
  <si>
    <t>1995-05-31</t>
  </si>
  <si>
    <t>25004961:fre</t>
  </si>
  <si>
    <t>23863172</t>
  </si>
  <si>
    <t>991001889939702656</t>
  </si>
  <si>
    <t>2271732830002656</t>
  </si>
  <si>
    <t>9782865632688</t>
  </si>
  <si>
    <t>32285002048170</t>
  </si>
  <si>
    <t>893322327</t>
  </si>
  <si>
    <t>PQ2191 .A1 1968</t>
  </si>
  <si>
    <t>0                      PQ 2191000A  1           1968</t>
  </si>
  <si>
    <t>Œuvres complètes / Baudelaire ; préface, présentation et notes de Marcel A. Ruff.</t>
  </si>
  <si>
    <t>Paris : Éditions du Seuil, 1968.</t>
  </si>
  <si>
    <t>1968</t>
  </si>
  <si>
    <t>L'Intégrale</t>
  </si>
  <si>
    <t>2005-03-14</t>
  </si>
  <si>
    <t>2000-10-05</t>
  </si>
  <si>
    <t>4131167235:fre</t>
  </si>
  <si>
    <t>342314</t>
  </si>
  <si>
    <t>991003306709702656</t>
  </si>
  <si>
    <t>2266307300002656</t>
  </si>
  <si>
    <t>32285003766978</t>
  </si>
  <si>
    <t>893410152</t>
  </si>
  <si>
    <t>PQ2191.Z5 B42</t>
  </si>
  <si>
    <t>0                      PQ 2191000Z  5                  B  42</t>
  </si>
  <si>
    <t>Baudelaire and Freud / Leo Bersani. --</t>
  </si>
  <si>
    <t>Bersani, Leo.</t>
  </si>
  <si>
    <t>A Quantum book</t>
  </si>
  <si>
    <t>1997-11-13</t>
  </si>
  <si>
    <t>180396696:eng</t>
  </si>
  <si>
    <t>3616375</t>
  </si>
  <si>
    <t>991004478159702656</t>
  </si>
  <si>
    <t>2266969920002656</t>
  </si>
  <si>
    <t>9780520034020</t>
  </si>
  <si>
    <t>32285000602531</t>
  </si>
  <si>
    <t>893888762</t>
  </si>
  <si>
    <t>PQ2191.Z5 C314</t>
  </si>
  <si>
    <t>0                      PQ 2191000Z  5                  C  314</t>
  </si>
  <si>
    <t>Charles Baudelaire / by A.E. Carter.</t>
  </si>
  <si>
    <t>Carter, A. E. (Alfred Edward)</t>
  </si>
  <si>
    <t>Boston : Twayne, c1977.</t>
  </si>
  <si>
    <t>Twayne's world authors series ; TWAS 429 : France</t>
  </si>
  <si>
    <t>2005-03-03</t>
  </si>
  <si>
    <t>1994-06-10</t>
  </si>
  <si>
    <t>1909521182:eng</t>
  </si>
  <si>
    <t>2542560</t>
  </si>
  <si>
    <t>991004158009702656</t>
  </si>
  <si>
    <t>2272072820002656</t>
  </si>
  <si>
    <t>9780805762693</t>
  </si>
  <si>
    <t>32285001928869</t>
  </si>
  <si>
    <t>893718560</t>
  </si>
  <si>
    <t>PQ2191.Z5 L58</t>
  </si>
  <si>
    <t>0                      PQ 2191000Z  5                  L  58</t>
  </si>
  <si>
    <t>Baudelaire's literary criticism / Rosemary Lloyd.</t>
  </si>
  <si>
    <t>Lloyd, Rosemary.</t>
  </si>
  <si>
    <t>Cambridge [Eng.] ; New York : Cambridge University Press, 1981.</t>
  </si>
  <si>
    <t>2005-03-01</t>
  </si>
  <si>
    <t>27318522:eng</t>
  </si>
  <si>
    <t>7462152</t>
  </si>
  <si>
    <t>991005115689702656</t>
  </si>
  <si>
    <t>2262675330002656</t>
  </si>
  <si>
    <t>9780521235525</t>
  </si>
  <si>
    <t>32285000602549</t>
  </si>
  <si>
    <t>893338531</t>
  </si>
  <si>
    <t>PQ2191.Z5 L59 2002</t>
  </si>
  <si>
    <t>0                      PQ 2191000Z  5                  L  59          2002</t>
  </si>
  <si>
    <t>Baudelaire's world / Rosemary Lloyd.</t>
  </si>
  <si>
    <t>Ithaca : Cornell University Press, 2002.</t>
  </si>
  <si>
    <t>2002</t>
  </si>
  <si>
    <t>2004-04-25</t>
  </si>
  <si>
    <t>2003-09-18</t>
  </si>
  <si>
    <t>8787210:eng</t>
  </si>
  <si>
    <t>49795638</t>
  </si>
  <si>
    <t>991004127769702656</t>
  </si>
  <si>
    <t>2255259370002656</t>
  </si>
  <si>
    <t>9780801440267</t>
  </si>
  <si>
    <t>32285004790134</t>
  </si>
  <si>
    <t>893435919</t>
  </si>
  <si>
    <t>PQ2191.Z5 R47 1994</t>
  </si>
  <si>
    <t>0                      PQ 2191000Z  5                  R  47          1994</t>
  </si>
  <si>
    <t>Baudelaire / Joanna Richardson.</t>
  </si>
  <si>
    <t>Richardson, Joanna.</t>
  </si>
  <si>
    <t>New York : St. Martin's Press, 1994.</t>
  </si>
  <si>
    <t>1st U.S. ed.</t>
  </si>
  <si>
    <t>1997-03-26</t>
  </si>
  <si>
    <t>1995-01-23</t>
  </si>
  <si>
    <t>32118131:eng</t>
  </si>
  <si>
    <t>30736784</t>
  </si>
  <si>
    <t>991002363789702656</t>
  </si>
  <si>
    <t>2262828830002656</t>
  </si>
  <si>
    <t>9780312114763</t>
  </si>
  <si>
    <t>32285001994929</t>
  </si>
  <si>
    <t>893597362</t>
  </si>
  <si>
    <t>PQ2191.Z5 S8 1958</t>
  </si>
  <si>
    <t>0                      PQ 2191000Z  5                  S  8           1958</t>
  </si>
  <si>
    <t>Baudelaire.</t>
  </si>
  <si>
    <t>Starkie, Enid.</t>
  </si>
  <si>
    <t>[Norfolk, Conn.] : New Directions, [1958]</t>
  </si>
  <si>
    <t>1995-03-23</t>
  </si>
  <si>
    <t>3901079952:eng</t>
  </si>
  <si>
    <t>244904</t>
  </si>
  <si>
    <t>991001920689702656</t>
  </si>
  <si>
    <t>2270102660002656</t>
  </si>
  <si>
    <t>32285002013653</t>
  </si>
  <si>
    <t>893522970</t>
  </si>
  <si>
    <t>PQ2191.Z5 W3 1980</t>
  </si>
  <si>
    <t>0                      PQ 2191000Z  5                  W  3           1980</t>
  </si>
  <si>
    <t>Baudelaire, a fire to conquer darkness / Nicole Ward Jouve.</t>
  </si>
  <si>
    <t>Ward Jouve, Nicole.</t>
  </si>
  <si>
    <t>New York : St. Martin's Press, 1980.</t>
  </si>
  <si>
    <t>1980</t>
  </si>
  <si>
    <t>836624384:eng</t>
  </si>
  <si>
    <t>5008292</t>
  </si>
  <si>
    <t>991004762769702656</t>
  </si>
  <si>
    <t>2269327300002656</t>
  </si>
  <si>
    <t>9780312070052</t>
  </si>
  <si>
    <t>32285000602556</t>
  </si>
  <si>
    <t>893507205</t>
  </si>
  <si>
    <t>PQ2191.Z72 C3</t>
  </si>
  <si>
    <t>0                      PQ 2191000Z  72                 C  3</t>
  </si>
  <si>
    <t>Baudelaire criticism, 1950-1967 : a bibliography with critical commentary / [by] Robert T. Cargo.</t>
  </si>
  <si>
    <t>Cargo, Robert T.</t>
  </si>
  <si>
    <t>University : University of Alabama Press, [c1968]</t>
  </si>
  <si>
    <t>alu</t>
  </si>
  <si>
    <t>1994-04-08</t>
  </si>
  <si>
    <t>293639601:eng</t>
  </si>
  <si>
    <t>878</t>
  </si>
  <si>
    <t>991005432029702656</t>
  </si>
  <si>
    <t>2272566280002656</t>
  </si>
  <si>
    <t>9780817395094</t>
  </si>
  <si>
    <t>32285001874576</t>
  </si>
  <si>
    <t>893242743</t>
  </si>
  <si>
    <t>PQ2193.B4 Z73</t>
  </si>
  <si>
    <t>0                      PQ 2193000B  4                  Z  73</t>
  </si>
  <si>
    <t>Henry Becque.</t>
  </si>
  <si>
    <t>Hyslop, Lois Boe, 1908-2003.</t>
  </si>
  <si>
    <t>New York, Twayne Publishers [c1972]</t>
  </si>
  <si>
    <t>Twayne's world authors series, TWAS 180 France</t>
  </si>
  <si>
    <t>1998-02-18</t>
  </si>
  <si>
    <t>509761526:eng</t>
  </si>
  <si>
    <t>257867</t>
  </si>
  <si>
    <t>991002004649702656</t>
  </si>
  <si>
    <t>2271766350002656</t>
  </si>
  <si>
    <t>32285002654142</t>
  </si>
  <si>
    <t>893414715</t>
  </si>
  <si>
    <t>PQ2205.Z5 D4</t>
  </si>
  <si>
    <t>0                      PQ 2205000Z  5                  D  4</t>
  </si>
  <si>
    <t>Chateaubriand et Rousseau.</t>
  </si>
  <si>
    <t>Paris, Société d'édition d'enseignement supérieur, 1973.</t>
  </si>
  <si>
    <t>1992-09-04</t>
  </si>
  <si>
    <t>1753426:fre</t>
  </si>
  <si>
    <t>793793</t>
  </si>
  <si>
    <t>991003267859702656</t>
  </si>
  <si>
    <t>2263311510002656</t>
  </si>
  <si>
    <t>32285000602572</t>
  </si>
  <si>
    <t>893692550</t>
  </si>
  <si>
    <t>PQ2205.Z5 L65 1947</t>
  </si>
  <si>
    <t>0                      PQ 2205000Z  5                  L  65          1947</t>
  </si>
  <si>
    <t>Chateaubriand, Madame Récamier et les Mémoires d'outre-tombe (1830-1850) : d'après des documents inédits / Maurice Levaillant.</t>
  </si>
  <si>
    <t>Levaillant, Maurice, 1883-1961.</t>
  </si>
  <si>
    <t>Paris : Delagrave, 1947.</t>
  </si>
  <si>
    <t>1947</t>
  </si>
  <si>
    <t>3. éd. rev.</t>
  </si>
  <si>
    <t>1996-06-06</t>
  </si>
  <si>
    <t>1996-06-05</t>
  </si>
  <si>
    <t>10568022928:fre</t>
  </si>
  <si>
    <t>4160587</t>
  </si>
  <si>
    <t>991004598589702656</t>
  </si>
  <si>
    <t>2272682590002656</t>
  </si>
  <si>
    <t>32285002187887</t>
  </si>
  <si>
    <t>893235697</t>
  </si>
  <si>
    <t>PQ2205.Z5 M32 1969</t>
  </si>
  <si>
    <t>0                      PQ 2205000Z  5                  M  32          1969</t>
  </si>
  <si>
    <t>Chateaubriand : poet, statesman, lover / translated from the French by Vera Fraser.</t>
  </si>
  <si>
    <t>New York : Greenwood Press, [1969]</t>
  </si>
  <si>
    <t>1995-10-27</t>
  </si>
  <si>
    <t>1992-11-30</t>
  </si>
  <si>
    <t>4757705507:eng</t>
  </si>
  <si>
    <t>67860</t>
  </si>
  <si>
    <t>991000230249702656</t>
  </si>
  <si>
    <t>2258144780002656</t>
  </si>
  <si>
    <t>9780837127057</t>
  </si>
  <si>
    <t>32285001410009</t>
  </si>
  <si>
    <t>893431803</t>
  </si>
  <si>
    <t>PQ2205.Z5 S9</t>
  </si>
  <si>
    <t>0                      PQ 2205000Z  5                  S  9</t>
  </si>
  <si>
    <t>Chateaubriand / by Richard Switzer.</t>
  </si>
  <si>
    <t>Switzer, Richard.</t>
  </si>
  <si>
    <t>New York : Twayne Publishers, 1971.</t>
  </si>
  <si>
    <t>Twayne's world authors series, TWAS 142. France</t>
  </si>
  <si>
    <t>1998-01-22</t>
  </si>
  <si>
    <t>3863710233:eng</t>
  </si>
  <si>
    <t>151859</t>
  </si>
  <si>
    <t>991003637529702656</t>
  </si>
  <si>
    <t>2261425260002656</t>
  </si>
  <si>
    <t>32285000602580</t>
  </si>
  <si>
    <t>893505798</t>
  </si>
  <si>
    <t>PQ221 .N53 2002</t>
  </si>
  <si>
    <t>0                      PQ 0221000N  53          2002</t>
  </si>
  <si>
    <t>Marriage fictions in Old French secular narratives, 1170-1250 : a critical re-evaluation of the Courtly Love debate / Keith Nickolaus.</t>
  </si>
  <si>
    <t>Nickolaus, Keith.</t>
  </si>
  <si>
    <t>New York : Routledge, 2002.</t>
  </si>
  <si>
    <t>Studies in medieval history and culture ; v. 6</t>
  </si>
  <si>
    <t>2007-11-30</t>
  </si>
  <si>
    <t>2003-11-05</t>
  </si>
  <si>
    <t>4241427857:eng</t>
  </si>
  <si>
    <t>47650457</t>
  </si>
  <si>
    <t>991004152269702656</t>
  </si>
  <si>
    <t>2260202130002656</t>
  </si>
  <si>
    <t>9780415937221</t>
  </si>
  <si>
    <t>32285004793898</t>
  </si>
  <si>
    <t>893806731</t>
  </si>
  <si>
    <t>PQ2216.S3 E5 1948</t>
  </si>
  <si>
    <t>0                      PQ 2216000S  3                  E  5           1948</t>
  </si>
  <si>
    <t>Sapho, by Alphonse Daudet. Manon Lescaut, by Antoine François Prévost. Carmen, by Prosper Mérimée.</t>
  </si>
  <si>
    <t>Daudet, Alphonse, 1840-1897.</t>
  </si>
  <si>
    <t>New York, Modern Library [1948?]</t>
  </si>
  <si>
    <t>1948</t>
  </si>
  <si>
    <t>The modern library of the world's best books</t>
  </si>
  <si>
    <t>2002-11-07</t>
  </si>
  <si>
    <t>3373692202:eng</t>
  </si>
  <si>
    <t>838476</t>
  </si>
  <si>
    <t>991003313869702656</t>
  </si>
  <si>
    <t>2269140630002656</t>
  </si>
  <si>
    <t>32285000602606</t>
  </si>
  <si>
    <t>893258301</t>
  </si>
  <si>
    <t>PQ2220.D723 Z654</t>
  </si>
  <si>
    <t>0                      PQ 2220000D  723                Z  654</t>
  </si>
  <si>
    <t>Lautréamont.</t>
  </si>
  <si>
    <t>Fowlie, Wallace, 1908-1998.</t>
  </si>
  <si>
    <t>New York, Twayne Publishers [1973]</t>
  </si>
  <si>
    <t>Twayne's world authors series, TWAS 284. France</t>
  </si>
  <si>
    <t>2003-12-22</t>
  </si>
  <si>
    <t>1997-05-15</t>
  </si>
  <si>
    <t>3943588001:eng</t>
  </si>
  <si>
    <t>700814</t>
  </si>
  <si>
    <t>991003161989702656</t>
  </si>
  <si>
    <t>2255459010002656</t>
  </si>
  <si>
    <t>9780805725117</t>
  </si>
  <si>
    <t>32285002654464</t>
  </si>
  <si>
    <t>893498996</t>
  </si>
  <si>
    <t>PQ2230 .S84</t>
  </si>
  <si>
    <t>0                      PQ 2230000S  84</t>
  </si>
  <si>
    <t>Alexandre Dumas (père) / by Richard S. Stowe.</t>
  </si>
  <si>
    <t>Stowe, Richard S. (Richard Scribner), 1925-2001.</t>
  </si>
  <si>
    <t>Boston : Twayne Publishers, c1976.</t>
  </si>
  <si>
    <t>Twayne's world authors series ; TWAS 388 : France</t>
  </si>
  <si>
    <t>1994-01-19</t>
  </si>
  <si>
    <t>1990-02-21</t>
  </si>
  <si>
    <t>3943556234:eng</t>
  </si>
  <si>
    <t>1976039</t>
  </si>
  <si>
    <t>991003962409702656</t>
  </si>
  <si>
    <t>2266611030002656</t>
  </si>
  <si>
    <t>9780805762303</t>
  </si>
  <si>
    <t>32285000048685</t>
  </si>
  <si>
    <t>893531817</t>
  </si>
  <si>
    <t>PQ2231.Z5 R6</t>
  </si>
  <si>
    <t>0                      PQ 2231000Z  5                  R  6</t>
  </si>
  <si>
    <t>Alexandre Dumas / Michael Ross.</t>
  </si>
  <si>
    <t>Ross, Michael, 1905-</t>
  </si>
  <si>
    <t>Newton Abbot [England] ; North Pomfret, Vt. : David &amp; Charles, c1981.</t>
  </si>
  <si>
    <t>446723:eng</t>
  </si>
  <si>
    <t>7355816</t>
  </si>
  <si>
    <t>991005107399702656</t>
  </si>
  <si>
    <t>2256916780002656</t>
  </si>
  <si>
    <t>9780715377581</t>
  </si>
  <si>
    <t>32285000602655</t>
  </si>
  <si>
    <t>893719780</t>
  </si>
  <si>
    <t>PQ2238.E7 C6</t>
  </si>
  <si>
    <t>0                      PQ 2238000E  7                  C  6</t>
  </si>
  <si>
    <t>The conscript : a story of the French war of 1813 / translated from the French of Erckmann-Chatrian.</t>
  </si>
  <si>
    <t>Erckmann-Chatrian.</t>
  </si>
  <si>
    <t>New York : C. Scribner's Sons, 1898.</t>
  </si>
  <si>
    <t>1898</t>
  </si>
  <si>
    <t>1998-12-15</t>
  </si>
  <si>
    <t>1997-12-17</t>
  </si>
  <si>
    <t>3574824:eng</t>
  </si>
  <si>
    <t>339269</t>
  </si>
  <si>
    <t>991002410099702656</t>
  </si>
  <si>
    <t>2259046370002656</t>
  </si>
  <si>
    <t>32285003292702</t>
  </si>
  <si>
    <t>893704039</t>
  </si>
  <si>
    <t>PQ2241.F352 R6</t>
  </si>
  <si>
    <t>0                      PQ 2241000F  352                R  6</t>
  </si>
  <si>
    <t>Les romans et le mariage: (roman) / Théophile de Ferrière.</t>
  </si>
  <si>
    <t>Ferrière, Théophile de.</t>
  </si>
  <si>
    <t>Genève : Slatkine Reprints, 1973.</t>
  </si>
  <si>
    <t>2003-04-21</t>
  </si>
  <si>
    <t>365903158:fre</t>
  </si>
  <si>
    <t>1103555</t>
  </si>
  <si>
    <t>991003538739702656</t>
  </si>
  <si>
    <t>2267181930002656</t>
  </si>
  <si>
    <t>32285002654530</t>
  </si>
  <si>
    <t>893604894</t>
  </si>
  <si>
    <t>PQ2247 .B8</t>
  </si>
  <si>
    <t>0                      PQ 2247000B  8</t>
  </si>
  <si>
    <t>Gustave Flaubert.</t>
  </si>
  <si>
    <t>Buck, Stratton, 1906-</t>
  </si>
  <si>
    <t>New York, Twayne Publishers [1966]</t>
  </si>
  <si>
    <t>Twayne's world authors series, 3. France</t>
  </si>
  <si>
    <t>2002-03-01</t>
  </si>
  <si>
    <t>461405:eng</t>
  </si>
  <si>
    <t>275189</t>
  </si>
  <si>
    <t>991002165669702656</t>
  </si>
  <si>
    <t>2263619430002656</t>
  </si>
  <si>
    <t>32285002654589</t>
  </si>
  <si>
    <t>893445000</t>
  </si>
  <si>
    <t>PQ2247 .D8 1947</t>
  </si>
  <si>
    <t>0                      PQ 2247000D  8           1947</t>
  </si>
  <si>
    <t>Gustave Flaubert : l'homme et l'œuvre : avec des documents inédits.</t>
  </si>
  <si>
    <t>Dumesnil, René, 1879-1967.</t>
  </si>
  <si>
    <t>Paris : Desclée, de Brouwer, [1947]</t>
  </si>
  <si>
    <t>3. éd.</t>
  </si>
  <si>
    <t>Temps et visages ; 4</t>
  </si>
  <si>
    <t>1996-07-31</t>
  </si>
  <si>
    <t>1992-12-02</t>
  </si>
  <si>
    <t>5534417825:fre</t>
  </si>
  <si>
    <t>706601</t>
  </si>
  <si>
    <t>991003170129702656</t>
  </si>
  <si>
    <t>2256499120002656</t>
  </si>
  <si>
    <t>32285001410975</t>
  </si>
  <si>
    <t>893524493</t>
  </si>
  <si>
    <t>PQ2247 .F3</t>
  </si>
  <si>
    <t>0                      PQ 2247000F  3</t>
  </si>
  <si>
    <t>Flaubert / par Émile Faguet.</t>
  </si>
  <si>
    <t>Faguet, Émile, 1847-1916.</t>
  </si>
  <si>
    <t>Paris : Hachette et cie, 1899.</t>
  </si>
  <si>
    <t>1899</t>
  </si>
  <si>
    <t>Les Grands écrivains français</t>
  </si>
  <si>
    <t>1635474:fre</t>
  </si>
  <si>
    <t>5209755</t>
  </si>
  <si>
    <t>991004800209702656</t>
  </si>
  <si>
    <t>2260629490002656</t>
  </si>
  <si>
    <t>32285001410967</t>
  </si>
  <si>
    <t>893241853</t>
  </si>
  <si>
    <t>PQ2247 .S78 1971b</t>
  </si>
  <si>
    <t>0                      PQ 2247000S  78          1971b</t>
  </si>
  <si>
    <t>Flaubert, the master : a critical and biographical study (1856-1880).</t>
  </si>
  <si>
    <t>New York, Atheneum, 1971.</t>
  </si>
  <si>
    <t>[1st American ed.]</t>
  </si>
  <si>
    <t>2000-02-02</t>
  </si>
  <si>
    <t>1997-09-15</t>
  </si>
  <si>
    <t>3902721056:eng</t>
  </si>
  <si>
    <t>219746</t>
  </si>
  <si>
    <t>991001296299702656</t>
  </si>
  <si>
    <t>2258122000002656</t>
  </si>
  <si>
    <t>32285003171294</t>
  </si>
  <si>
    <t>893231890</t>
  </si>
  <si>
    <t>PQ2247 .W35 2002</t>
  </si>
  <si>
    <t>0                      PQ 2247000W  35          2002</t>
  </si>
  <si>
    <t>Flaubert, a life / Geoffrey Wall.</t>
  </si>
  <si>
    <t>Wall, Geoffrey, 1950-</t>
  </si>
  <si>
    <t>New York : Farrar, Straus, and Giroux, 2002.</t>
  </si>
  <si>
    <t>2005-07-01</t>
  </si>
  <si>
    <t>2002-06-04</t>
  </si>
  <si>
    <t>1909238055:eng</t>
  </si>
  <si>
    <t>48871166</t>
  </si>
  <si>
    <t>991003799989702656</t>
  </si>
  <si>
    <t>2255743160002656</t>
  </si>
  <si>
    <t>9780374156275</t>
  </si>
  <si>
    <t>32285004490974</t>
  </si>
  <si>
    <t>893598990</t>
  </si>
  <si>
    <t>PQ2247.S33 B3 1981</t>
  </si>
  <si>
    <t>0                      PQ 2247000S  33                 B  3           1981</t>
  </si>
  <si>
    <t>Sartre &amp; Flaubert / Hazel E. Barnes.</t>
  </si>
  <si>
    <t>Barnes, Hazel Estella.</t>
  </si>
  <si>
    <t>Chicago : University of Chicago Press, 1981.</t>
  </si>
  <si>
    <t>1997-11-15</t>
  </si>
  <si>
    <t>417862:eng</t>
  </si>
  <si>
    <t>7006581</t>
  </si>
  <si>
    <t>991005069819702656</t>
  </si>
  <si>
    <t>2267915830002656</t>
  </si>
  <si>
    <t>9780226037202</t>
  </si>
  <si>
    <t>32285000602713</t>
  </si>
  <si>
    <t>893242150</t>
  </si>
  <si>
    <t>PQ2249 .D48 1975</t>
  </si>
  <si>
    <t>0                      PQ 2249000D  48          1975</t>
  </si>
  <si>
    <t>Flaubert, the problem of aesthetic discontinuity / Marie J. Diamond.</t>
  </si>
  <si>
    <t>Diamond, Marie J.</t>
  </si>
  <si>
    <t>Port Washington, N.Y. : Kennikat Press, 1975.</t>
  </si>
  <si>
    <t>National university publications. Literary criticism series</t>
  </si>
  <si>
    <t>2002-02-18</t>
  </si>
  <si>
    <t>458856:eng</t>
  </si>
  <si>
    <t>1365229</t>
  </si>
  <si>
    <t>991003719609702656</t>
  </si>
  <si>
    <t>2256109590002656</t>
  </si>
  <si>
    <t>9780804690751</t>
  </si>
  <si>
    <t>32285000602721</t>
  </si>
  <si>
    <t>893505911</t>
  </si>
  <si>
    <t>PQ2258.Z5 G7</t>
  </si>
  <si>
    <t>0                      PQ 2258000Z  5                  G  7</t>
  </si>
  <si>
    <t>Théophile Gautier / by Richard B. Grant.</t>
  </si>
  <si>
    <t>Grant, Richard B., 1925-</t>
  </si>
  <si>
    <t>Boston : Twayne Publishers, [1975]</t>
  </si>
  <si>
    <t>Twayne's world authors series ; TWAS 362 : France</t>
  </si>
  <si>
    <t>2004-02-19</t>
  </si>
  <si>
    <t>3901098666:eng</t>
  </si>
  <si>
    <t>1218470</t>
  </si>
  <si>
    <t>991003627959702656</t>
  </si>
  <si>
    <t>2271788530002656</t>
  </si>
  <si>
    <t>9780805762136</t>
  </si>
  <si>
    <t>32285001444024</t>
  </si>
  <si>
    <t>893246556</t>
  </si>
  <si>
    <t>PQ226 .M6</t>
  </si>
  <si>
    <t>0                      PQ 0226000M  6</t>
  </si>
  <si>
    <t>French achievement in literature / [by] Will G. Moore.</t>
  </si>
  <si>
    <t>Moore, W. G. (Will Grayburn), 1905-1978.</t>
  </si>
  <si>
    <t>London : Bell, 1969.</t>
  </si>
  <si>
    <t>2000-02-16</t>
  </si>
  <si>
    <t>1130330:eng</t>
  </si>
  <si>
    <t>25067</t>
  </si>
  <si>
    <t>991000062049702656</t>
  </si>
  <si>
    <t>2268543190002656</t>
  </si>
  <si>
    <t>9780713515084</t>
  </si>
  <si>
    <t>32285001250850</t>
  </si>
  <si>
    <t>893431639</t>
  </si>
  <si>
    <t>PQ2260.G36 Z6</t>
  </si>
  <si>
    <t>0                      PQ 2260000G  36                 Z  6</t>
  </si>
  <si>
    <t>Gérard de Nerval inconnu / par Edouard Peyrouzet. --</t>
  </si>
  <si>
    <t>Peyrouzet, Édouard.</t>
  </si>
  <si>
    <t>[Paris] J. Corti, 1965.</t>
  </si>
  <si>
    <t>1992-11-13</t>
  </si>
  <si>
    <t>146270027:fre</t>
  </si>
  <si>
    <t>17518792</t>
  </si>
  <si>
    <t>991002350899702656</t>
  </si>
  <si>
    <t>2271709570002656</t>
  </si>
  <si>
    <t>32285000602762</t>
  </si>
  <si>
    <t>893886154</t>
  </si>
  <si>
    <t>PQ2260.G36 Z85 1974</t>
  </si>
  <si>
    <t>0                      PQ 2260000G  36                 Z  85          1974</t>
  </si>
  <si>
    <t>The disinherited : the life of Gérard de Nerval, 1808-1855 / Benn Sowerby. --</t>
  </si>
  <si>
    <t>Sowerby, Benn.</t>
  </si>
  <si>
    <t>New York : New York University Press, 1974.</t>
  </si>
  <si>
    <t>488395106:eng</t>
  </si>
  <si>
    <t>1172225</t>
  </si>
  <si>
    <t>991003589949702656</t>
  </si>
  <si>
    <t>2267035110002656</t>
  </si>
  <si>
    <t>32285000602770</t>
  </si>
  <si>
    <t>893348871</t>
  </si>
  <si>
    <t>PQ2285.F53 Z8 1973</t>
  </si>
  <si>
    <t>0                      PQ 2285000F  53                 Z  8           1973</t>
  </si>
  <si>
    <t>Victor Hugo, poète de Satan.</t>
  </si>
  <si>
    <t>Zumthor, Paul, 1915-1995.</t>
  </si>
  <si>
    <t>Genève, Slatkine Reprints, 1973.</t>
  </si>
  <si>
    <t>2001-01-23</t>
  </si>
  <si>
    <t>1997-05-16</t>
  </si>
  <si>
    <t>197426643:fre</t>
  </si>
  <si>
    <t>743286</t>
  </si>
  <si>
    <t>991003217189702656</t>
  </si>
  <si>
    <t>2267348540002656</t>
  </si>
  <si>
    <t>32285002725116</t>
  </si>
  <si>
    <t>893686312</t>
  </si>
  <si>
    <t>PQ2293 .M353 1956a</t>
  </si>
  <si>
    <t>0                      PQ 2293000M  353         1956a</t>
  </si>
  <si>
    <t>Olympio; the life of Victor Hugo; translated from the French by Gerard Hopkins.</t>
  </si>
  <si>
    <t>New York, Harper [1956]</t>
  </si>
  <si>
    <t>2005-04-20</t>
  </si>
  <si>
    <t>10628200792:eng</t>
  </si>
  <si>
    <t>339270</t>
  </si>
  <si>
    <t>991002410129702656</t>
  </si>
  <si>
    <t>2259072260002656</t>
  </si>
  <si>
    <t>32285002725140</t>
  </si>
  <si>
    <t>893523574</t>
  </si>
  <si>
    <t>PQ2309.H4 Z636 1987</t>
  </si>
  <si>
    <t>0                      PQ 2309000H  4                  Z  636         1987</t>
  </si>
  <si>
    <t>J.-K. Huysmans--novelist, poet, and art critic / by Annette Kahn.</t>
  </si>
  <si>
    <t>Kahn, Annette, 1943-</t>
  </si>
  <si>
    <t>Ann Arbor, Mich. : UMI Research Press, c1987.</t>
  </si>
  <si>
    <t>miu</t>
  </si>
  <si>
    <t>Studies in fine arts. Criticism ; no. 19</t>
  </si>
  <si>
    <t>1996-04-09</t>
  </si>
  <si>
    <t>1989-11-16</t>
  </si>
  <si>
    <t>8548737:eng</t>
  </si>
  <si>
    <t>14966793</t>
  </si>
  <si>
    <t>991000972949702656</t>
  </si>
  <si>
    <t>2264174250002656</t>
  </si>
  <si>
    <t>9780835717151</t>
  </si>
  <si>
    <t>32285000014034</t>
  </si>
  <si>
    <t>893509269</t>
  </si>
  <si>
    <t>PQ2321 .P7 1973</t>
  </si>
  <si>
    <t>0                      PQ 2321000P  7           1973</t>
  </si>
  <si>
    <t>The happiest of the three [by] Eugène Labiche and Edmond Gondinet; [and] Let's get a divorce! [by] Victorien Sardou and Emile de Najac; [and] Get out of my hair! [by] Georges Feydeau; translated and introduced by Frederick Davies.</t>
  </si>
  <si>
    <t>Labiche, Eugène, 1815-1888.</t>
  </si>
  <si>
    <t>Harmondsworth, Penguin, 1973.</t>
  </si>
  <si>
    <t>Penguin classics</t>
  </si>
  <si>
    <t>1998-10-07</t>
  </si>
  <si>
    <t>10567724387:eng</t>
  </si>
  <si>
    <t>915037</t>
  </si>
  <si>
    <t>991003378869702656</t>
  </si>
  <si>
    <t>2265057800002656</t>
  </si>
  <si>
    <t>9780140442922</t>
  </si>
  <si>
    <t>32285002725264</t>
  </si>
  <si>
    <t>893348628</t>
  </si>
  <si>
    <t>PQ2325 .G6 1900</t>
  </si>
  <si>
    <t>0                      PQ 2325000G  6           1900</t>
  </si>
  <si>
    <t>Graziella / par A. de Lamartine ; edited with introduction and notes by F.M. Warren.</t>
  </si>
  <si>
    <t>Lamartine, Alphonse de, 1790-1869.</t>
  </si>
  <si>
    <t>Boston : D.C. Heath &amp; Co., c1900.</t>
  </si>
  <si>
    <t>1900</t>
  </si>
  <si>
    <t>Heath's modern language series</t>
  </si>
  <si>
    <t>2004-02-20</t>
  </si>
  <si>
    <t>365922:fre</t>
  </si>
  <si>
    <t>826627</t>
  </si>
  <si>
    <t>991003303519702656</t>
  </si>
  <si>
    <t>2267644640002656</t>
  </si>
  <si>
    <t>32285002725322</t>
  </si>
  <si>
    <t>893592398</t>
  </si>
  <si>
    <t>PQ2326 .L6</t>
  </si>
  <si>
    <t>0                      PQ 2326000L  6</t>
  </si>
  <si>
    <t>Lamartine, by Charles M. Lombard.</t>
  </si>
  <si>
    <t>Lombard, Charles M.</t>
  </si>
  <si>
    <t>New York, Twayne [1973]</t>
  </si>
  <si>
    <t>Twayne's world authors series, TWAS 254. France</t>
  </si>
  <si>
    <t>2004-04-15</t>
  </si>
  <si>
    <t>1784640:eng</t>
  </si>
  <si>
    <t>690708</t>
  </si>
  <si>
    <t>991003151299702656</t>
  </si>
  <si>
    <t>2260674530002656</t>
  </si>
  <si>
    <t>32285002725330</t>
  </si>
  <si>
    <t>893780658</t>
  </si>
  <si>
    <t>PQ233 .S3</t>
  </si>
  <si>
    <t>0                      PQ 0233000S  3</t>
  </si>
  <si>
    <t>Études sur le XVIe [i.e. seizième] siècle, avec les témoignages de François Mauriac et Marc Boegner ... Raymond Queneau ... Robert Kanters.</t>
  </si>
  <si>
    <t>Schmidt, Albert-Marie, compiler.</t>
  </si>
  <si>
    <t>Paris, A. Michel, 1967.</t>
  </si>
  <si>
    <t>2002-04-01</t>
  </si>
  <si>
    <t>181134283:fre</t>
  </si>
  <si>
    <t>504338</t>
  </si>
  <si>
    <t>991002878879702656</t>
  </si>
  <si>
    <t>2260886860002656</t>
  </si>
  <si>
    <t>32285002589058</t>
  </si>
  <si>
    <t>893874126</t>
  </si>
  <si>
    <t>PQ2344.Z5 B42</t>
  </si>
  <si>
    <t>0                      PQ 2344000Z  5                  B  42</t>
  </si>
  <si>
    <t>The death of Stéphane Mallarmé / Leo Bersani.</t>
  </si>
  <si>
    <t>Cambridge [Cambridgeshire] ; New York : Cambridge University Press, 1982.</t>
  </si>
  <si>
    <t>Cambridge studies in French</t>
  </si>
  <si>
    <t>1996-05-02</t>
  </si>
  <si>
    <t>505021:eng</t>
  </si>
  <si>
    <t>7553446</t>
  </si>
  <si>
    <t>991005125709702656</t>
  </si>
  <si>
    <t>2262765010002656</t>
  </si>
  <si>
    <t>9780521238632</t>
  </si>
  <si>
    <t>32285000602937</t>
  </si>
  <si>
    <t>893701058</t>
  </si>
  <si>
    <t>PQ2344.Z5 C516 1970</t>
  </si>
  <si>
    <t>0                      PQ 2344000Z  5                  C  516         1970</t>
  </si>
  <si>
    <t>Symbolisme from Poe to Mallarmé ; the growth of a myth / by Joseph Chiari, foreword by T. S. Eliot.</t>
  </si>
  <si>
    <t>Chiari, Joseph.</t>
  </si>
  <si>
    <t>New York, Gordian Press, 1970 [c1956]</t>
  </si>
  <si>
    <t>2d ed. --</t>
  </si>
  <si>
    <t>1995-03-21</t>
  </si>
  <si>
    <t>1327763:eng</t>
  </si>
  <si>
    <t>98073</t>
  </si>
  <si>
    <t>991000599439702656</t>
  </si>
  <si>
    <t>2272140770002656</t>
  </si>
  <si>
    <t>9780877520207</t>
  </si>
  <si>
    <t>32285002020278</t>
  </si>
  <si>
    <t>893683565</t>
  </si>
  <si>
    <t>PQ2344.Z5 S78 1987</t>
  </si>
  <si>
    <t>0                      PQ 2344000Z  5                  S  78          1987</t>
  </si>
  <si>
    <t>Stéphane Mallarmé / edited and with an introduction by Harold Bloom.</t>
  </si>
  <si>
    <t>New York : Chelsea House Publishers, 1987.</t>
  </si>
  <si>
    <t>Modern critical views</t>
  </si>
  <si>
    <t>1996-04-19</t>
  </si>
  <si>
    <t>54947965:eng</t>
  </si>
  <si>
    <t>15489457</t>
  </si>
  <si>
    <t>991001029029702656</t>
  </si>
  <si>
    <t>2272447720002656</t>
  </si>
  <si>
    <t>9781555462895</t>
  </si>
  <si>
    <t>32285002099504</t>
  </si>
  <si>
    <t>893784761</t>
  </si>
  <si>
    <t>PQ2357 .A7 1969</t>
  </si>
  <si>
    <t>0                      PQ 2357000A  7           1969</t>
  </si>
  <si>
    <t>Maupassant criticism in France, 1880-1940; with an inquiry into his present fame and a bibliography.</t>
  </si>
  <si>
    <t>Artinian, Artine, 1907-2005.</t>
  </si>
  <si>
    <t>New York, Russell &amp; Russell [1969, c1941]</t>
  </si>
  <si>
    <t>1997-11-11</t>
  </si>
  <si>
    <t>5090473152:eng</t>
  </si>
  <si>
    <t>30389</t>
  </si>
  <si>
    <t>991000077779702656</t>
  </si>
  <si>
    <t>2262295320002656</t>
  </si>
  <si>
    <t>32285002725538</t>
  </si>
  <si>
    <t>893601433</t>
  </si>
  <si>
    <t>PQ2361 .A1 1963</t>
  </si>
  <si>
    <t>0                      PQ 2361000A  1           1963</t>
  </si>
  <si>
    <t>Œeuvres complètes / Musset ; texte etabli et presente par Philippe van Tieghem.</t>
  </si>
  <si>
    <t>Musset, Alfred de, 1810-1857.</t>
  </si>
  <si>
    <t>Paris : Éditions du Seuil, c1963.</t>
  </si>
  <si>
    <t>3372237506:fre</t>
  </si>
  <si>
    <t>341717</t>
  </si>
  <si>
    <t>991003306739702656</t>
  </si>
  <si>
    <t>2265633210002656</t>
  </si>
  <si>
    <t>32285003766960</t>
  </si>
  <si>
    <t>893258293</t>
  </si>
  <si>
    <t>PQ2362.Z5 L45</t>
  </si>
  <si>
    <t>0                      PQ 2362000Z  5                  L  45</t>
  </si>
  <si>
    <t>Mérimée et son temps.</t>
  </si>
  <si>
    <t>Léon, Paul, 1874-1962.</t>
  </si>
  <si>
    <t>Paris : Presses universitaires de France, 1962.</t>
  </si>
  <si>
    <t>1995-05-18</t>
  </si>
  <si>
    <t>1425171:fre</t>
  </si>
  <si>
    <t>280027</t>
  </si>
  <si>
    <t>991002186609702656</t>
  </si>
  <si>
    <t>2265297520002656</t>
  </si>
  <si>
    <t>32285002034691</t>
  </si>
  <si>
    <t>893510404</t>
  </si>
  <si>
    <t>PQ2362.Z5 R3 1970b</t>
  </si>
  <si>
    <t>0                      PQ 2362000Z  5                  R  3           1970b</t>
  </si>
  <si>
    <t>Prosper Mérimée / [by] A. W. Raitt.</t>
  </si>
  <si>
    <t>Raitt, A. W. (Alan William)</t>
  </si>
  <si>
    <t>New York : Scribner, [1970]</t>
  </si>
  <si>
    <t>1998-02-23</t>
  </si>
  <si>
    <t>1229302:eng</t>
  </si>
  <si>
    <t>113721</t>
  </si>
  <si>
    <t>991000651639702656</t>
  </si>
  <si>
    <t>2267684310002656</t>
  </si>
  <si>
    <t>32285002034675</t>
  </si>
  <si>
    <t>893315125</t>
  </si>
  <si>
    <t>PQ2386.R39 C49</t>
  </si>
  <si>
    <t>0                      PQ 2386000R  39                 C  49</t>
  </si>
  <si>
    <t>Ernest Renan, by Richard M. Chadbourne.</t>
  </si>
  <si>
    <t>Chadbourne, Richard McClain, 1922-</t>
  </si>
  <si>
    <t>New York, Twayne Publishers [1968]</t>
  </si>
  <si>
    <t>Twayne's World authors series, TWAS34. France</t>
  </si>
  <si>
    <t>2006-04-11</t>
  </si>
  <si>
    <t>1997-05-19</t>
  </si>
  <si>
    <t>1467830:eng</t>
  </si>
  <si>
    <t>339276</t>
  </si>
  <si>
    <t>991002410189702656</t>
  </si>
  <si>
    <t>2259071670002656</t>
  </si>
  <si>
    <t>32285002725884</t>
  </si>
  <si>
    <t>893792431</t>
  </si>
  <si>
    <t>PQ2387.R5 Z558713</t>
  </si>
  <si>
    <t>0                      PQ 2387000R  5                  Z  558713</t>
  </si>
  <si>
    <t>Rimbaud / translated by Paul Schmidt.</t>
  </si>
  <si>
    <t>Bonnefoy, Yves.</t>
  </si>
  <si>
    <t>New York : Harper &amp; Row, [1973]</t>
  </si>
  <si>
    <t>Harper colophon books ; CN 297</t>
  </si>
  <si>
    <t>2003-08-15</t>
  </si>
  <si>
    <t>1992-12-09</t>
  </si>
  <si>
    <t>4928453068:eng</t>
  </si>
  <si>
    <t>724026</t>
  </si>
  <si>
    <t>991003199319702656</t>
  </si>
  <si>
    <t>2254798930002656</t>
  </si>
  <si>
    <t>9780060902971</t>
  </si>
  <si>
    <t>32285001413730</t>
  </si>
  <si>
    <t>893704998</t>
  </si>
  <si>
    <t>PQ2387.R5 Z692 1977</t>
  </si>
  <si>
    <t>0                      PQ 2387000R  5                  Z  692         1977</t>
  </si>
  <si>
    <t>The design of Rimbaud's poetry / John Porter Houston.</t>
  </si>
  <si>
    <t>Houston, John Porter.</t>
  </si>
  <si>
    <t>Westport, Conn. : Greenwood Press, 1977, c1963.</t>
  </si>
  <si>
    <t>1467813:eng</t>
  </si>
  <si>
    <t>2965611</t>
  </si>
  <si>
    <t>991004296839702656</t>
  </si>
  <si>
    <t>2270316490002656</t>
  </si>
  <si>
    <t>9780837196619</t>
  </si>
  <si>
    <t>32285001413722</t>
  </si>
  <si>
    <t>893700069</t>
  </si>
  <si>
    <t>PQ2387.R5 Z87</t>
  </si>
  <si>
    <t>0                      PQ 2387000R  5                  Z  87</t>
  </si>
  <si>
    <t>Arthur Rimbaud / by F. C. St. Aubyn.</t>
  </si>
  <si>
    <t>St. Aubyn, Frederic C. (Frederic Chase), 1921-</t>
  </si>
  <si>
    <t>Boston : Twayne Publishers, c1975.</t>
  </si>
  <si>
    <t>Twayne's world authors series ; TWAS 369 : France</t>
  </si>
  <si>
    <t>1995-06-30</t>
  </si>
  <si>
    <t>1990-05-22</t>
  </si>
  <si>
    <t>2271980:eng</t>
  </si>
  <si>
    <t>1365170</t>
  </si>
  <si>
    <t>991003719489702656</t>
  </si>
  <si>
    <t>2256120640002656</t>
  </si>
  <si>
    <t>9780805761924</t>
  </si>
  <si>
    <t>32285000157536</t>
  </si>
  <si>
    <t>893422866</t>
  </si>
  <si>
    <t>PQ241 .A28</t>
  </si>
  <si>
    <t>0                      PQ 0241000A  28</t>
  </si>
  <si>
    <t>L'Age classique.</t>
  </si>
  <si>
    <t>V. 1</t>
  </si>
  <si>
    <t>Adam, Antoine.</t>
  </si>
  <si>
    <t>Paris : Arthaud, 1968-71.</t>
  </si>
  <si>
    <t>Littérature française, 6-8</t>
  </si>
  <si>
    <t>1992-11-24</t>
  </si>
  <si>
    <t>1992-05-14</t>
  </si>
  <si>
    <t>3372623361:fre</t>
  </si>
  <si>
    <t>607802</t>
  </si>
  <si>
    <t>991003047239702656</t>
  </si>
  <si>
    <t>2262048410002656</t>
  </si>
  <si>
    <t>32285001109429</t>
  </si>
  <si>
    <t>893440877</t>
  </si>
  <si>
    <t>PQ241 .H4</t>
  </si>
  <si>
    <t>0                      PQ 0241000H  4</t>
  </si>
  <si>
    <t>Courrier littéraire, XVIIe siècle.</t>
  </si>
  <si>
    <t>Henriot, Emile, 1889-1961.</t>
  </si>
  <si>
    <t>Paris : A. Michel, 1958-59.</t>
  </si>
  <si>
    <t>Nouv. éd., augm.</t>
  </si>
  <si>
    <t>3314636342:fre</t>
  </si>
  <si>
    <t>890672</t>
  </si>
  <si>
    <t>991003356849702656</t>
  </si>
  <si>
    <t>2262383950002656</t>
  </si>
  <si>
    <t>32285002023314</t>
  </si>
  <si>
    <t>893698949</t>
  </si>
  <si>
    <t>V. 2</t>
  </si>
  <si>
    <t>1993-01-28</t>
  </si>
  <si>
    <t>32285001479418</t>
  </si>
  <si>
    <t>893692655</t>
  </si>
  <si>
    <t>PQ241 .T6</t>
  </si>
  <si>
    <t>0                      PQ 0241000T  6</t>
  </si>
  <si>
    <t>Introduction à la vie littéraire du XVIIe siècle.</t>
  </si>
  <si>
    <t>Tournand, Jean-Claude.</t>
  </si>
  <si>
    <t>Paris : Bordas, [1970]</t>
  </si>
  <si>
    <t>Collection "Etudes supérieures" ; ES32. Série rouge</t>
  </si>
  <si>
    <t>1993-03-23</t>
  </si>
  <si>
    <t>1436445:fre</t>
  </si>
  <si>
    <t>332162</t>
  </si>
  <si>
    <t>991002390429702656</t>
  </si>
  <si>
    <t>2258586500002656</t>
  </si>
  <si>
    <t>32285001479392</t>
  </si>
  <si>
    <t>893316758</t>
  </si>
  <si>
    <t>PQ2412 .D5 1988</t>
  </si>
  <si>
    <t>0                      PQ 2412000D  5           1988</t>
  </si>
  <si>
    <t>George Sand : a brave man, the most womanly woman / Donna Dickenson.</t>
  </si>
  <si>
    <t>Dickenson, Donna.</t>
  </si>
  <si>
    <t>Oxford ; New York : Berg ; New York : Distributed in the US and Canada by St. Martin's Press, 1988.</t>
  </si>
  <si>
    <t>2004-02-12</t>
  </si>
  <si>
    <t>10370527:eng</t>
  </si>
  <si>
    <t>15629184</t>
  </si>
  <si>
    <t>991001046559702656</t>
  </si>
  <si>
    <t>2270055730002656</t>
  </si>
  <si>
    <t>9780854965373</t>
  </si>
  <si>
    <t>32285000603059</t>
  </si>
  <si>
    <t>893803293</t>
  </si>
  <si>
    <t>PQ2412 .H37 2004</t>
  </si>
  <si>
    <t>0                      PQ 2412000H  37          2004</t>
  </si>
  <si>
    <t>George Sand / Elizabeth Harlan.</t>
  </si>
  <si>
    <t>Harlan, Elizabeth.</t>
  </si>
  <si>
    <t>New Haven : Yale University Press, c2004.</t>
  </si>
  <si>
    <t>2004</t>
  </si>
  <si>
    <t>2005-01-18</t>
  </si>
  <si>
    <t>894902:eng</t>
  </si>
  <si>
    <t>55085751</t>
  </si>
  <si>
    <t>991004430869702656</t>
  </si>
  <si>
    <t>2259052730002656</t>
  </si>
  <si>
    <t>9780300104172</t>
  </si>
  <si>
    <t>32285005022024</t>
  </si>
  <si>
    <t>893706411</t>
  </si>
  <si>
    <t>PQ2412 .J33 2000</t>
  </si>
  <si>
    <t>0                      PQ 2412000J  33          2000</t>
  </si>
  <si>
    <t>George Sand : a woman's life writ large / Belinda Jack.</t>
  </si>
  <si>
    <t>Jack, Belinda Elizabeth.</t>
  </si>
  <si>
    <t>New York : Knopf, 2000, c1999.</t>
  </si>
  <si>
    <t>2003-12-13</t>
  </si>
  <si>
    <t>2000-11-13</t>
  </si>
  <si>
    <t>26619158:eng</t>
  </si>
  <si>
    <t>41967166</t>
  </si>
  <si>
    <t>991003331489702656</t>
  </si>
  <si>
    <t>2269277360002656</t>
  </si>
  <si>
    <t>9780679455011</t>
  </si>
  <si>
    <t>32285004265251</t>
  </si>
  <si>
    <t>893623381</t>
  </si>
  <si>
    <t>PQ2413 .B3</t>
  </si>
  <si>
    <t>0                      PQ 2413000B  3</t>
  </si>
  <si>
    <t>Infamous woman : the life of George Sand / Joseph Barry.</t>
  </si>
  <si>
    <t>Barry, Joseph, 1917-1994.</t>
  </si>
  <si>
    <t>Garden City, N.Y. : Doubleday, 1977, c1976.</t>
  </si>
  <si>
    <t>1st ed.</t>
  </si>
  <si>
    <t>2001-05-30</t>
  </si>
  <si>
    <t>1997-12-16</t>
  </si>
  <si>
    <t>279568335:eng</t>
  </si>
  <si>
    <t>2345584</t>
  </si>
  <si>
    <t>991004090669702656</t>
  </si>
  <si>
    <t>2261949910002656</t>
  </si>
  <si>
    <t>9780385068307</t>
  </si>
  <si>
    <t>32285003292256</t>
  </si>
  <si>
    <t>893353204</t>
  </si>
  <si>
    <t>PQ2413 .C3</t>
  </si>
  <si>
    <t>0                      PQ 2413000C  3</t>
  </si>
  <si>
    <t>George Sand : a biography / by Curtis Cate.</t>
  </si>
  <si>
    <t>Cate, Curtis, 1924-2006.</t>
  </si>
  <si>
    <t>Boston : Houghton Mifflin, 1975.</t>
  </si>
  <si>
    <t>196518606:eng</t>
  </si>
  <si>
    <t>1257084</t>
  </si>
  <si>
    <t>991003653839702656</t>
  </si>
  <si>
    <t>2257450890002656</t>
  </si>
  <si>
    <t>9780395199541</t>
  </si>
  <si>
    <t>32285002726437</t>
  </si>
  <si>
    <t>893531425</t>
  </si>
  <si>
    <t>PQ2414 .A8</t>
  </si>
  <si>
    <t>0                      PQ 2414000A  8</t>
  </si>
  <si>
    <t>The lioness and the little one : the liaison of George Sand and Frédéric Chopin / William G. Atwood.</t>
  </si>
  <si>
    <t>Atwood, William G., 1932-2011.</t>
  </si>
  <si>
    <t>New York : Columbia University Press, 1980.</t>
  </si>
  <si>
    <t>21030368:eng</t>
  </si>
  <si>
    <t>6043123</t>
  </si>
  <si>
    <t>991004921189702656</t>
  </si>
  <si>
    <t>2255620620002656</t>
  </si>
  <si>
    <t>9780231049429</t>
  </si>
  <si>
    <t>32285000603067</t>
  </si>
  <si>
    <t>893230002</t>
  </si>
  <si>
    <t>PQ2425.Z5 K6</t>
  </si>
  <si>
    <t>0                      PQ 2425000Z  5                  K  6</t>
  </si>
  <si>
    <t>Eugène Scribe / by Helene Koon and Richard Switzer.</t>
  </si>
  <si>
    <t>Koon, Helene, 1925-1996.</t>
  </si>
  <si>
    <t>Boston : Twayne Publishers, 1980.</t>
  </si>
  <si>
    <t>Twayne's world authors series ; TWAS 547 : France</t>
  </si>
  <si>
    <t>1997-02-10</t>
  </si>
  <si>
    <t>14948181:eng</t>
  </si>
  <si>
    <t>4549393</t>
  </si>
  <si>
    <t>991004677309702656</t>
  </si>
  <si>
    <t>2272644970002656</t>
  </si>
  <si>
    <t>9780805763904</t>
  </si>
  <si>
    <t>32285000603091</t>
  </si>
  <si>
    <t>893694201</t>
  </si>
  <si>
    <t>PQ243 .D38</t>
  </si>
  <si>
    <t>0                      PQ 0243000D  38</t>
  </si>
  <si>
    <t>Studies in seventeenth-century French literature / presented to Morris Bishop.</t>
  </si>
  <si>
    <t>Demorest, Jean-Jacques, editor.</t>
  </si>
  <si>
    <t>Ithaca, N.Y. : Cornell University Press, [1962]</t>
  </si>
  <si>
    <t>1998-09-27</t>
  </si>
  <si>
    <t>1466732:eng</t>
  </si>
  <si>
    <t>338998</t>
  </si>
  <si>
    <t>991002409489702656</t>
  </si>
  <si>
    <t>2257156560002656</t>
  </si>
  <si>
    <t>32285001479384</t>
  </si>
  <si>
    <t>893427570</t>
  </si>
  <si>
    <t>PQ2431.Z5 I82 1994</t>
  </si>
  <si>
    <t>0                      PQ 2431000Z  5                  I  82          1994</t>
  </si>
  <si>
    <t>The birth of European romanticism : truth and propaganda in Staël's "De l'Allemagne", 1810-1813 / John Claiborne Isbell.</t>
  </si>
  <si>
    <t>Isbell, John Claiborne.</t>
  </si>
  <si>
    <t>Cambridge [England] ; New York : Cambridge University Press, 1994.</t>
  </si>
  <si>
    <t>Cambridge studies in French ; 49</t>
  </si>
  <si>
    <t>2004-04-22</t>
  </si>
  <si>
    <t>1998-05-18</t>
  </si>
  <si>
    <t>807714867:eng</t>
  </si>
  <si>
    <t>29259371</t>
  </si>
  <si>
    <t>991002259069702656</t>
  </si>
  <si>
    <t>2266145730002656</t>
  </si>
  <si>
    <t>9780521433594</t>
  </si>
  <si>
    <t>32285003409231</t>
  </si>
  <si>
    <t>893879673</t>
  </si>
  <si>
    <t>PQ2431.Z5 P75</t>
  </si>
  <si>
    <t>0                      PQ 2431000Z  5                  P  75</t>
  </si>
  <si>
    <t>Madame de Staël, by Helen B. Posgate.</t>
  </si>
  <si>
    <t>Posgate, Helen B. Smith (Helen Belle Smith)</t>
  </si>
  <si>
    <t>New York, Twayne Publishers [c1968]</t>
  </si>
  <si>
    <t>Twayne's world authors series, 69 [i.e. 60]. France</t>
  </si>
  <si>
    <t>1124375:eng</t>
  </si>
  <si>
    <t>989</t>
  </si>
  <si>
    <t>991005432199702656</t>
  </si>
  <si>
    <t>2272705380002656</t>
  </si>
  <si>
    <t>32285002726502</t>
  </si>
  <si>
    <t>893877536</t>
  </si>
  <si>
    <t>PQ2435.A3 P3</t>
  </si>
  <si>
    <t>0                      PQ 2435000A  3                  P  3</t>
  </si>
  <si>
    <t>The red and the black; a chronicle of the nineteenth century, by Stendhal. Translated by Lloyd C. Parks. With an afterword by Donald M. Frame.</t>
  </si>
  <si>
    <t>Stendhal, 1783-1842.</t>
  </si>
  <si>
    <t>New York, New American Library [1970]</t>
  </si>
  <si>
    <t>A Signet classic, CQ492</t>
  </si>
  <si>
    <t>1994-09-23</t>
  </si>
  <si>
    <t>1991-10-28</t>
  </si>
  <si>
    <t>460647:eng</t>
  </si>
  <si>
    <t>111940</t>
  </si>
  <si>
    <t>991000648229702656</t>
  </si>
  <si>
    <t>2268303200002656</t>
  </si>
  <si>
    <t>32285000802412</t>
  </si>
  <si>
    <t>893528248</t>
  </si>
  <si>
    <t>PQ245 .B413</t>
  </si>
  <si>
    <t>0                      PQ 0245000B  413</t>
  </si>
  <si>
    <t>Man and ethics : studies in French classicism / translated by Elizabeth Hughes.</t>
  </si>
  <si>
    <t>Bénichou, Paul.</t>
  </si>
  <si>
    <t>Garden City, N.Y. : Anchor Books, 1971.</t>
  </si>
  <si>
    <t>1999-02-26</t>
  </si>
  <si>
    <t>1993-04-23</t>
  </si>
  <si>
    <t>1181070:eng</t>
  </si>
  <si>
    <t>153938</t>
  </si>
  <si>
    <t>991000890689702656</t>
  </si>
  <si>
    <t>2255006890002656</t>
  </si>
  <si>
    <t>32285001623841</t>
  </si>
  <si>
    <t>893872099</t>
  </si>
  <si>
    <t>PQ245 .H35 1992</t>
  </si>
  <si>
    <t>0                      PQ 0245000H  35          1992</t>
  </si>
  <si>
    <t>Cartesian women : versions and subversions of rational discourse in the old regime / Erica Harth.</t>
  </si>
  <si>
    <t>Harth, Erica.</t>
  </si>
  <si>
    <t>Ithaca : Cornell University Press, 1992.</t>
  </si>
  <si>
    <t>Reading women writing</t>
  </si>
  <si>
    <t>1996-02-19</t>
  </si>
  <si>
    <t>1994-12-13</t>
  </si>
  <si>
    <t>365168414:eng</t>
  </si>
  <si>
    <t>24871807</t>
  </si>
  <si>
    <t>991001963369702656</t>
  </si>
  <si>
    <t>2262817710002656</t>
  </si>
  <si>
    <t>9780801427152</t>
  </si>
  <si>
    <t>32285001976264</t>
  </si>
  <si>
    <t>893779244</t>
  </si>
  <si>
    <t>PQ245 .M3 1979</t>
  </si>
  <si>
    <t>0                      PQ 0245000M  3           1979</t>
  </si>
  <si>
    <t>Aspects of seventeenth-century French drama and thought / Robert McBride.</t>
  </si>
  <si>
    <t>McBride, Robert.</t>
  </si>
  <si>
    <t>Totowa, N.J. : Rowman and Littlefield, 1979.</t>
  </si>
  <si>
    <t>1995-01-26</t>
  </si>
  <si>
    <t>16020581:eng</t>
  </si>
  <si>
    <t>4494796</t>
  </si>
  <si>
    <t>991004654129702656</t>
  </si>
  <si>
    <t>2265358660002656</t>
  </si>
  <si>
    <t>9780847661374</t>
  </si>
  <si>
    <t>32285001250884</t>
  </si>
  <si>
    <t>893624930</t>
  </si>
  <si>
    <t>PQ245 .S7 1980</t>
  </si>
  <si>
    <t>0                      PQ 0245000S  7           1980</t>
  </si>
  <si>
    <t>The aristocrat as art : a study of the honnête homme and the dandy in seventeenth- and nineteenth-century French literature / Domna C. Stanton.</t>
  </si>
  <si>
    <t>Stanton, Domna C.</t>
  </si>
  <si>
    <t>2004-11-01</t>
  </si>
  <si>
    <t>863899965:eng</t>
  </si>
  <si>
    <t>5171417</t>
  </si>
  <si>
    <t>991004791849702656</t>
  </si>
  <si>
    <t>2259140450002656</t>
  </si>
  <si>
    <t>9780231039031</t>
  </si>
  <si>
    <t>32285001250892</t>
  </si>
  <si>
    <t>893418027</t>
  </si>
  <si>
    <t>PQ2528 .J6</t>
  </si>
  <si>
    <t>0                      PQ 2528000J  6</t>
  </si>
  <si>
    <t>Zola and his time : the history of his martial career in letters : with an account of his circle of friends, his remarkable enemies, cyclopean labors, public campaigns, trials, and ultimate glorification / by Matthew Josephson.</t>
  </si>
  <si>
    <t>Josephson, Matthew, 1899-1978.</t>
  </si>
  <si>
    <t>Garden City, N.Y. : Garden City Pub. Co., c1928.</t>
  </si>
  <si>
    <t>1928</t>
  </si>
  <si>
    <t>1993-03-26</t>
  </si>
  <si>
    <t>1125011:eng</t>
  </si>
  <si>
    <t>4387586</t>
  </si>
  <si>
    <t>991004633299702656</t>
  </si>
  <si>
    <t>2262465270002656</t>
  </si>
  <si>
    <t>32285001591659</t>
  </si>
  <si>
    <t>893776230</t>
  </si>
  <si>
    <t>PQ2538 .G7</t>
  </si>
  <si>
    <t>0                      PQ 2538000G  7</t>
  </si>
  <si>
    <t>Émile Zola / by Elliott M. Grant.</t>
  </si>
  <si>
    <t>Grant, Elliott Mansfield, 1895-1969.</t>
  </si>
  <si>
    <t>New York : Twayne Publishers, [1966]</t>
  </si>
  <si>
    <t>Twayne's world authors series, 10. France</t>
  </si>
  <si>
    <t>2004-02-26</t>
  </si>
  <si>
    <t>1469147:eng</t>
  </si>
  <si>
    <t>339625</t>
  </si>
  <si>
    <t>991002410849702656</t>
  </si>
  <si>
    <t>2259024590002656</t>
  </si>
  <si>
    <t>32285000603265</t>
  </si>
  <si>
    <t>893409066</t>
  </si>
  <si>
    <t>PQ2601.N67 Z617</t>
  </si>
  <si>
    <t>0                      PQ 2601000N  67                 Z  617</t>
  </si>
  <si>
    <t>Anouilh; a study in theatrics, by John Harvey.</t>
  </si>
  <si>
    <t>Harvey, John Edmond, 1932-</t>
  </si>
  <si>
    <t>New Haven, Yale University Press, 1964.</t>
  </si>
  <si>
    <t>Yale Romanic studies, 2d ser., 13</t>
  </si>
  <si>
    <t>1993-04-15</t>
  </si>
  <si>
    <t>1992-04-13</t>
  </si>
  <si>
    <t>1304679:eng</t>
  </si>
  <si>
    <t>174009</t>
  </si>
  <si>
    <t>991001022279702656</t>
  </si>
  <si>
    <t>2266448920002656</t>
  </si>
  <si>
    <t>32285001053056</t>
  </si>
  <si>
    <t>893346174</t>
  </si>
  <si>
    <t>PQ2601.N67 Z72</t>
  </si>
  <si>
    <t>0                      PQ 2601000N  67                 Z  72</t>
  </si>
  <si>
    <t>The theatre of Jean Anouilh / H.G. McIntyre.</t>
  </si>
  <si>
    <t>McIntyre, H. G.</t>
  </si>
  <si>
    <t>Totowa, N.J. : Barnes &amp; Noble, 1981.</t>
  </si>
  <si>
    <t>458697:eng</t>
  </si>
  <si>
    <t>7746858</t>
  </si>
  <si>
    <t>991005157739702656</t>
  </si>
  <si>
    <t>2260297470002656</t>
  </si>
  <si>
    <t>9780389201823</t>
  </si>
  <si>
    <t>32285000603315</t>
  </si>
  <si>
    <t>893527011</t>
  </si>
  <si>
    <t>PQ2601.P6 A28 1971</t>
  </si>
  <si>
    <t>0                      PQ 2601000P  6                  A  28          1971</t>
  </si>
  <si>
    <t>Selected writings of Guillaume Apollinaire / translated with a critical introduction by Roger Shattuck.</t>
  </si>
  <si>
    <t>Apollinaire, Guillaume, 1880-1918.</t>
  </si>
  <si>
    <t>New York : New Directions Pub. Corp., c1971.</t>
  </si>
  <si>
    <t>A New Directions paperbook, NDP310</t>
  </si>
  <si>
    <t>2008-03-26</t>
  </si>
  <si>
    <t>5164560762:eng</t>
  </si>
  <si>
    <t>135343</t>
  </si>
  <si>
    <t>991005197789702656</t>
  </si>
  <si>
    <t>2263435040002656</t>
  </si>
  <si>
    <t>9780811200035</t>
  </si>
  <si>
    <t>32285005398739</t>
  </si>
  <si>
    <t>893248527</t>
  </si>
  <si>
    <t>PQ2601.R677 Z632 1978</t>
  </si>
  <si>
    <t>0                      PQ 2601000R  677                Z  632         1978</t>
  </si>
  <si>
    <t>Antonin Artaud / by Julia F. Costich. --</t>
  </si>
  <si>
    <t>Costich, Julia F.</t>
  </si>
  <si>
    <t>Boston : Twayne Publishers, 1978.</t>
  </si>
  <si>
    <t>Twayne's world author series ; TWAS 492 : France</t>
  </si>
  <si>
    <t>2004-11-23</t>
  </si>
  <si>
    <t>4494990695:eng</t>
  </si>
  <si>
    <t>3770991</t>
  </si>
  <si>
    <t>991004512609702656</t>
  </si>
  <si>
    <t>2260806320002656</t>
  </si>
  <si>
    <t>9780805763331</t>
  </si>
  <si>
    <t>32285000603414</t>
  </si>
  <si>
    <t>893247659</t>
  </si>
  <si>
    <t>PQ2601.R677 Z636 1977</t>
  </si>
  <si>
    <t>0                      PQ 2601000R  677                Z  636         1977</t>
  </si>
  <si>
    <t>Antonin Artaud / Martin Esslin. --</t>
  </si>
  <si>
    <t>Esslin, Martin, 1918-2002.</t>
  </si>
  <si>
    <t>New York : Penguin Books, 1977, c1976.</t>
  </si>
  <si>
    <t>Penguin modern masters</t>
  </si>
  <si>
    <t>2004-09-07</t>
  </si>
  <si>
    <t>412747:eng</t>
  </si>
  <si>
    <t>2799088</t>
  </si>
  <si>
    <t>991004247869702656</t>
  </si>
  <si>
    <t>2271405350002656</t>
  </si>
  <si>
    <t>9780140043686</t>
  </si>
  <si>
    <t>32285000603422</t>
  </si>
  <si>
    <t>893706146</t>
  </si>
  <si>
    <t>PQ2601.R677 Z7</t>
  </si>
  <si>
    <t>0                      PQ 2601000R  677                Z  7</t>
  </si>
  <si>
    <t>Antonin Artaud : man of vision / by Bettina L. Knapp. With a pref. by Anais Nin.</t>
  </si>
  <si>
    <t>Knapp, Bettina Liebowitz, 1926-2010.</t>
  </si>
  <si>
    <t>New York : D. Lewis, 1969.</t>
  </si>
  <si>
    <t>1995-04-24</t>
  </si>
  <si>
    <t>1132425:eng</t>
  </si>
  <si>
    <t>9261</t>
  </si>
  <si>
    <t>991000000869702656</t>
  </si>
  <si>
    <t>2268807670002656</t>
  </si>
  <si>
    <t>32285002028727</t>
  </si>
  <si>
    <t>893707997</t>
  </si>
  <si>
    <t>PQ2601.Y5 C6 1966</t>
  </si>
  <si>
    <t>0                      PQ 2601000Y  5                  C  6           1966</t>
  </si>
  <si>
    <t>Le Confort intellectuel.</t>
  </si>
  <si>
    <t>Aymé, Marcel, 1902-1967.</t>
  </si>
  <si>
    <t>Paris, Flammarion, 1967.</t>
  </si>
  <si>
    <t>1999-09-23</t>
  </si>
  <si>
    <t>1997-05-20</t>
  </si>
  <si>
    <t>306076152:fre</t>
  </si>
  <si>
    <t>4452663</t>
  </si>
  <si>
    <t>991004640029702656</t>
  </si>
  <si>
    <t>2255522750002656</t>
  </si>
  <si>
    <t>32285002727237</t>
  </si>
  <si>
    <t>893700474</t>
  </si>
  <si>
    <t>PQ2603.A695 H484 1999</t>
  </si>
  <si>
    <t>0                      PQ 2603000A  695                H  484         1999</t>
  </si>
  <si>
    <t>The cut : reading Bataille's Histoire de l'oeil / Patrick ffrench.</t>
  </si>
  <si>
    <t>Ffrench, Patrick.</t>
  </si>
  <si>
    <t>Oxford ; New York : Published for the British Academy by Oxford University Press, c1999.</t>
  </si>
  <si>
    <t>1999</t>
  </si>
  <si>
    <t>A British Academy postdoctoral fellowship monograph</t>
  </si>
  <si>
    <t>2004-04-07</t>
  </si>
  <si>
    <t>2000-07-18</t>
  </si>
  <si>
    <t>793061815:eng</t>
  </si>
  <si>
    <t>41420772</t>
  </si>
  <si>
    <t>991003205369702656</t>
  </si>
  <si>
    <t>2269736480002656</t>
  </si>
  <si>
    <t>9780197262009</t>
  </si>
  <si>
    <t>32285003740387</t>
  </si>
  <si>
    <t>893880917</t>
  </si>
  <si>
    <t>PQ2603.A695 Z74 1992</t>
  </si>
  <si>
    <t>0                      PQ 2603000A  695                Z  74          1992</t>
  </si>
  <si>
    <t>The thirst for annihilation : Georges Bataille and virulent nihilism : an essay in atheistic religion / Nick Land.</t>
  </si>
  <si>
    <t>Land, Nick, 1962-</t>
  </si>
  <si>
    <t>London ; New York : Routledge, 1992.</t>
  </si>
  <si>
    <t>1998-03-04</t>
  </si>
  <si>
    <t>1993-11-10</t>
  </si>
  <si>
    <t>800362338:eng</t>
  </si>
  <si>
    <t>24545156</t>
  </si>
  <si>
    <t>991001943059702656</t>
  </si>
  <si>
    <t>2264649220002656</t>
  </si>
  <si>
    <t>9780415056076</t>
  </si>
  <si>
    <t>32285001802478</t>
  </si>
  <si>
    <t>893903632</t>
  </si>
  <si>
    <t>PQ2603.E362 Z567</t>
  </si>
  <si>
    <t>0                      PQ 2603000E  362                Z  567</t>
  </si>
  <si>
    <t>Simone de Beauvoir, a life of freedom / by Carol Ascher.</t>
  </si>
  <si>
    <t>Ascher, Carol, 1941-</t>
  </si>
  <si>
    <t>Boston, Mass. : Beacon Press, [1981]</t>
  </si>
  <si>
    <t>1997-08-18</t>
  </si>
  <si>
    <t>26230047:eng</t>
  </si>
  <si>
    <t>7278449</t>
  </si>
  <si>
    <t>991005098999702656</t>
  </si>
  <si>
    <t>2263320820002656</t>
  </si>
  <si>
    <t>9780807032404</t>
  </si>
  <si>
    <t>32285000603463</t>
  </si>
  <si>
    <t>893789430</t>
  </si>
  <si>
    <t>PQ2603.E362 Z58</t>
  </si>
  <si>
    <t>0                      PQ 2603000E  362                Z  58</t>
  </si>
  <si>
    <t>Simone de Beauvoir / Konrad Beiber.</t>
  </si>
  <si>
    <t>Bieber, Konrad F.</t>
  </si>
  <si>
    <t>Boston : Twayne Publishers, 1979.</t>
  </si>
  <si>
    <t>Twayne's world authors series ; TWAS 532 : France</t>
  </si>
  <si>
    <t>14829748:eng</t>
  </si>
  <si>
    <t>4515296</t>
  </si>
  <si>
    <t>991004670209702656</t>
  </si>
  <si>
    <t>2265533770002656</t>
  </si>
  <si>
    <t>9780805763744</t>
  </si>
  <si>
    <t>32285000603471</t>
  </si>
  <si>
    <t>893624946</t>
  </si>
  <si>
    <t>PQ2603.E362 Z68313 1987</t>
  </si>
  <si>
    <t>0                      PQ 2603000E  362                Z  68313       1987</t>
  </si>
  <si>
    <t>Simone de Beauvoir : a life, a love story / Claude Francis and Fernande Gontier. Translated from the French by Lisa Nesselson.</t>
  </si>
  <si>
    <t>Francis, Claude.</t>
  </si>
  <si>
    <t>New York : St. Martin's Press, c1987.</t>
  </si>
  <si>
    <t>1992-12-15</t>
  </si>
  <si>
    <t>38965:eng</t>
  </si>
  <si>
    <t>14587082</t>
  </si>
  <si>
    <t>991000947109702656</t>
  </si>
  <si>
    <t>2271016840002656</t>
  </si>
  <si>
    <t>9780312001896</t>
  </si>
  <si>
    <t>32285000603489</t>
  </si>
  <si>
    <t>893884903</t>
  </si>
  <si>
    <t>PQ2603.E362 Z74</t>
  </si>
  <si>
    <t>0                      PQ 2603000E  362                Z  74</t>
  </si>
  <si>
    <t>Simone de Beauvoir.</t>
  </si>
  <si>
    <t>Julienne-Caffié, Serge.</t>
  </si>
  <si>
    <t>[Paris] : Gallimard, [1966]</t>
  </si>
  <si>
    <t>La Bibliothèque idéale</t>
  </si>
  <si>
    <t>1995-12-04</t>
  </si>
  <si>
    <t>1994-04-12</t>
  </si>
  <si>
    <t>1994645:fre</t>
  </si>
  <si>
    <t>1111066</t>
  </si>
  <si>
    <t>991003544999702656</t>
  </si>
  <si>
    <t>2269732060002656</t>
  </si>
  <si>
    <t>32285001885804</t>
  </si>
  <si>
    <t>893330410</t>
  </si>
  <si>
    <t>PQ2603.E362 Z75 1998</t>
  </si>
  <si>
    <t>0                      PQ 2603000E  362                Z  75          1998</t>
  </si>
  <si>
    <t>Simone de Beauvoir / Terry Keefe.</t>
  </si>
  <si>
    <t>Keefe, Terry.</t>
  </si>
  <si>
    <t>New York : St. Martin's Press, 1998.</t>
  </si>
  <si>
    <t>Macmillan modern novelists</t>
  </si>
  <si>
    <t>2000-02-24</t>
  </si>
  <si>
    <t>1998-07-09</t>
  </si>
  <si>
    <t>5612595043:eng</t>
  </si>
  <si>
    <t>37567332</t>
  </si>
  <si>
    <t>991002851229702656</t>
  </si>
  <si>
    <t>2267527710002656</t>
  </si>
  <si>
    <t>9780312211189</t>
  </si>
  <si>
    <t>32285003431359</t>
  </si>
  <si>
    <t>893335804</t>
  </si>
  <si>
    <t>PQ2603.E362 Z92</t>
  </si>
  <si>
    <t>0                      PQ 2603000E  362                Z  92</t>
  </si>
  <si>
    <t>Simone de Beauvoir and the limits of commitment / Anne Whitmarsh.</t>
  </si>
  <si>
    <t>Whitmarsh, Anne.</t>
  </si>
  <si>
    <t>Cambridge ; New York : Cambridge University Press, 1981.</t>
  </si>
  <si>
    <t>504852:eng</t>
  </si>
  <si>
    <t>7557423</t>
  </si>
  <si>
    <t>991005129539702656</t>
  </si>
  <si>
    <t>2262488220002656</t>
  </si>
  <si>
    <t>9780521236690</t>
  </si>
  <si>
    <t>32285000603497</t>
  </si>
  <si>
    <t>893776874</t>
  </si>
  <si>
    <t>PQ2603.E378 Z55</t>
  </si>
  <si>
    <t>0                      PQ 2603000E  378                Z  55</t>
  </si>
  <si>
    <t>Samuel Beckett's real silence / Hélène L. Baldwin.</t>
  </si>
  <si>
    <t>Baldwin, Helene Louise, 1920-</t>
  </si>
  <si>
    <t>University Park : Pennsylvania State University Press, c1981.</t>
  </si>
  <si>
    <t>2005-04-18</t>
  </si>
  <si>
    <t>430911:eng</t>
  </si>
  <si>
    <t>6891273</t>
  </si>
  <si>
    <t>991005055579702656</t>
  </si>
  <si>
    <t>2262063130002656</t>
  </si>
  <si>
    <t>9780271003016</t>
  </si>
  <si>
    <t>32285000603547</t>
  </si>
  <si>
    <t>893263576</t>
  </si>
  <si>
    <t>PQ2603.E378 Z87 1991</t>
  </si>
  <si>
    <t>0                      PQ 2603000E  378                Z  87          1991</t>
  </si>
  <si>
    <t>Beckett's game : self and language in the trilogy / Jean Yamasaki Toyama.</t>
  </si>
  <si>
    <t>Toyama, Jean Yamasaki, 1942-</t>
  </si>
  <si>
    <t>New York : P. Lang, c1991.</t>
  </si>
  <si>
    <t>American university studies. Series II, Romance languages and literature, 0740-9257 ; v. 157</t>
  </si>
  <si>
    <t>1997-10-14</t>
  </si>
  <si>
    <t>1992-05-11</t>
  </si>
  <si>
    <t>796475210:eng</t>
  </si>
  <si>
    <t>22345787</t>
  </si>
  <si>
    <t>991001769129702656</t>
  </si>
  <si>
    <t>2257866340002656</t>
  </si>
  <si>
    <t>9780820413983</t>
  </si>
  <si>
    <t>32285001039535</t>
  </si>
  <si>
    <t>893903559</t>
  </si>
  <si>
    <t>PQ2603.E378 Z95 1991</t>
  </si>
  <si>
    <t>0                      PQ 2603000E  378                Z  95          1991</t>
  </si>
  <si>
    <t>Paradox and desire in Samuel Beckett's fiction / David Watson.</t>
  </si>
  <si>
    <t>Watson, David, 1949-</t>
  </si>
  <si>
    <t>London : Macmillan, 1991.</t>
  </si>
  <si>
    <t>1991-12-13</t>
  </si>
  <si>
    <t>23104145:eng</t>
  </si>
  <si>
    <t>26811122</t>
  </si>
  <si>
    <t>991001661009702656</t>
  </si>
  <si>
    <t>2259750730002656</t>
  </si>
  <si>
    <t>9780333522516</t>
  </si>
  <si>
    <t>32285000819069</t>
  </si>
  <si>
    <t>893232135</t>
  </si>
  <si>
    <t>PQ2603.O7687 A9</t>
  </si>
  <si>
    <t>0                      PQ 2603000O  7687               A  9</t>
  </si>
  <si>
    <t>Les aveux infidèles; [roman.</t>
  </si>
  <si>
    <t>Bourbon Busset, Jacques de, 1912-2001.</t>
  </si>
  <si>
    <t>Paris] Gallimard [1962]</t>
  </si>
  <si>
    <t>4161029074:fre</t>
  </si>
  <si>
    <t>947099</t>
  </si>
  <si>
    <t>991003407269702656</t>
  </si>
  <si>
    <t>2264515460002656</t>
  </si>
  <si>
    <t>32285002727591</t>
  </si>
  <si>
    <t>893240185</t>
  </si>
  <si>
    <t>PQ2603.R9453 Z95 1989</t>
  </si>
  <si>
    <t>0                      PQ 2603000R  9453               Z  95          1989</t>
  </si>
  <si>
    <t>The art of Babar : the work of Jean and Laurent de Brunhoff / by Nicholas Fox Weber.</t>
  </si>
  <si>
    <t>Weber, Nicholas Fox, 1947-</t>
  </si>
  <si>
    <t>New York : Abrams, 1989.</t>
  </si>
  <si>
    <t>1989</t>
  </si>
  <si>
    <t>1996-08-30</t>
  </si>
  <si>
    <t>1989-12-05</t>
  </si>
  <si>
    <t>919086178:eng</t>
  </si>
  <si>
    <t>19222542</t>
  </si>
  <si>
    <t>991001439619702656</t>
  </si>
  <si>
    <t>2259395370002656</t>
  </si>
  <si>
    <t>9780810918931</t>
  </si>
  <si>
    <t>32285000016815</t>
  </si>
  <si>
    <t>893596477</t>
  </si>
  <si>
    <t>PQ2603.U73 M65 1970</t>
  </si>
  <si>
    <t>0                      PQ 2603000U  73                 M  65          1970</t>
  </si>
  <si>
    <t>La modification / présenté par Jacques Guicharnaud.</t>
  </si>
  <si>
    <t>Butor, Michel.</t>
  </si>
  <si>
    <t>Waltham, Mass. : Ginn, [1970]</t>
  </si>
  <si>
    <t>The Ginn French literature series</t>
  </si>
  <si>
    <t>1994-03-16</t>
  </si>
  <si>
    <t>1994-01-04</t>
  </si>
  <si>
    <t>1886310:fre</t>
  </si>
  <si>
    <t>3518477</t>
  </si>
  <si>
    <t>991004454769702656</t>
  </si>
  <si>
    <t>2271689810002656</t>
  </si>
  <si>
    <t>32285001827905</t>
  </si>
  <si>
    <t>893700267</t>
  </si>
  <si>
    <t>PQ2605.A3734 C536</t>
  </si>
  <si>
    <t>0                      PQ 2605000A  3734               C  536</t>
  </si>
  <si>
    <t>La chute de Camus : ou, Le dernier testament : étude du message camusien de responsabilité et d'authenticité selon La chute / Phan Thị Ngọc-Mai, Pierre Nguyen Van-Huy ; avec la collab. de Jean-René Peltier.</t>
  </si>
  <si>
    <t>Phan Thị Ngọc Mai.</t>
  </si>
  <si>
    <t>Neuchâtel : Éditions de la Baconnière, 1974.</t>
  </si>
  <si>
    <t>Etudes littéraires</t>
  </si>
  <si>
    <t>2001-02-07</t>
  </si>
  <si>
    <t>876053996:fre</t>
  </si>
  <si>
    <t>1340298</t>
  </si>
  <si>
    <t>991003703819702656</t>
  </si>
  <si>
    <t>2261865580002656</t>
  </si>
  <si>
    <t>32285002727765</t>
  </si>
  <si>
    <t>893875061</t>
  </si>
  <si>
    <t>PQ2605.A3734 Z553</t>
  </si>
  <si>
    <t>0                      PQ 2605000A  3734               Z  553</t>
  </si>
  <si>
    <t>Witness of decline : Albert Camus: moralist of the absurd / Lev Braun.</t>
  </si>
  <si>
    <t>Braun, Lev.</t>
  </si>
  <si>
    <t>Rutherford [N.J.] : Fairleigh Dickinson University Press, 1974.</t>
  </si>
  <si>
    <t>1995-04-14</t>
  </si>
  <si>
    <t>1991-05-14</t>
  </si>
  <si>
    <t>10678418808:eng</t>
  </si>
  <si>
    <t>672957</t>
  </si>
  <si>
    <t>991003129509702656</t>
  </si>
  <si>
    <t>2267831150002656</t>
  </si>
  <si>
    <t>9780838612460</t>
  </si>
  <si>
    <t>32285000603695</t>
  </si>
  <si>
    <t>893610748</t>
  </si>
  <si>
    <t>PQ2605.A3734 Z555 1972</t>
  </si>
  <si>
    <t>0                      PQ 2605000A  3734               Z  555         1972</t>
  </si>
  <si>
    <t>Camus.</t>
  </si>
  <si>
    <t>Brée, Germaine.</t>
  </si>
  <si>
    <t>New Brunswick, N.J. : Rutgers University Press, [1972]</t>
  </si>
  <si>
    <t>Rev. ed.</t>
  </si>
  <si>
    <t>1992-01-02</t>
  </si>
  <si>
    <t>1455121:eng</t>
  </si>
  <si>
    <t>286634</t>
  </si>
  <si>
    <t>991002207679702656</t>
  </si>
  <si>
    <t>2263050620002656</t>
  </si>
  <si>
    <t>9780813503592</t>
  </si>
  <si>
    <t>32285000879865</t>
  </si>
  <si>
    <t>893597147</t>
  </si>
  <si>
    <t>PQ2605.A3734 Z62</t>
  </si>
  <si>
    <t>0                      PQ 2605000A  3734               Z  62</t>
  </si>
  <si>
    <t>Camus : a collection of critical essays.</t>
  </si>
  <si>
    <t>Brée, Germaine editor.</t>
  </si>
  <si>
    <t>Englewood Cliffs, N.J. : Prentice-Hall, [1962]</t>
  </si>
  <si>
    <t>A Spectrum book: Twentieth century views, S-TC-1</t>
  </si>
  <si>
    <t>2000-12-06</t>
  </si>
  <si>
    <t>1995-04-26</t>
  </si>
  <si>
    <t>3901156799:eng</t>
  </si>
  <si>
    <t>342099</t>
  </si>
  <si>
    <t>991002418119702656</t>
  </si>
  <si>
    <t>2266425200002656</t>
  </si>
  <si>
    <t>32285002029337</t>
  </si>
  <si>
    <t>893627118</t>
  </si>
  <si>
    <t>PQ2605.A3734 Z645</t>
  </si>
  <si>
    <t>0                      PQ 2605000A  3734               Z  645</t>
  </si>
  <si>
    <t>The theatre of Albert Camus : a critical study / [by] E. Freeman.</t>
  </si>
  <si>
    <t>Freeman, E.</t>
  </si>
  <si>
    <t>London : Methuen, 1971.</t>
  </si>
  <si>
    <t>1995-04-13</t>
  </si>
  <si>
    <t>1329090:eng</t>
  </si>
  <si>
    <t>183466</t>
  </si>
  <si>
    <t>991001099849702656</t>
  </si>
  <si>
    <t>2267561230002656</t>
  </si>
  <si>
    <t>9780416129403</t>
  </si>
  <si>
    <t>32285001411635</t>
  </si>
  <si>
    <t>893878619</t>
  </si>
  <si>
    <t>PQ2605.A3734 Z67 1971</t>
  </si>
  <si>
    <t>0                      PQ 2605000A  3734               Z  67          1971</t>
  </si>
  <si>
    <t>King, Adele.</t>
  </si>
  <si>
    <t>New York : Capricorn Books, [1971, c1964]</t>
  </si>
  <si>
    <t>A Capricorn book, CAP 165</t>
  </si>
  <si>
    <t>1992-05-04</t>
  </si>
  <si>
    <t>1484472:eng</t>
  </si>
  <si>
    <t>706182</t>
  </si>
  <si>
    <t>991003169309702656</t>
  </si>
  <si>
    <t>2256402670002656</t>
  </si>
  <si>
    <t>9780050014233</t>
  </si>
  <si>
    <t>32285001091452</t>
  </si>
  <si>
    <t>893323833</t>
  </si>
  <si>
    <t>PQ2605.A3734 Z698</t>
  </si>
  <si>
    <t>0                      PQ 2605000A  3734               Z  698</t>
  </si>
  <si>
    <t>Albert Camus : a biography / Herbert R. Lottman.</t>
  </si>
  <si>
    <t>Lottman, Herbert R.</t>
  </si>
  <si>
    <t>Garden City, N.Y. : Doubleday, 1979.</t>
  </si>
  <si>
    <t>3768592778:eng</t>
  </si>
  <si>
    <t>4496148</t>
  </si>
  <si>
    <t>991004658859702656</t>
  </si>
  <si>
    <t>2268710500002656</t>
  </si>
  <si>
    <t>9780385116640</t>
  </si>
  <si>
    <t>32285000603703</t>
  </si>
  <si>
    <t>893325608</t>
  </si>
  <si>
    <t>PQ2605.A3734 Z72 1972</t>
  </si>
  <si>
    <t>0                      PQ 2605000A  3734               Z  72          1972</t>
  </si>
  <si>
    <t>Albert Camus : the invincible summer / from the French "Albert Camus; ou, L'invincible été."</t>
  </si>
  <si>
    <t>Maquet, Albert, 1922-</t>
  </si>
  <si>
    <t>New York : Humanities Press, 1972 [c1958]</t>
  </si>
  <si>
    <t>2000-12-03</t>
  </si>
  <si>
    <t>5613342136:eng</t>
  </si>
  <si>
    <t>535294</t>
  </si>
  <si>
    <t>991002941539702656</t>
  </si>
  <si>
    <t>2263456190002656</t>
  </si>
  <si>
    <t>9780391002692</t>
  </si>
  <si>
    <t>32285001090405</t>
  </si>
  <si>
    <t>893415825</t>
  </si>
  <si>
    <t>PQ2605.A3734 Z72135 1982</t>
  </si>
  <si>
    <t>0                      PQ 2605000A  3734               Z  72135       1982</t>
  </si>
  <si>
    <t>Camus / Patrick McCarthy.</t>
  </si>
  <si>
    <t>McCarthy, Patrick, 1941-2007.</t>
  </si>
  <si>
    <t>New York : Random House, c1982.</t>
  </si>
  <si>
    <t>2003-11-13</t>
  </si>
  <si>
    <t>3855267890:eng</t>
  </si>
  <si>
    <t>8168979</t>
  </si>
  <si>
    <t>991005211019702656</t>
  </si>
  <si>
    <t>2271868640002656</t>
  </si>
  <si>
    <t>9780394524597</t>
  </si>
  <si>
    <t>32285000603711</t>
  </si>
  <si>
    <t>893350918</t>
  </si>
  <si>
    <t>PQ2605.A3734 Z725</t>
  </si>
  <si>
    <t>0                      PQ 2605000A  3734               Z  725</t>
  </si>
  <si>
    <t>Albert Camus : the artist in the arena.</t>
  </si>
  <si>
    <t>Parker, Emmett.</t>
  </si>
  <si>
    <t>[Madison] : University of Wisconsin Press, 1965.</t>
  </si>
  <si>
    <t>wiu</t>
  </si>
  <si>
    <t>1995-04-17</t>
  </si>
  <si>
    <t>571826:eng</t>
  </si>
  <si>
    <t>342770</t>
  </si>
  <si>
    <t>991002420889702656</t>
  </si>
  <si>
    <t>2266270690002656</t>
  </si>
  <si>
    <t>32285001090397</t>
  </si>
  <si>
    <t>893710270</t>
  </si>
  <si>
    <t>PQ2605.A3734 Z7273</t>
  </si>
  <si>
    <t>0                      PQ 2605000A  3734               Z  7273</t>
  </si>
  <si>
    <t>Albert Camus / translated by Alexander Gode.</t>
  </si>
  <si>
    <t>Petersen, Carol.</t>
  </si>
  <si>
    <t>New York : F. Ungar Pub. Co., c1969, 1971 printing.</t>
  </si>
  <si>
    <t>Modern literature monographs</t>
  </si>
  <si>
    <t>1995-04-18</t>
  </si>
  <si>
    <t>457922:eng</t>
  </si>
  <si>
    <t>21735</t>
  </si>
  <si>
    <t>991000040749702656</t>
  </si>
  <si>
    <t>2261368090002656</t>
  </si>
  <si>
    <t>9780804426916</t>
  </si>
  <si>
    <t>32285002027604</t>
  </si>
  <si>
    <t>893419141</t>
  </si>
  <si>
    <t>PQ2605.A3734 Z735 1963</t>
  </si>
  <si>
    <t>0                      PQ 2605000A  3734               Z  735         1963</t>
  </si>
  <si>
    <t>Albert Camus.</t>
  </si>
  <si>
    <t>Scott, Nathan A.</t>
  </si>
  <si>
    <t>New York, Hillary House Publishers, 1962 [i.e. 1963]</t>
  </si>
  <si>
    <t>Studies in modern European literature and thought</t>
  </si>
  <si>
    <t>1184708:eng</t>
  </si>
  <si>
    <t>2538156</t>
  </si>
  <si>
    <t>991004154979702656</t>
  </si>
  <si>
    <t>2269462850002656</t>
  </si>
  <si>
    <t>32285003292462</t>
  </si>
  <si>
    <t>893247221</t>
  </si>
  <si>
    <t>PQ2605.A3734 Z92 2000</t>
  </si>
  <si>
    <t>0                      PQ 2605000A  3734               Z  92          2000</t>
  </si>
  <si>
    <t>Colonial and anti-colonial discourses : Albert Camus and Algeria, an intertextual dialoque with Mouloud Mammeri, Mouloud Feraoun, and Mohhammed Dib / Ena C. Vulor.</t>
  </si>
  <si>
    <t>Vulor, Ena C.</t>
  </si>
  <si>
    <t>Lanham : University Press of America, 2000.</t>
  </si>
  <si>
    <t>2004-09-08</t>
  </si>
  <si>
    <t>34434122:eng</t>
  </si>
  <si>
    <t>44681860</t>
  </si>
  <si>
    <t>991004342379702656</t>
  </si>
  <si>
    <t>2259092260002656</t>
  </si>
  <si>
    <t>9780761818168</t>
  </si>
  <si>
    <t>32285004985635</t>
  </si>
  <si>
    <t>893349904</t>
  </si>
  <si>
    <t>PQ2605.O15 Z689</t>
  </si>
  <si>
    <t>0                      PQ 2605000O  15                 Z  689</t>
  </si>
  <si>
    <t>Jean Cocteau.</t>
  </si>
  <si>
    <t>Twayne's world authors series. TWAS 84. France</t>
  </si>
  <si>
    <t>1997-05-23</t>
  </si>
  <si>
    <t>1316794:eng</t>
  </si>
  <si>
    <t>95125</t>
  </si>
  <si>
    <t>991000577839702656</t>
  </si>
  <si>
    <t>2272652290002656</t>
  </si>
  <si>
    <t>32285002728219</t>
  </si>
  <si>
    <t>893231223</t>
  </si>
  <si>
    <t>PQ2605.O28 Z638</t>
  </si>
  <si>
    <t>0                      PQ 2605000O  28                 Z  638</t>
  </si>
  <si>
    <t>Colette / [by] Robert D. Cottrell.</t>
  </si>
  <si>
    <t>Cottrell, Robert D.</t>
  </si>
  <si>
    <t>New York : F. Ungar Pub. Co., [1974]</t>
  </si>
  <si>
    <t>1996-11-10</t>
  </si>
  <si>
    <t>1995-05-06</t>
  </si>
  <si>
    <t>1836968:eng</t>
  </si>
  <si>
    <t>902480</t>
  </si>
  <si>
    <t>991003366829702656</t>
  </si>
  <si>
    <t>2262533140002656</t>
  </si>
  <si>
    <t>9780804421300</t>
  </si>
  <si>
    <t>32285002032653</t>
  </si>
  <si>
    <t>893780953</t>
  </si>
  <si>
    <t>PQ2605.O28 Z684 1992</t>
  </si>
  <si>
    <t>0                      PQ 2605000O  28                 Z  684         1992</t>
  </si>
  <si>
    <t>Another Colette : the question of gendered writing / Lynne Huffer.</t>
  </si>
  <si>
    <t>Huffer, Lynne, 1960-</t>
  </si>
  <si>
    <t>Ann Arbor : University of Michigan Press, 1992.</t>
  </si>
  <si>
    <t>1995-04-12</t>
  </si>
  <si>
    <t>143856646:eng</t>
  </si>
  <si>
    <t>26353994</t>
  </si>
  <si>
    <t>991002059149702656</t>
  </si>
  <si>
    <t>2265662020002656</t>
  </si>
  <si>
    <t>9780472103072</t>
  </si>
  <si>
    <t>32285001497584</t>
  </si>
  <si>
    <t>893798126</t>
  </si>
  <si>
    <t>PQ2605.O28 Z74 1975b</t>
  </si>
  <si>
    <t>0                      PQ 2605000O  28                 Z  74          1975b</t>
  </si>
  <si>
    <t>Colette : a taste for life / Yvonne Mitchell.</t>
  </si>
  <si>
    <t>Mitchell, Yvonne.</t>
  </si>
  <si>
    <t>New York : Harcourt Brace Jovanovich, c1975.</t>
  </si>
  <si>
    <t>2607949:eng</t>
  </si>
  <si>
    <t>1815078</t>
  </si>
  <si>
    <t>991003897619702656</t>
  </si>
  <si>
    <t>2270641750002656</t>
  </si>
  <si>
    <t>9780151185139</t>
  </si>
  <si>
    <t>32285000800176</t>
  </si>
  <si>
    <t>893240770</t>
  </si>
  <si>
    <t>PQ2605.O28 Z825 1984</t>
  </si>
  <si>
    <t>0                      PQ 2605000O  28                 Z  825         1984</t>
  </si>
  <si>
    <t>Colette / Joanna Richardson.</t>
  </si>
  <si>
    <t>New York : F. Watts, 1984, c1983.</t>
  </si>
  <si>
    <t>1984</t>
  </si>
  <si>
    <t>3129075:eng</t>
  </si>
  <si>
    <t>10372432</t>
  </si>
  <si>
    <t>991000361579702656</t>
  </si>
  <si>
    <t>2258998440002656</t>
  </si>
  <si>
    <t>9780531098240</t>
  </si>
  <si>
    <t>32285000603828</t>
  </si>
  <si>
    <t>893327226</t>
  </si>
  <si>
    <t>PQ2607.U8245 Z93</t>
  </si>
  <si>
    <t>0                      PQ 2607000U  8245               Z  93</t>
  </si>
  <si>
    <t>Marguerite Duras. Une étude par Alain Vircondelet. Deux entretiens, une biographie, une bibliographie.</t>
  </si>
  <si>
    <t>Vircondelet, Alain.</t>
  </si>
  <si>
    <t>[Paris] Seghers [1972]</t>
  </si>
  <si>
    <t>Ecrivains d'hier et d'aujourd'hui ; 42</t>
  </si>
  <si>
    <t>1998-05-08</t>
  </si>
  <si>
    <t>9593637224:fre</t>
  </si>
  <si>
    <t>681673</t>
  </si>
  <si>
    <t>991003139849702656</t>
  </si>
  <si>
    <t>2266533480002656</t>
  </si>
  <si>
    <t>32285002728706</t>
  </si>
  <si>
    <t>893530875</t>
  </si>
  <si>
    <t>PQ261 .B7 1911</t>
  </si>
  <si>
    <t>0                      PQ 0261000B  7           1911</t>
  </si>
  <si>
    <t>Études sur le XVIIIe siècle / Ferdinand Brunetière.</t>
  </si>
  <si>
    <t>Brunetière, Ferdinand, 1849-1906.</t>
  </si>
  <si>
    <t>Paris : Hachette, 1911.</t>
  </si>
  <si>
    <t>1911</t>
  </si>
  <si>
    <t>1998-12-02</t>
  </si>
  <si>
    <t>2301170:fre</t>
  </si>
  <si>
    <t>1426377</t>
  </si>
  <si>
    <t>991003750559702656</t>
  </si>
  <si>
    <t>2271236740002656</t>
  </si>
  <si>
    <t>32285002589082</t>
  </si>
  <si>
    <t>893793979</t>
  </si>
  <si>
    <t>PQ261 .G75 1966</t>
  </si>
  <si>
    <t>0                      PQ 0261000G  75          1966</t>
  </si>
  <si>
    <t>Literary ideas in 18th century France and England : a critical survey.</t>
  </si>
  <si>
    <t>New York : F. Ungar Pub. Co., [1966]</t>
  </si>
  <si>
    <t>2002-10-01</t>
  </si>
  <si>
    <t>147125489:eng</t>
  </si>
  <si>
    <t>337332</t>
  </si>
  <si>
    <t>991002402089702656</t>
  </si>
  <si>
    <t>2255925120002656</t>
  </si>
  <si>
    <t>32285001634277</t>
  </si>
  <si>
    <t>893504354</t>
  </si>
  <si>
    <t>PQ261 .P74 1990</t>
  </si>
  <si>
    <t>0                      PQ 0261000P  74          1990</t>
  </si>
  <si>
    <t>Précis de littérature franc̦aise du XVIIIe siècle / sous la direction de Robert Mauzi, avec la collaboration de Sylvain Menant, Michel Delon.</t>
  </si>
  <si>
    <t>Paris : Presses universitaires de France, 1990.</t>
  </si>
  <si>
    <t>1. ed.</t>
  </si>
  <si>
    <t>1995-08-22</t>
  </si>
  <si>
    <t>355450165:fre</t>
  </si>
  <si>
    <t>24069979</t>
  </si>
  <si>
    <t>991001907019702656</t>
  </si>
  <si>
    <t>2259850890002656</t>
  </si>
  <si>
    <t>9782130428596</t>
  </si>
  <si>
    <t>32285002078920</t>
  </si>
  <si>
    <t>893803988</t>
  </si>
  <si>
    <t>PQ261 .V6 1970</t>
  </si>
  <si>
    <t>0                      PQ 0261000V  6           1970</t>
  </si>
  <si>
    <t>History of French literature in the eighteenth century / by Alexander Vinet. Translated from the French by James Bryce.</t>
  </si>
  <si>
    <t>Vinet, Alexandre Rodolphe, 1797-1847.</t>
  </si>
  <si>
    <t>2008-03-16</t>
  </si>
  <si>
    <t>1993-05-10</t>
  </si>
  <si>
    <t>1192331:eng</t>
  </si>
  <si>
    <t>57393</t>
  </si>
  <si>
    <t>991000139619702656</t>
  </si>
  <si>
    <t>2261642210002656</t>
  </si>
  <si>
    <t>9780804608732</t>
  </si>
  <si>
    <t>32285001652162</t>
  </si>
  <si>
    <t>893502278</t>
  </si>
  <si>
    <t>PQ2613.E53 Z9 1993</t>
  </si>
  <si>
    <t>0                      PQ 2613000E  53                 Z  9           1993</t>
  </si>
  <si>
    <t>Genet : a biography / Edmund White ; with a chronology by Albert Dichy.</t>
  </si>
  <si>
    <t>White, Edmund, 1940-</t>
  </si>
  <si>
    <t>New York : Alfred A. Knopf, 1993.</t>
  </si>
  <si>
    <t>1994-01-17</t>
  </si>
  <si>
    <t>11049613:eng</t>
  </si>
  <si>
    <t>27431332</t>
  </si>
  <si>
    <t>991002140239702656</t>
  </si>
  <si>
    <t>2264436910002656</t>
  </si>
  <si>
    <t>9780394571713</t>
  </si>
  <si>
    <t>32285001816577</t>
  </si>
  <si>
    <t>893347149</t>
  </si>
  <si>
    <t>PQ2613.R735 T38</t>
  </si>
  <si>
    <t>0                      PQ 2613000R  735                T  38</t>
  </si>
  <si>
    <t>Taxi de nuit.</t>
  </si>
  <si>
    <t>Groussard, Serge, 1921-</t>
  </si>
  <si>
    <t>[Paris] Plon [1970]</t>
  </si>
  <si>
    <t>1997-05-28</t>
  </si>
  <si>
    <t>1632232:fre</t>
  </si>
  <si>
    <t>706249</t>
  </si>
  <si>
    <t>991004283409702656</t>
  </si>
  <si>
    <t>2270142830002656</t>
  </si>
  <si>
    <t>32285002729514</t>
  </si>
  <si>
    <t>893331405</t>
  </si>
  <si>
    <t>PQ2617.O6 Z74</t>
  </si>
  <si>
    <t>0                      PQ 2617000O  6                  Z  74</t>
  </si>
  <si>
    <t>Ionesco : a collection of critical essays / edited by Rosette C. Lamont.</t>
  </si>
  <si>
    <t>Lamont, Rosette C., compiler.</t>
  </si>
  <si>
    <t>Englewood Cliffs, N.J. : Prentice-Hall, [1973]</t>
  </si>
  <si>
    <t>A Spectrum book</t>
  </si>
  <si>
    <t>1998-12-16</t>
  </si>
  <si>
    <t>1407048212:eng</t>
  </si>
  <si>
    <t>609764</t>
  </si>
  <si>
    <t>991003049829702656</t>
  </si>
  <si>
    <t>2254878740002656</t>
  </si>
  <si>
    <t>9780135049778</t>
  </si>
  <si>
    <t>32285000876168</t>
  </si>
  <si>
    <t>893786917</t>
  </si>
  <si>
    <t>PQ2617.O6 Z75</t>
  </si>
  <si>
    <t>0                      PQ 2617000O  6                  Z  75</t>
  </si>
  <si>
    <t>Ionesco.</t>
  </si>
  <si>
    <t>Lewis, Allan.</t>
  </si>
  <si>
    <t>Twayne's world authors series, TWAS 239. France</t>
  </si>
  <si>
    <t>1993-04-13</t>
  </si>
  <si>
    <t>1991-12-18</t>
  </si>
  <si>
    <t>3943780379:eng</t>
  </si>
  <si>
    <t>549401</t>
  </si>
  <si>
    <t>991002971489702656</t>
  </si>
  <si>
    <t>2265706370002656</t>
  </si>
  <si>
    <t>9780805724523</t>
  </si>
  <si>
    <t>32285000907393</t>
  </si>
  <si>
    <t>893604293</t>
  </si>
  <si>
    <t>PQ2619.A65 Z72 1980</t>
  </si>
  <si>
    <t>0                      PQ 2619000A  65                 Z  72          1980</t>
  </si>
  <si>
    <t>Alfred Jarry, nihilism and the theater of the absurd / Maurice Marc LaBelle.</t>
  </si>
  <si>
    <t>LaBelle, Maurice Marc, 1939-</t>
  </si>
  <si>
    <t>New York : New York University Press, c1980.</t>
  </si>
  <si>
    <t>The Gotham library of the New York University Press</t>
  </si>
  <si>
    <t>2001-11-28</t>
  </si>
  <si>
    <t>476644:eng</t>
  </si>
  <si>
    <t>5829988</t>
  </si>
  <si>
    <t>991004882939702656</t>
  </si>
  <si>
    <t>2260976900002656</t>
  </si>
  <si>
    <t>9780814749951</t>
  </si>
  <si>
    <t>32285000802438</t>
  </si>
  <si>
    <t>893807579</t>
  </si>
  <si>
    <t>PQ2623.E3657 A566 1975</t>
  </si>
  <si>
    <t>0                      PQ 2623000E  3657               A  566         1975</t>
  </si>
  <si>
    <t>La mujer del zorrito / Violette Leduc ; traducción de Enrique Pezzoni.</t>
  </si>
  <si>
    <t>Leduc, Violette, 1907-1972.</t>
  </si>
  <si>
    <t>Buenos Aires : Editorial Sudamericana, c1975.</t>
  </si>
  <si>
    <t xml:space="preserve">ag </t>
  </si>
  <si>
    <t>Colección horizonte</t>
  </si>
  <si>
    <t>2001-12-13</t>
  </si>
  <si>
    <t>141982332:spa</t>
  </si>
  <si>
    <t>24843429</t>
  </si>
  <si>
    <t>991003699039702656</t>
  </si>
  <si>
    <t>2257995670002656</t>
  </si>
  <si>
    <t>32285004428529</t>
  </si>
  <si>
    <t>893806107</t>
  </si>
  <si>
    <t>PQ2625.A716 R66 1994</t>
  </si>
  <si>
    <t>0                      PQ 2625000A  716                R  66          1994</t>
  </si>
  <si>
    <t>André Malraux : a reference guide, 1940-1990 / John B. Romeiser.</t>
  </si>
  <si>
    <t>Romeiser, John Beals, 1948-</t>
  </si>
  <si>
    <t>New York : G.K. Hall &amp; Co. ; Toronto : Maxwell Macmillan Canada ; New York : Maxwell Macmillan International, c1994.</t>
  </si>
  <si>
    <t>A reference publication in literature</t>
  </si>
  <si>
    <t>1996-09-17</t>
  </si>
  <si>
    <t>1996-04-24</t>
  </si>
  <si>
    <t>905801565:eng</t>
  </si>
  <si>
    <t>29600819</t>
  </si>
  <si>
    <t>991002283819702656</t>
  </si>
  <si>
    <t>2272229370002656</t>
  </si>
  <si>
    <t>9780816190713</t>
  </si>
  <si>
    <t>32285002156692</t>
  </si>
  <si>
    <t>893903803</t>
  </si>
  <si>
    <t>PQ2625.A74 B3</t>
  </si>
  <si>
    <t>0                      PQ 2625000A  74                 B  3</t>
  </si>
  <si>
    <t>Batouala; a true Black novel. [Translated by Barbara Beck and Alexandre Mboukou]</t>
  </si>
  <si>
    <t>Maran, René, 1887-1960.</t>
  </si>
  <si>
    <t>Washington, Black Orpheus Press, 1972.</t>
  </si>
  <si>
    <t>Dimensions of the Black intellectual experience</t>
  </si>
  <si>
    <t>2000-09-08</t>
  </si>
  <si>
    <t>1997-06-02</t>
  </si>
  <si>
    <t>3943289314:eng</t>
  </si>
  <si>
    <t>322693</t>
  </si>
  <si>
    <t>991002333919702656</t>
  </si>
  <si>
    <t>2257090160002656</t>
  </si>
  <si>
    <t>9780087953000</t>
  </si>
  <si>
    <t>32285002795127</t>
  </si>
  <si>
    <t>893322811</t>
  </si>
  <si>
    <t>PQ2625.A78739 G715 1945</t>
  </si>
  <si>
    <t>0                      PQ 2625000A  78739              G  715         1945</t>
  </si>
  <si>
    <t>Adventures in grace : sequel to We have been friends together / by Raïssa Maritain ; translated by Julie Kernan.</t>
  </si>
  <si>
    <t>Maritain, Raïssa.</t>
  </si>
  <si>
    <t>New York : Catholic Book Club, 1945.</t>
  </si>
  <si>
    <t>1945</t>
  </si>
  <si>
    <t>Golden measure books</t>
  </si>
  <si>
    <t>1996-04-11</t>
  </si>
  <si>
    <t>10677961960:eng</t>
  </si>
  <si>
    <t>5357550</t>
  </si>
  <si>
    <t>991004826749702656</t>
  </si>
  <si>
    <t>2257058270002656</t>
  </si>
  <si>
    <t>32285000604420</t>
  </si>
  <si>
    <t>893782701</t>
  </si>
  <si>
    <t>PQ2625.A925 A78</t>
  </si>
  <si>
    <t>0                      PQ 2625000A  925                A  78</t>
  </si>
  <si>
    <t>Anastasia / English adaptation by Guy Bolton.</t>
  </si>
  <si>
    <t>Marcelle-Maurette.</t>
  </si>
  <si>
    <t>New York, Random House [1955]</t>
  </si>
  <si>
    <t>A Random House play</t>
  </si>
  <si>
    <t>2003-05-08</t>
  </si>
  <si>
    <t>1997-12-30</t>
  </si>
  <si>
    <t>4663506051:eng</t>
  </si>
  <si>
    <t>362909</t>
  </si>
  <si>
    <t>991002492579702656</t>
  </si>
  <si>
    <t>2262473650002656</t>
  </si>
  <si>
    <t>32285003294161</t>
  </si>
  <si>
    <t>893523673</t>
  </si>
  <si>
    <t>PQ2625.A93 Z82</t>
  </si>
  <si>
    <t>0                      PQ 2625000A  93                 Z  82</t>
  </si>
  <si>
    <t>François Mauriac / by Maxwell A. Smith.</t>
  </si>
  <si>
    <t>Smith, Maxwell A. (Maxwell Austin), 1894-</t>
  </si>
  <si>
    <t>New York : Twayne Publishers, [1970]</t>
  </si>
  <si>
    <t>Twayne's world authors series. TWAS 106: French</t>
  </si>
  <si>
    <t>1994-04-13</t>
  </si>
  <si>
    <t>1991-12-23</t>
  </si>
  <si>
    <t>2081309:eng</t>
  </si>
  <si>
    <t>1151678</t>
  </si>
  <si>
    <t>991003574679702656</t>
  </si>
  <si>
    <t>2267997050002656</t>
  </si>
  <si>
    <t>32285000881077</t>
  </si>
  <si>
    <t>893262813</t>
  </si>
  <si>
    <t>PQ2625.O45 A15 1959</t>
  </si>
  <si>
    <t>0                      PQ 2625000O  45                 A  15          1959</t>
  </si>
  <si>
    <t>Romans et œuvres de fiction non théâtrales / Montherlant ; préface de Roger Secrétain.</t>
  </si>
  <si>
    <t>Montherlant, Henry de, 1896-1972.</t>
  </si>
  <si>
    <t>[Paris] : Gallimard, c1959-c1982.</t>
  </si>
  <si>
    <t>Bibliothèque de la Pléiade ; 136, 301</t>
  </si>
  <si>
    <t>2000-10-10</t>
  </si>
  <si>
    <t>149296944:fre</t>
  </si>
  <si>
    <t>255037</t>
  </si>
  <si>
    <t>991003306859702656</t>
  </si>
  <si>
    <t>2270832190002656</t>
  </si>
  <si>
    <t>9782070110056</t>
  </si>
  <si>
    <t>32285003767539</t>
  </si>
  <si>
    <t>893711244</t>
  </si>
  <si>
    <t>PQ2631.A26 E2</t>
  </si>
  <si>
    <t>0                      PQ 2631000A  26                 E  2</t>
  </si>
  <si>
    <t>L'eau des collines / Marcel Pagnol.</t>
  </si>
  <si>
    <t>Pagnol, Marcel, 1895-1974.</t>
  </si>
  <si>
    <t>Paris : Éditions de Provence, [1962-63]</t>
  </si>
  <si>
    <t>2003-08-02</t>
  </si>
  <si>
    <t>1993-01-26</t>
  </si>
  <si>
    <t>3772461683:fre</t>
  </si>
  <si>
    <t>2652973</t>
  </si>
  <si>
    <t>991004200929702656</t>
  </si>
  <si>
    <t>2258193840002656</t>
  </si>
  <si>
    <t>32285001477594</t>
  </si>
  <si>
    <t>893628027</t>
  </si>
  <si>
    <t>32285002023348</t>
  </si>
  <si>
    <t>893618372</t>
  </si>
  <si>
    <t>PQ2631.R387 Z6</t>
  </si>
  <si>
    <t>0                      PQ 2631000R  387                Z  6</t>
  </si>
  <si>
    <t>Jacques Prévert, by William E. Baker.</t>
  </si>
  <si>
    <t>Baker, Will, 1935-2005.</t>
  </si>
  <si>
    <t>New York, Twayne Publishers [1967]</t>
  </si>
  <si>
    <t>Twayne's world authors series, 24. France</t>
  </si>
  <si>
    <t>1997-06-05</t>
  </si>
  <si>
    <t>354048179:eng</t>
  </si>
  <si>
    <t>239205</t>
  </si>
  <si>
    <t>991001900099702656</t>
  </si>
  <si>
    <t>2256714430002656</t>
  </si>
  <si>
    <t>32285002796091</t>
  </si>
  <si>
    <t>893691006</t>
  </si>
  <si>
    <t>PQ2631.R63 A818</t>
  </si>
  <si>
    <t>0                      PQ 2631000R  63                 A  818</t>
  </si>
  <si>
    <t>Marcel Proust / James Robert Hewitt.</t>
  </si>
  <si>
    <t>Hewitt, James Robert.</t>
  </si>
  <si>
    <t>New York : F. Ungar Pub. Co., [1975]</t>
  </si>
  <si>
    <t>2003-10-01</t>
  </si>
  <si>
    <t>1993-09-23</t>
  </si>
  <si>
    <t>2162475:eng</t>
  </si>
  <si>
    <t>1198839</t>
  </si>
  <si>
    <t>991003615309702656</t>
  </si>
  <si>
    <t>2266906820002656</t>
  </si>
  <si>
    <t>9780804423823</t>
  </si>
  <si>
    <t>32285001770865</t>
  </si>
  <si>
    <t>893435181</t>
  </si>
  <si>
    <t>PQ2631.R63 A84 1966</t>
  </si>
  <si>
    <t>0                      PQ 2631000R  63                 A  84          1966</t>
  </si>
  <si>
    <t>The magic lantern of Marcel Proust / by Howard Moss.</t>
  </si>
  <si>
    <t>Moss, Howard, 1922-1987.</t>
  </si>
  <si>
    <t>New York : Grosset &amp; Dunlap, 1966.</t>
  </si>
  <si>
    <t>Universal library ed.</t>
  </si>
  <si>
    <t>Universal library ; 200</t>
  </si>
  <si>
    <t>119269218:eng</t>
  </si>
  <si>
    <t>614635</t>
  </si>
  <si>
    <t>991003718299702656</t>
  </si>
  <si>
    <t>2270132020002656</t>
  </si>
  <si>
    <t>32285004450705</t>
  </si>
  <si>
    <t>893806126</t>
  </si>
  <si>
    <t>PQ2631.R63 A8624 2004</t>
  </si>
  <si>
    <t>0                      PQ 2631000R  63                 A  8624        2004</t>
  </si>
  <si>
    <t>The Proust project / edited by André Aciman.</t>
  </si>
  <si>
    <t>New York : Farrar, Straus and Giroux : Turtle Point Press Books &amp; Co. : Helen Marx Books, c2004.</t>
  </si>
  <si>
    <t>2004-12-02</t>
  </si>
  <si>
    <t>1007950:eng</t>
  </si>
  <si>
    <t>54806092</t>
  </si>
  <si>
    <t>991004402709702656</t>
  </si>
  <si>
    <t>2265775910002656</t>
  </si>
  <si>
    <t>9780374238322</t>
  </si>
  <si>
    <t>32285005014278</t>
  </si>
  <si>
    <t>893882436</t>
  </si>
  <si>
    <t>PQ2631.R63 A89 1975</t>
  </si>
  <si>
    <t>0                      PQ 2631000R  63                 A  89          1975</t>
  </si>
  <si>
    <t>A reader's handbook to Proust : an index guide to Remembrance of things past / compiled by P. A. Spalding.</t>
  </si>
  <si>
    <t>Spalding, Philip Anthony.</t>
  </si>
  <si>
    <t>New York : Barnes &amp; Noble, 1975.</t>
  </si>
  <si>
    <t>Rev. ed. / rev., R. H. Cortie.</t>
  </si>
  <si>
    <t>2003-10-17</t>
  </si>
  <si>
    <t>1997-06-13</t>
  </si>
  <si>
    <t>1984494:eng</t>
  </si>
  <si>
    <t>1848899</t>
  </si>
  <si>
    <t>991003909319702656</t>
  </si>
  <si>
    <t>2257400370002656</t>
  </si>
  <si>
    <t>9780064964333</t>
  </si>
  <si>
    <t>32285002796141</t>
  </si>
  <si>
    <t>893617983</t>
  </si>
  <si>
    <t>PQ2631.R63 P3</t>
  </si>
  <si>
    <t>0                      PQ 2631000R  63                 P  3</t>
  </si>
  <si>
    <t>The past recaptured. Translated from the French by Andreas Mayor.</t>
  </si>
  <si>
    <t>Proust, Marcel, 1871-1922.</t>
  </si>
  <si>
    <t>New York, Random House [1970]</t>
  </si>
  <si>
    <t>1998-10-29</t>
  </si>
  <si>
    <t>1998-02-16</t>
  </si>
  <si>
    <t>4714400071:eng</t>
  </si>
  <si>
    <t>110195</t>
  </si>
  <si>
    <t>991000643559702656</t>
  </si>
  <si>
    <t>2266870150002656</t>
  </si>
  <si>
    <t>9780394439891</t>
  </si>
  <si>
    <t>32285003260972</t>
  </si>
  <si>
    <t>893890889</t>
  </si>
  <si>
    <t>PQ2631.R63 Z465</t>
  </si>
  <si>
    <t>0                      PQ 2631000R  63                 Z  465</t>
  </si>
  <si>
    <t>Marcel Proust, a biography.</t>
  </si>
  <si>
    <t>Barker, Richard Hindry, 1902-1968.</t>
  </si>
  <si>
    <t>New York, Criterion Books [1958]</t>
  </si>
  <si>
    <t>1997-06-16</t>
  </si>
  <si>
    <t>1869921350:eng</t>
  </si>
  <si>
    <t>343800</t>
  </si>
  <si>
    <t>991002423219702656</t>
  </si>
  <si>
    <t>2264725630002656</t>
  </si>
  <si>
    <t>32285002796182</t>
  </si>
  <si>
    <t>893510711</t>
  </si>
  <si>
    <t>PQ2631.R63 Z54 5456</t>
  </si>
  <si>
    <t>0                      PQ 2631000R  63                 Z  54          5456</t>
  </si>
  <si>
    <t>Marcel Proust / by Patrick Brady.</t>
  </si>
  <si>
    <t>Brady, Patrick, 1933-</t>
  </si>
  <si>
    <t>Boston : Twayne Publishers, c1977.</t>
  </si>
  <si>
    <t>Twayne's world authors series ; TWAS 404 : France</t>
  </si>
  <si>
    <t>1909396279:eng</t>
  </si>
  <si>
    <t>2912099</t>
  </si>
  <si>
    <t>991004281619702656</t>
  </si>
  <si>
    <t>2267835160002656</t>
  </si>
  <si>
    <t>9780805763072</t>
  </si>
  <si>
    <t>32285002796208</t>
  </si>
  <si>
    <t>893519458</t>
  </si>
  <si>
    <t>PQ2631.R63 Z545254 1987</t>
  </si>
  <si>
    <t>0                      PQ 2631000R  63                 Z  545254      1987</t>
  </si>
  <si>
    <t>Freud, Proust, and Lacan : theory as fiction / Malcolm Bowie.</t>
  </si>
  <si>
    <t>Bowie, Malcolm, 1943-2007.</t>
  </si>
  <si>
    <t>Cambridge ; New York : Cambridge University Press, 1987.</t>
  </si>
  <si>
    <t>2000-02-22</t>
  </si>
  <si>
    <t>807525864:eng</t>
  </si>
  <si>
    <t>13642988</t>
  </si>
  <si>
    <t>991000854469702656</t>
  </si>
  <si>
    <t>2271748170002656</t>
  </si>
  <si>
    <t>9780521256148</t>
  </si>
  <si>
    <t>32285000604602</t>
  </si>
  <si>
    <t>893528444</t>
  </si>
  <si>
    <t>PQ2631.R63 Z54543 1970</t>
  </si>
  <si>
    <t>0                      PQ 2631000R  63                 Z  54543       1970</t>
  </si>
  <si>
    <t>The religion of art in Proust / [by] Barbara J. Bucknall.</t>
  </si>
  <si>
    <t>Bucknall, Barbara J.</t>
  </si>
  <si>
    <t>Urbana : University of Illinois Press, 1969 [c1970]</t>
  </si>
  <si>
    <t>Illinois studies in language and literature, 60</t>
  </si>
  <si>
    <t>1998-01-06</t>
  </si>
  <si>
    <t>1250276:eng</t>
  </si>
  <si>
    <t>76549</t>
  </si>
  <si>
    <t>991000445679702656</t>
  </si>
  <si>
    <t>2256971780002656</t>
  </si>
  <si>
    <t>9780252000225</t>
  </si>
  <si>
    <t>32285003306239</t>
  </si>
  <si>
    <t>893327296</t>
  </si>
  <si>
    <t>PQ2631.R63 Z545656 2003</t>
  </si>
  <si>
    <t>0                      PQ 2631000R  63                 Z  545656      2003</t>
  </si>
  <si>
    <t>Marcel Proust / Mary Ann Caws.</t>
  </si>
  <si>
    <t>Caws, Mary Ann.</t>
  </si>
  <si>
    <t>Woodstock, NY : Overlook Duckworth, 2003.</t>
  </si>
  <si>
    <t>2003</t>
  </si>
  <si>
    <t>Overlook illustrated lives</t>
  </si>
  <si>
    <t>2003-12-11</t>
  </si>
  <si>
    <t>796174:eng</t>
  </si>
  <si>
    <t>52494309</t>
  </si>
  <si>
    <t>991004179339702656</t>
  </si>
  <si>
    <t>2260805550002656</t>
  </si>
  <si>
    <t>9781585674053</t>
  </si>
  <si>
    <t>32285004846027</t>
  </si>
  <si>
    <t>893241121</t>
  </si>
  <si>
    <t>PQ2631.R63 Z6185 1990</t>
  </si>
  <si>
    <t>0                      PQ 2631000R  63                 Z  6185        1990</t>
  </si>
  <si>
    <t>Proust : a biography / Ronald Hayman.</t>
  </si>
  <si>
    <t>Hayman, Ronald, 1932-</t>
  </si>
  <si>
    <t>New York, NY : HarperCollins, c1990.</t>
  </si>
  <si>
    <t>1997-03-24</t>
  </si>
  <si>
    <t>1991-02-14</t>
  </si>
  <si>
    <t>23995276:eng</t>
  </si>
  <si>
    <t>22308897</t>
  </si>
  <si>
    <t>991001765889702656</t>
  </si>
  <si>
    <t>2259104350002656</t>
  </si>
  <si>
    <t>9780060164386</t>
  </si>
  <si>
    <t>32285000464841</t>
  </si>
  <si>
    <t>893590618</t>
  </si>
  <si>
    <t>PQ2631.R63 Z72 1971b</t>
  </si>
  <si>
    <t>0                      PQ 2631000R  63                 Z  72          1971b</t>
  </si>
  <si>
    <t>Marcel Proust, 1871-1922 : a centennial volume / edited by Peter Quennell.</t>
  </si>
  <si>
    <t>New York : Simon and Schuster, [1971]</t>
  </si>
  <si>
    <t>1995-11-07</t>
  </si>
  <si>
    <t>1994-02-03</t>
  </si>
  <si>
    <t>9622218806:eng</t>
  </si>
  <si>
    <t>198489</t>
  </si>
  <si>
    <t>991001223859702656</t>
  </si>
  <si>
    <t>2271417740002656</t>
  </si>
  <si>
    <t>9780671210137</t>
  </si>
  <si>
    <t>32285001836963</t>
  </si>
  <si>
    <t>893256116</t>
  </si>
  <si>
    <t>PQ2631.R63 Z7825</t>
  </si>
  <si>
    <t>0                      PQ 2631000R  63                 Z  7825</t>
  </si>
  <si>
    <t>Le monde de Marcel Proust / documentation photographique: Marie-Thérèse May.</t>
  </si>
  <si>
    <t>[Paris] : Hachette, [1960]</t>
  </si>
  <si>
    <t>Tout par l'image ; 31</t>
  </si>
  <si>
    <t>1998-04-16</t>
  </si>
  <si>
    <t>181042861:fre</t>
  </si>
  <si>
    <t>232328</t>
  </si>
  <si>
    <t>991001529319702656</t>
  </si>
  <si>
    <t>2258569080002656</t>
  </si>
  <si>
    <t>32285001836955</t>
  </si>
  <si>
    <t>893225904</t>
  </si>
  <si>
    <t>PQ2631.R63 Z7896</t>
  </si>
  <si>
    <t>0                      PQ 2631000R  63                 Z  7896</t>
  </si>
  <si>
    <t>Proust / by George D. Painter. Maps drawn by Samuel H. Bryant.</t>
  </si>
  <si>
    <t>Painter, George D. (George Duncan), 1914-2005.</t>
  </si>
  <si>
    <t>Boston : Little, Brown, [1959-1965]</t>
  </si>
  <si>
    <t>1995-08-04</t>
  </si>
  <si>
    <t>3901307311:eng</t>
  </si>
  <si>
    <t>1163045</t>
  </si>
  <si>
    <t>991003581779702656</t>
  </si>
  <si>
    <t>2265758960002656</t>
  </si>
  <si>
    <t>32285002034642</t>
  </si>
  <si>
    <t>893524982</t>
  </si>
  <si>
    <t>32285002034659</t>
  </si>
  <si>
    <t>893531329</t>
  </si>
  <si>
    <t>PQ2631.R63 Z837</t>
  </si>
  <si>
    <t>0                      PQ 2631000R  63                 Z  837</t>
  </si>
  <si>
    <t>Proust and his world.</t>
  </si>
  <si>
    <t>Sansom, William, 1912-1976.</t>
  </si>
  <si>
    <t>London : Thames &amp; Hudson, [1973]</t>
  </si>
  <si>
    <t>1642077:eng</t>
  </si>
  <si>
    <t>762884</t>
  </si>
  <si>
    <t>991003239549702656</t>
  </si>
  <si>
    <t>2265268310002656</t>
  </si>
  <si>
    <t>9780500130445</t>
  </si>
  <si>
    <t>32285001836948</t>
  </si>
  <si>
    <t>893422332</t>
  </si>
  <si>
    <t>PQ2631.R63 Z918 1980</t>
  </si>
  <si>
    <t>0                      PQ 2631000R  63                 Z  918         1980</t>
  </si>
  <si>
    <t>Maladies of Marcel Proust : doctors and disease in his life and work / Bernard Straus.</t>
  </si>
  <si>
    <t>Straus, Bernard.</t>
  </si>
  <si>
    <t>New York : Holmes &amp; Meier, 1980.</t>
  </si>
  <si>
    <t>292470403:eng</t>
  </si>
  <si>
    <t>6092169</t>
  </si>
  <si>
    <t>991004929749702656</t>
  </si>
  <si>
    <t>2263563530002656</t>
  </si>
  <si>
    <t>9780841905467</t>
  </si>
  <si>
    <t>32285000604669</t>
  </si>
  <si>
    <t>893236068</t>
  </si>
  <si>
    <t>PQ2635.O117 Z63 1983</t>
  </si>
  <si>
    <t>0                      PQ 2635000O  117                Z  63          1983</t>
  </si>
  <si>
    <t>Alain Robbe-Grillet / John Fletcher.</t>
  </si>
  <si>
    <t>Fletcher, John, 1937-</t>
  </si>
  <si>
    <t>London ; New York : Methuen, 1983.</t>
  </si>
  <si>
    <t>Contemporary writers</t>
  </si>
  <si>
    <t>2003-05-05</t>
  </si>
  <si>
    <t>3943639009:eng</t>
  </si>
  <si>
    <t>9685892</t>
  </si>
  <si>
    <t>991000242899702656</t>
  </si>
  <si>
    <t>2263456430002656</t>
  </si>
  <si>
    <t>9780416344202</t>
  </si>
  <si>
    <t>32285000604727</t>
  </si>
  <si>
    <t>893333330</t>
  </si>
  <si>
    <t>PQ2635.O117 Z75</t>
  </si>
  <si>
    <t>0                      PQ 2635000O  117                Z  75</t>
  </si>
  <si>
    <t>Alain Robbe-Grillet / by Bruce Morrissette.</t>
  </si>
  <si>
    <t>Morrissette, Bruce, 1911-2000.</t>
  </si>
  <si>
    <t>New York : Columbia University Press, 1965.</t>
  </si>
  <si>
    <t>Columbia essays on modern writers ; no. 11</t>
  </si>
  <si>
    <t>9020749274:eng</t>
  </si>
  <si>
    <t>203796</t>
  </si>
  <si>
    <t>991001231869702656</t>
  </si>
  <si>
    <t>2255974410002656</t>
  </si>
  <si>
    <t>32285001091254</t>
  </si>
  <si>
    <t>893225724</t>
  </si>
  <si>
    <t>PQ2635.O12 J3 1963</t>
  </si>
  <si>
    <t>0                      PQ 2635000O  12                 J  3           1963</t>
  </si>
  <si>
    <t>La Jalousie / Alain Robbe-Grillet ; edited by Germaine Brée and Eric Schoenfeld.</t>
  </si>
  <si>
    <t>Robbe-Grillet, Alain, 1922-2008.</t>
  </si>
  <si>
    <t>New York : Macmillan, c1963.</t>
  </si>
  <si>
    <t>Macmillan modern French literature series</t>
  </si>
  <si>
    <t>2003-09-28</t>
  </si>
  <si>
    <t>120804387:fre</t>
  </si>
  <si>
    <t>7059078</t>
  </si>
  <si>
    <t>991005072729702656</t>
  </si>
  <si>
    <t>2263381050002656</t>
  </si>
  <si>
    <t>32285002069291</t>
  </si>
  <si>
    <t>893694710</t>
  </si>
  <si>
    <t>PQ2637.A274 P4513 1982</t>
  </si>
  <si>
    <t>0                      PQ 2637000A  274                P  4513        1982</t>
  </si>
  <si>
    <t>The dialectic of The little prince / Edward J. Capestany.</t>
  </si>
  <si>
    <t>Capestany, Edward J.</t>
  </si>
  <si>
    <t>2003-11-25</t>
  </si>
  <si>
    <t>483458:eng</t>
  </si>
  <si>
    <t>8052576</t>
  </si>
  <si>
    <t>991005198359702656</t>
  </si>
  <si>
    <t>2256310070002656</t>
  </si>
  <si>
    <t>9780819122131</t>
  </si>
  <si>
    <t>32285000604776</t>
  </si>
  <si>
    <t>893418535</t>
  </si>
  <si>
    <t>PQ2637.A274 P4613 1993</t>
  </si>
  <si>
    <t>0                      PQ 2637000A  274                P  4613        1993</t>
  </si>
  <si>
    <t>Discovering the royal child within : a spiritual psychology of "The little prince" / Eugen Drewermann ; translated by Peter Heinegg.</t>
  </si>
  <si>
    <t>Drewermann, Eugen.</t>
  </si>
  <si>
    <t>New York : Crossroad, c1993.</t>
  </si>
  <si>
    <t>1999-12-02</t>
  </si>
  <si>
    <t>3901514321:eng</t>
  </si>
  <si>
    <t>27265888</t>
  </si>
  <si>
    <t>991002128699702656</t>
  </si>
  <si>
    <t>2269672840002656</t>
  </si>
  <si>
    <t>9780824512675</t>
  </si>
  <si>
    <t>32285003627501</t>
  </si>
  <si>
    <t>893510328</t>
  </si>
  <si>
    <t>PQ2637.A274 Z63</t>
  </si>
  <si>
    <t>0                      PQ 2637000A  274                Z  63</t>
  </si>
  <si>
    <t>Saint-Exupéry in America, 1942-1943; a memoir / Adèle Breaux.</t>
  </si>
  <si>
    <t>Breaux, Adèle.</t>
  </si>
  <si>
    <t>Rutherford [N.J.] : Fairleigh Dickinson University Press, 1971.</t>
  </si>
  <si>
    <t>146999485:eng</t>
  </si>
  <si>
    <t>164146</t>
  </si>
  <si>
    <t>991000934909702656</t>
  </si>
  <si>
    <t>2271912880002656</t>
  </si>
  <si>
    <t>9780838676103</t>
  </si>
  <si>
    <t>32285000604784</t>
  </si>
  <si>
    <t>893872148</t>
  </si>
  <si>
    <t>PQ2637.A274 Z6355 1990</t>
  </si>
  <si>
    <t>0                      PQ 2637000A  274                Z  6355        1990</t>
  </si>
  <si>
    <t>Antoine de Saint-Exupéry / Curtis Cate.</t>
  </si>
  <si>
    <t>New York : Paragon House, 1990.</t>
  </si>
  <si>
    <t>1st Paperback ed.</t>
  </si>
  <si>
    <t>1990-09-04</t>
  </si>
  <si>
    <t>290076231:eng</t>
  </si>
  <si>
    <t>20595115</t>
  </si>
  <si>
    <t>991001593589702656</t>
  </si>
  <si>
    <t>2270475420002656</t>
  </si>
  <si>
    <t>9781557782915</t>
  </si>
  <si>
    <t>32285000276039</t>
  </si>
  <si>
    <t>893803697</t>
  </si>
  <si>
    <t>PQ2637.A274 Z829 1994</t>
  </si>
  <si>
    <t>0                      PQ 2637000A  274                Z  829         1994</t>
  </si>
  <si>
    <t>Saint-Exupéry : a biography / by Stacy Schiff.</t>
  </si>
  <si>
    <t>Schiff, Stacy.</t>
  </si>
  <si>
    <t>New York : A.A. Knopf : Distributed by Random House, 1994.</t>
  </si>
  <si>
    <t>1995-01-14</t>
  </si>
  <si>
    <t>3768693975:eng</t>
  </si>
  <si>
    <t>29844190</t>
  </si>
  <si>
    <t>991002299109702656</t>
  </si>
  <si>
    <t>2264951690002656</t>
  </si>
  <si>
    <t>9780679403104</t>
  </si>
  <si>
    <t>32285001992535</t>
  </si>
  <si>
    <t>893408939</t>
  </si>
  <si>
    <t>PQ2637.A362 E25 1957</t>
  </si>
  <si>
    <t>0                      PQ 2637000A  362                E  25          1957</t>
  </si>
  <si>
    <t>Les écrivains : Roman / Michel de Saint Pierre</t>
  </si>
  <si>
    <t>Saint Pierre, Michel de, 1916-1987.</t>
  </si>
  <si>
    <t>Paris : Calmann-Levy, c1957</t>
  </si>
  <si>
    <t>Le Livre de poche ; 528</t>
  </si>
  <si>
    <t>351351122:fre</t>
  </si>
  <si>
    <t>8737227</t>
  </si>
  <si>
    <t>991003344239702656</t>
  </si>
  <si>
    <t>2256213100002656</t>
  </si>
  <si>
    <t>32285004267570</t>
  </si>
  <si>
    <t>893799629</t>
  </si>
  <si>
    <t>PQ2637.A82 Z56413 1984</t>
  </si>
  <si>
    <t>0                      PQ 2637000A  82                 Z  56413       1984</t>
  </si>
  <si>
    <t>Adieux : a farewell to Sartre / Simone de Beauvoir ; translated by Patrick O'Brian.</t>
  </si>
  <si>
    <t>Beauvoir, Simone de, 1908-1986.</t>
  </si>
  <si>
    <t>New York : Pantheon Books, c1984.</t>
  </si>
  <si>
    <t>1996-09-21</t>
  </si>
  <si>
    <t>1991-05-15</t>
  </si>
  <si>
    <t>4071142813:eng</t>
  </si>
  <si>
    <t>9919754</t>
  </si>
  <si>
    <t>991000283049702656</t>
  </si>
  <si>
    <t>2268124360002656</t>
  </si>
  <si>
    <t>9780394530352</t>
  </si>
  <si>
    <t>32285000595511</t>
  </si>
  <si>
    <t>893784111</t>
  </si>
  <si>
    <t>PQ2637.A82 Z597</t>
  </si>
  <si>
    <t>0                      PQ 2637000A  82                 Z  597</t>
  </si>
  <si>
    <t>Sartre as biographer / Douglas Collins.</t>
  </si>
  <si>
    <t>Collins, Douglas, 1945-</t>
  </si>
  <si>
    <t>Cambridge, Mass. : Harvard University Press, 1980.</t>
  </si>
  <si>
    <t>1992-11-11</t>
  </si>
  <si>
    <t>117961615:eng</t>
  </si>
  <si>
    <t>5751283</t>
  </si>
  <si>
    <t>991004870529702656</t>
  </si>
  <si>
    <t>2270138120002656</t>
  </si>
  <si>
    <t>9780674789500</t>
  </si>
  <si>
    <t>32285000595529</t>
  </si>
  <si>
    <t>893260286</t>
  </si>
  <si>
    <t>PQ2637.A82 Z634 1988</t>
  </si>
  <si>
    <t>0                      PQ 2637000A  82                 Z  634         1988</t>
  </si>
  <si>
    <t>Critical essays on Jean-Paul Sartre / [edited by] Robert Wilcocks.</t>
  </si>
  <si>
    <t>Boston, Mass. : G.K. Hall &amp; Co., c1988.</t>
  </si>
  <si>
    <t>Critical essays on world literature</t>
  </si>
  <si>
    <t>2002-11-26</t>
  </si>
  <si>
    <t>13114869:eng</t>
  </si>
  <si>
    <t>16802442</t>
  </si>
  <si>
    <t>991001149239702656</t>
  </si>
  <si>
    <t>2270657410002656</t>
  </si>
  <si>
    <t>9780816188390</t>
  </si>
  <si>
    <t>32285000595552</t>
  </si>
  <si>
    <t>893878658</t>
  </si>
  <si>
    <t>PQ2637.A82 Z647 1987</t>
  </si>
  <si>
    <t>0                      PQ 2637000A  82                 Z  647         1987</t>
  </si>
  <si>
    <t>Sartre and 'Les Temps modernes' / Howard Davies.</t>
  </si>
  <si>
    <t>Davies, Howard, 1944-</t>
  </si>
  <si>
    <t>Cambridge [Cambridgeshire] ; New York : Cambridge University Press, 1987.</t>
  </si>
  <si>
    <t>117891672:eng</t>
  </si>
  <si>
    <t>14165605</t>
  </si>
  <si>
    <t>991000914129702656</t>
  </si>
  <si>
    <t>2270254010002656</t>
  </si>
  <si>
    <t>9780521325530</t>
  </si>
  <si>
    <t>32285000595560</t>
  </si>
  <si>
    <t>893315350</t>
  </si>
  <si>
    <t>PQ2637.A82 Z725</t>
  </si>
  <si>
    <t>0                      PQ 2637000A  82                 Z  725</t>
  </si>
  <si>
    <t>Critical fictions : the literary criticism of Jean-Paul Sartre / Joseph Halpern.</t>
  </si>
  <si>
    <t>Halpern, Joseph.</t>
  </si>
  <si>
    <t>New Haven : Yale University Press, 1976.</t>
  </si>
  <si>
    <t>Yale Romanic studies ; 2d ser., 26</t>
  </si>
  <si>
    <t>1992-04-22</t>
  </si>
  <si>
    <t>865031889:eng</t>
  </si>
  <si>
    <t>2064310</t>
  </si>
  <si>
    <t>991003997079702656</t>
  </si>
  <si>
    <t>2263277570002656</t>
  </si>
  <si>
    <t>9780300019438</t>
  </si>
  <si>
    <t>32285000397124</t>
  </si>
  <si>
    <t>893900661</t>
  </si>
  <si>
    <t>PQ2637.A82 Z76</t>
  </si>
  <si>
    <t>0                      PQ 2637000A  82                 Z  76</t>
  </si>
  <si>
    <t>Sartre : a collection of critical essays.</t>
  </si>
  <si>
    <t>Kern, Edith, 1912-2005, editor.</t>
  </si>
  <si>
    <t>A Spectrum book, S-TC-21.</t>
  </si>
  <si>
    <t>1995-04-08</t>
  </si>
  <si>
    <t>1992-01-30</t>
  </si>
  <si>
    <t>3769132712:eng</t>
  </si>
  <si>
    <t>177815</t>
  </si>
  <si>
    <t>991001058299702656</t>
  </si>
  <si>
    <t>2266367210002656</t>
  </si>
  <si>
    <t>32285000931088</t>
  </si>
  <si>
    <t>893407791</t>
  </si>
  <si>
    <t>PQ2637.A82 Z785 1974</t>
  </si>
  <si>
    <t>0                      PQ 2637000A  82                 Z  785         1974</t>
  </si>
  <si>
    <t>Sartre : a study.</t>
  </si>
  <si>
    <t>Masters, Brian.</t>
  </si>
  <si>
    <t>London : Heinemann ; Totowa, N.J. : Rowman and Littlefield, [1974, c1970]</t>
  </si>
  <si>
    <t>1997-12-10</t>
  </si>
  <si>
    <t>5061556277:eng</t>
  </si>
  <si>
    <t>1032570</t>
  </si>
  <si>
    <t>991003485419702656</t>
  </si>
  <si>
    <t>2268038780002656</t>
  </si>
  <si>
    <t>9780874714968</t>
  </si>
  <si>
    <t>32285000397132</t>
  </si>
  <si>
    <t>893881207</t>
  </si>
  <si>
    <t>PQ2637.A82 Z834188 1991</t>
  </si>
  <si>
    <t>0                      PQ 2637000A  82                 Z  834188      1991</t>
  </si>
  <si>
    <t>Sartre alive / edited by Ronald Aronson and Adrian van den Hoven.</t>
  </si>
  <si>
    <t>Detroit : Wayne State University Press, c1991.</t>
  </si>
  <si>
    <t>2004-09-18</t>
  </si>
  <si>
    <t>355654149:eng</t>
  </si>
  <si>
    <t>21561274</t>
  </si>
  <si>
    <t>991001705249702656</t>
  </si>
  <si>
    <t>2265059420002656</t>
  </si>
  <si>
    <t>9780814321775</t>
  </si>
  <si>
    <t>32285000819291</t>
  </si>
  <si>
    <t>893315979</t>
  </si>
  <si>
    <t>PQ2637.A82 Z84</t>
  </si>
  <si>
    <t>0                      PQ 2637000A  82                 Z  84</t>
  </si>
  <si>
    <t>Jean-Paul Sartre : the philosopher as a literary critic.</t>
  </si>
  <si>
    <t>Suhl, Benjamin.</t>
  </si>
  <si>
    <t>New York : Columbia University Press, 1970.</t>
  </si>
  <si>
    <t>1990-11-30</t>
  </si>
  <si>
    <t>1330006:eng</t>
  </si>
  <si>
    <t>98658</t>
  </si>
  <si>
    <t>991000604569702656</t>
  </si>
  <si>
    <t>2272004460002656</t>
  </si>
  <si>
    <t>9780231033381</t>
  </si>
  <si>
    <t>32285000411180</t>
  </si>
  <si>
    <t>893796815</t>
  </si>
  <si>
    <t>PQ2637.A82 Z85</t>
  </si>
  <si>
    <t>0                      PQ 2637000A  82                 Z  85</t>
  </si>
  <si>
    <t>Jean-Paul Sartre, a literary and political study.</t>
  </si>
  <si>
    <t>Thody, Philip, 1928-1999.</t>
  </si>
  <si>
    <t>London, H. Hamilton [1960]</t>
  </si>
  <si>
    <t>1302399:eng</t>
  </si>
  <si>
    <t>173105</t>
  </si>
  <si>
    <t>991001007769702656</t>
  </si>
  <si>
    <t>2268371930002656</t>
  </si>
  <si>
    <t>32285002796729</t>
  </si>
  <si>
    <t>893621000</t>
  </si>
  <si>
    <t>PQ2639.H368 Z5</t>
  </si>
  <si>
    <t>0                      PQ 2639000H  368                Z  5</t>
  </si>
  <si>
    <t>Révolutionnaires sans révolution.</t>
  </si>
  <si>
    <t>Thirion, André, 1907-2001.</t>
  </si>
  <si>
    <t>Paris, R. Laffont [1972]</t>
  </si>
  <si>
    <t>1559446:fre</t>
  </si>
  <si>
    <t>536766</t>
  </si>
  <si>
    <t>991002945939702656</t>
  </si>
  <si>
    <t>2260779390002656</t>
  </si>
  <si>
    <t>32285002796794</t>
  </si>
  <si>
    <t>893498755</t>
  </si>
  <si>
    <t>PQ2645.I5 A24 1994</t>
  </si>
  <si>
    <t>0                      PQ 2645000I  5                  A  24          1994</t>
  </si>
  <si>
    <t>Paul Willems' the drowned land ; and, La vita breve / translated by Donald Flanell Friedman and Suzanne Burgoyne.</t>
  </si>
  <si>
    <t>Willems, Paul.</t>
  </si>
  <si>
    <t>New York : Peter Lang, c1994.</t>
  </si>
  <si>
    <t>Belgian francophone library ; vol. 1</t>
  </si>
  <si>
    <t>1997-03-01</t>
  </si>
  <si>
    <t>1996-02-13</t>
  </si>
  <si>
    <t>31558813:eng</t>
  </si>
  <si>
    <t>29428495</t>
  </si>
  <si>
    <t>991002267839702656</t>
  </si>
  <si>
    <t>2269877120002656</t>
  </si>
  <si>
    <t>9780820424194</t>
  </si>
  <si>
    <t>32285002129558</t>
  </si>
  <si>
    <t>893867000</t>
  </si>
  <si>
    <t>PQ265 .B357 1994</t>
  </si>
  <si>
    <t>0                      PQ 0265000B  357         1994</t>
  </si>
  <si>
    <t>Lumières et modernité : de Malebranche a Baudelaire / Annie Becq</t>
  </si>
  <si>
    <t>Becq, Annie.</t>
  </si>
  <si>
    <t>Orleans ; Caen : Paradigme, 1994.</t>
  </si>
  <si>
    <t>Collection Varia</t>
  </si>
  <si>
    <t>32433982:fre</t>
  </si>
  <si>
    <t>30523322</t>
  </si>
  <si>
    <t>991002344859702656</t>
  </si>
  <si>
    <t>2256626900002656</t>
  </si>
  <si>
    <t>9782868781024</t>
  </si>
  <si>
    <t>32285002172145</t>
  </si>
  <si>
    <t>893779700</t>
  </si>
  <si>
    <t>PQ2661.J3 V5</t>
  </si>
  <si>
    <t>0                      PQ 2661000J  3                  V  5</t>
  </si>
  <si>
    <t>La vie devant soi : roman / Émile Ajar.</t>
  </si>
  <si>
    <t>Gary, Romain.</t>
  </si>
  <si>
    <t>[Paris] : Mercure de France, 1975.</t>
  </si>
  <si>
    <t>1082282400:fre</t>
  </si>
  <si>
    <t>1991588</t>
  </si>
  <si>
    <t>991003969799702656</t>
  </si>
  <si>
    <t>2263905800002656</t>
  </si>
  <si>
    <t>32285000595768</t>
  </si>
  <si>
    <t>893810289</t>
  </si>
  <si>
    <t>PQ2662.O54 E8</t>
  </si>
  <si>
    <t>0                      PQ 2662000O  54                 E  8</t>
  </si>
  <si>
    <t>L'esprit de famille : roman / Janine Boissard.</t>
  </si>
  <si>
    <t>Boissard, Janine.</t>
  </si>
  <si>
    <t>[Paris] : Fayard, c1977.</t>
  </si>
  <si>
    <t>2003-07-26</t>
  </si>
  <si>
    <t>447161:fre</t>
  </si>
  <si>
    <t>3759111</t>
  </si>
  <si>
    <t>991004510299702656</t>
  </si>
  <si>
    <t>2272677340002656</t>
  </si>
  <si>
    <t>9782213005003</t>
  </si>
  <si>
    <t>32285000595040</t>
  </si>
  <si>
    <t>893506941</t>
  </si>
  <si>
    <t>PQ2662.U7 G74</t>
  </si>
  <si>
    <t>0                      PQ 2662000U  7                  G  74</t>
  </si>
  <si>
    <t>Grand-mère / Frantz-André Burguet.</t>
  </si>
  <si>
    <t>Burguet, Frantz-André, 1938-2011.</t>
  </si>
  <si>
    <t>Paris : B.-Grasset, c1975.</t>
  </si>
  <si>
    <t>2003-09-06</t>
  </si>
  <si>
    <t>2621085:fre</t>
  </si>
  <si>
    <t>1907634</t>
  </si>
  <si>
    <t>991003934119702656</t>
  </si>
  <si>
    <t>2267079630002656</t>
  </si>
  <si>
    <t>9782246002413</t>
  </si>
  <si>
    <t>32285002797099</t>
  </si>
  <si>
    <t>893349404</t>
  </si>
  <si>
    <t>PQ2664.O6828 L5</t>
  </si>
  <si>
    <t>0                      PQ 2664000O  6828               L  5</t>
  </si>
  <si>
    <t>Les lits a ̀une place / Franc̜oise Dorin.</t>
  </si>
  <si>
    <t>Dorin, Françoise.</t>
  </si>
  <si>
    <t>Paris : Flammarion, 1980.</t>
  </si>
  <si>
    <t>43474145:fre</t>
  </si>
  <si>
    <t>6637602</t>
  </si>
  <si>
    <t>991005018569702656</t>
  </si>
  <si>
    <t>2266111880002656</t>
  </si>
  <si>
    <t>9782080642721</t>
  </si>
  <si>
    <t>32285000595933</t>
  </si>
  <si>
    <t>893260443</t>
  </si>
  <si>
    <t>PQ2667.U4636 D4</t>
  </si>
  <si>
    <t>0                      PQ 2667000U  4636               D  4</t>
  </si>
  <si>
    <t>Démone en Lituanie : roman. --</t>
  </si>
  <si>
    <t>Guigonnat, Henri.</t>
  </si>
  <si>
    <t>Paris : Flammarion, [1973]</t>
  </si>
  <si>
    <t>3937663:fre</t>
  </si>
  <si>
    <t>2317314</t>
  </si>
  <si>
    <t>991004074979702656</t>
  </si>
  <si>
    <t>2261894230002656</t>
  </si>
  <si>
    <t>32285000596048</t>
  </si>
  <si>
    <t>893525628</t>
  </si>
  <si>
    <t>PQ2679.E679 A2 1982</t>
  </si>
  <si>
    <t>0                      PQ 2679000E  679                A  2           1982</t>
  </si>
  <si>
    <t>Hermes--literature, science, philosophy / by Michel Serres ; edited by Josué V. Harari and David F. Bell.</t>
  </si>
  <si>
    <t>Serres, Michel.</t>
  </si>
  <si>
    <t>Baltimore : Johns Hopkins University Press, c1982.</t>
  </si>
  <si>
    <t>1997-04-30</t>
  </si>
  <si>
    <t>3943550734:eng</t>
  </si>
  <si>
    <t>7737735</t>
  </si>
  <si>
    <t>991005154219702656</t>
  </si>
  <si>
    <t>2259785520002656</t>
  </si>
  <si>
    <t>9780801824548</t>
  </si>
  <si>
    <t>32285000802487</t>
  </si>
  <si>
    <t>893694831</t>
  </si>
  <si>
    <t>PQ2679.I53 M6</t>
  </si>
  <si>
    <t>0                      PQ 2679000I  53                 M  6</t>
  </si>
  <si>
    <t>La mort viennoise : roman / Christiane Singer.</t>
  </si>
  <si>
    <t>Singer, Christiane, 1943-</t>
  </si>
  <si>
    <t>Paris : Albin Michel, 1978.</t>
  </si>
  <si>
    <t>1997-07-25</t>
  </si>
  <si>
    <t>1991-05-17</t>
  </si>
  <si>
    <t>365339345:fre</t>
  </si>
  <si>
    <t>5171975</t>
  </si>
  <si>
    <t>991004755819702656</t>
  </si>
  <si>
    <t>2254935800002656</t>
  </si>
  <si>
    <t>9782226006769</t>
  </si>
  <si>
    <t>32285000596782</t>
  </si>
  <si>
    <t>893694284</t>
  </si>
  <si>
    <t>PQ2680.R776 A73 1976</t>
  </si>
  <si>
    <t>0                      PQ 2680000R  776                A  73          1976</t>
  </si>
  <si>
    <t>Small change : a film novel / François Truffaut ; translated by Anselm Hollo.</t>
  </si>
  <si>
    <t>Truffaut, François.</t>
  </si>
  <si>
    <t>New York : Grove Press : distributed by Random House, 1976.</t>
  </si>
  <si>
    <t>1st Black cat ed.</t>
  </si>
  <si>
    <t>A Black cat book ; B-399</t>
  </si>
  <si>
    <t>2003-09-10</t>
  </si>
  <si>
    <t>3901434589:eng</t>
  </si>
  <si>
    <t>2882926</t>
  </si>
  <si>
    <t>991004120019702656</t>
  </si>
  <si>
    <t>2257053890002656</t>
  </si>
  <si>
    <t>9780394179216</t>
  </si>
  <si>
    <t>32285004781968</t>
  </si>
  <si>
    <t>893241039</t>
  </si>
  <si>
    <t>PQ2683.I32 Z459 1974</t>
  </si>
  <si>
    <t>0                      PQ 2683000I  32                 Z  459         1974</t>
  </si>
  <si>
    <t>Elie Wiesel : a bibliography.</t>
  </si>
  <si>
    <t>Abramowitz, Molly, 1936-</t>
  </si>
  <si>
    <t>Metuchen, N.J. : Scarecrow Press, 1974.</t>
  </si>
  <si>
    <t>The Scarecrow author bibliographies, no. 22</t>
  </si>
  <si>
    <t>2000-09-10</t>
  </si>
  <si>
    <t>1992-10-16</t>
  </si>
  <si>
    <t>468854:eng</t>
  </si>
  <si>
    <t>1031311</t>
  </si>
  <si>
    <t>991003483999702656</t>
  </si>
  <si>
    <t>2265447450002656</t>
  </si>
  <si>
    <t>9780810807310</t>
  </si>
  <si>
    <t>32285001350445</t>
  </si>
  <si>
    <t>893705265</t>
  </si>
  <si>
    <t>PQ281 .G55</t>
  </si>
  <si>
    <t>0                      PQ 0281000G  55</t>
  </si>
  <si>
    <t>Le Roman en France pendant le IXXe [i.e. dixneuvième] siècle / par Eugène Gilbert.</t>
  </si>
  <si>
    <t>Gilbert, Eugène.</t>
  </si>
  <si>
    <t>Paris : E. Plon, 1896.</t>
  </si>
  <si>
    <t>1896</t>
  </si>
  <si>
    <t>348664893:fre</t>
  </si>
  <si>
    <t>5187405</t>
  </si>
  <si>
    <t>991004796139702656</t>
  </si>
  <si>
    <t>2259268110002656</t>
  </si>
  <si>
    <t>32285001250918</t>
  </si>
  <si>
    <t>893350389</t>
  </si>
  <si>
    <t>PQ281 .P72 1990</t>
  </si>
  <si>
    <t>0                      PQ 0281000P  72          1990</t>
  </si>
  <si>
    <t>Précis de littérature française du XIXe siècle / sous la direction de Madeleine Ambrière.</t>
  </si>
  <si>
    <t>Paris : Presses universitaires de France, c1990.</t>
  </si>
  <si>
    <t>1re éd.</t>
  </si>
  <si>
    <t>23126818:fre</t>
  </si>
  <si>
    <t>21469293</t>
  </si>
  <si>
    <t>991001694159702656</t>
  </si>
  <si>
    <t>2255090800002656</t>
  </si>
  <si>
    <t>9782130427490</t>
  </si>
  <si>
    <t>32285002048196</t>
  </si>
  <si>
    <t>893872727</t>
  </si>
  <si>
    <t>PQ282 .L26 1988</t>
  </si>
  <si>
    <t>0                      PQ 0282000L  26          1988</t>
  </si>
  <si>
    <t>Irony/humor : critical paradigms / Candace D. Lang.</t>
  </si>
  <si>
    <t>Lang, Candace D., 1950-</t>
  </si>
  <si>
    <t>Baltimore : Johns Hopkins University Press, c1988.</t>
  </si>
  <si>
    <t>2000-08-30</t>
  </si>
  <si>
    <t>253236369:eng</t>
  </si>
  <si>
    <t>15791331</t>
  </si>
  <si>
    <t>991001062659702656</t>
  </si>
  <si>
    <t>2259632370002656</t>
  </si>
  <si>
    <t>9780801835285</t>
  </si>
  <si>
    <t>32285001250926</t>
  </si>
  <si>
    <t>893878588</t>
  </si>
  <si>
    <t>PQ283 .F67 1988</t>
  </si>
  <si>
    <t>0                      PQ 0283000F  67          1988</t>
  </si>
  <si>
    <t>Les écrivains français et la mode : de Balzac à nos jours / Rose Fortassier.</t>
  </si>
  <si>
    <t>Fortassier, Rose.</t>
  </si>
  <si>
    <t>Paris : PUF, c1988.</t>
  </si>
  <si>
    <t>1999-01-12</t>
  </si>
  <si>
    <t>1995-06-01</t>
  </si>
  <si>
    <t>809041459:fre</t>
  </si>
  <si>
    <t>20491070</t>
  </si>
  <si>
    <t>991001581859702656</t>
  </si>
  <si>
    <t>2267337980002656</t>
  </si>
  <si>
    <t>9782130414797</t>
  </si>
  <si>
    <t>32285002049566</t>
  </si>
  <si>
    <t>893872614</t>
  </si>
  <si>
    <t>PQ305 .A98 1993</t>
  </si>
  <si>
    <t>0                      PQ 0305000A  98          1993</t>
  </si>
  <si>
    <t>Le XXe siècle : littérature française / Michel Autrand.</t>
  </si>
  <si>
    <t>Autrand, Michel.</t>
  </si>
  <si>
    <t>Nancy : Presses universitaires de Nancy, c1993.</t>
  </si>
  <si>
    <t>Collection Phares</t>
  </si>
  <si>
    <t>2003-10-31</t>
  </si>
  <si>
    <t>1995-08-21</t>
  </si>
  <si>
    <t>315347333:fre</t>
  </si>
  <si>
    <t>31609834</t>
  </si>
  <si>
    <t>991002427049702656</t>
  </si>
  <si>
    <t>2267812700002656</t>
  </si>
  <si>
    <t>9782864806455</t>
  </si>
  <si>
    <t>32285002077898</t>
  </si>
  <si>
    <t>893316796</t>
  </si>
  <si>
    <t>PQ305 .B64 1983</t>
  </si>
  <si>
    <t>0                      PQ 0305000B  64          1983</t>
  </si>
  <si>
    <t>Twentieth-century French literature / Germaine Brée ; translated by Louise Guiney.</t>
  </si>
  <si>
    <t>Chicago : University of Chicago Press, c1983.</t>
  </si>
  <si>
    <t>4495006657:eng</t>
  </si>
  <si>
    <t>8763158</t>
  </si>
  <si>
    <t>991000064959702656</t>
  </si>
  <si>
    <t>2266582470002656</t>
  </si>
  <si>
    <t>9780226071954</t>
  </si>
  <si>
    <t>32285001250991</t>
  </si>
  <si>
    <t>893345347</t>
  </si>
  <si>
    <t>PQ305 .G78 1997</t>
  </si>
  <si>
    <t>0                      PQ 0305000G  78          1997</t>
  </si>
  <si>
    <t>Literary polemics : Bataille, Sartre, Valéry, Breton / Suzanne Guerlac.</t>
  </si>
  <si>
    <t>Guerlac, Suzanne, 1950-</t>
  </si>
  <si>
    <t>Stanford, Calif. : Stanford University Press, 1997.</t>
  </si>
  <si>
    <t>1997</t>
  </si>
  <si>
    <t>2002-06-19</t>
  </si>
  <si>
    <t>2002-06-05</t>
  </si>
  <si>
    <t>793829828:eng</t>
  </si>
  <si>
    <t>35174743</t>
  </si>
  <si>
    <t>991003790379702656</t>
  </si>
  <si>
    <t>2271751260002656</t>
  </si>
  <si>
    <t>9780804727150</t>
  </si>
  <si>
    <t>32285004491170</t>
  </si>
  <si>
    <t>893234599</t>
  </si>
  <si>
    <t>PQ305 .R6 1980</t>
  </si>
  <si>
    <t>0                      PQ 0305000R  6           1980</t>
  </si>
  <si>
    <t>French literature in the twentieth century / Christopher Robinson.</t>
  </si>
  <si>
    <t>Robinson, Christopher.</t>
  </si>
  <si>
    <t>Newton Abbot, Devon : David &amp; Charles ; Totowa, N.J. : Barnes &amp; Noble, c1980.</t>
  </si>
  <si>
    <t>Comparative literature</t>
  </si>
  <si>
    <t>2003-02-13</t>
  </si>
  <si>
    <t>288044982:eng</t>
  </si>
  <si>
    <t>7088606</t>
  </si>
  <si>
    <t>991003995869702656</t>
  </si>
  <si>
    <t>2271122970002656</t>
  </si>
  <si>
    <t>9780389201212</t>
  </si>
  <si>
    <t>32285004698733</t>
  </si>
  <si>
    <t>893343339</t>
  </si>
  <si>
    <t>PQ307.P66 F57 1991</t>
  </si>
  <si>
    <t>0                      PQ 0307000P  66                 F  57          1991</t>
  </si>
  <si>
    <t>The purloined punch line : Freud's comic theory and the postmodern text / Jerry Aline Flieger.</t>
  </si>
  <si>
    <t>Flieger, Jerry Aline, 1947-</t>
  </si>
  <si>
    <t>Baltimore : Johns Hopkins University Press, c1991.</t>
  </si>
  <si>
    <t>2001-04-23</t>
  </si>
  <si>
    <t>889697425:eng</t>
  </si>
  <si>
    <t>21409835</t>
  </si>
  <si>
    <t>991001688029702656</t>
  </si>
  <si>
    <t>2272124570002656</t>
  </si>
  <si>
    <t>9780801840487</t>
  </si>
  <si>
    <t>32285000464973</t>
  </si>
  <si>
    <t>893503596</t>
  </si>
  <si>
    <t>PQ3897 .L313 1974</t>
  </si>
  <si>
    <t>0                      PQ 3897000L  313         1974</t>
  </si>
  <si>
    <t>Black writers in French : a literary history of negritude / Lilyan Kesteloot ; translated by Ellen Conroy Kennedy.</t>
  </si>
  <si>
    <t>Kesteloot, Lilyan.</t>
  </si>
  <si>
    <t>Philadelphia : Temple University Press, 1974.</t>
  </si>
  <si>
    <t>2003-02-02</t>
  </si>
  <si>
    <t>1997-06-17</t>
  </si>
  <si>
    <t>3901008602:eng</t>
  </si>
  <si>
    <t>1028829</t>
  </si>
  <si>
    <t>991003481119702656</t>
  </si>
  <si>
    <t>2254971330002656</t>
  </si>
  <si>
    <t>9780877220565</t>
  </si>
  <si>
    <t>32285002797438</t>
  </si>
  <si>
    <t>893531218</t>
  </si>
  <si>
    <t>PQ3939.B3 Z7 2002</t>
  </si>
  <si>
    <t>0                      PQ 3939000B  3                  Z  7           2002</t>
  </si>
  <si>
    <t>Wild heart, a life : Natalie Clifford Barney's journey from Victorian America to Belle Époque Paris / Suzanne Rodriguez.</t>
  </si>
  <si>
    <t>Rodriguez, Suzanne, 1946-</t>
  </si>
  <si>
    <t>New York : Ecco, c2002.</t>
  </si>
  <si>
    <t>2002-10-28</t>
  </si>
  <si>
    <t>290656328:eng</t>
  </si>
  <si>
    <t>52799534</t>
  </si>
  <si>
    <t>991003918819702656</t>
  </si>
  <si>
    <t>2269135260002656</t>
  </si>
  <si>
    <t>9780066213651</t>
  </si>
  <si>
    <t>32285004657234</t>
  </si>
  <si>
    <t>893263015</t>
  </si>
  <si>
    <t>PQ3980 .P3 1979</t>
  </si>
  <si>
    <t>0                      PQ 3980000P  3           1979</t>
  </si>
  <si>
    <t>Littérature négro-africaine d'expression française : le mouvement littéraire contemporain dans l'Afrique Noire / Robert Pageard.</t>
  </si>
  <si>
    <t>Pageard, Robert.</t>
  </si>
  <si>
    <t>Paris : L'École, 1979.</t>
  </si>
  <si>
    <t>4e éd. rev. et augm.</t>
  </si>
  <si>
    <t>2000-08-28</t>
  </si>
  <si>
    <t>1998-06-09</t>
  </si>
  <si>
    <t>1643717:fre</t>
  </si>
  <si>
    <t>7570651</t>
  </si>
  <si>
    <t>991005130169702656</t>
  </si>
  <si>
    <t>2270704250002656</t>
  </si>
  <si>
    <t>9782211915021</t>
  </si>
  <si>
    <t>32285003414108</t>
  </si>
  <si>
    <t>893600665</t>
  </si>
  <si>
    <t>PQ3984 .B7</t>
  </si>
  <si>
    <t>0                      PQ 3984000B  7</t>
  </si>
  <si>
    <t>The novelists' inheritance in French Africa: writers from Senegal to Cameroon [by] A. C. Brench.</t>
  </si>
  <si>
    <t>Brench, A. C. (Anthony Cecil)</t>
  </si>
  <si>
    <t>London, Nairobi [etc.] Oxford U.P., 1967.</t>
  </si>
  <si>
    <t>A Three crowns book</t>
  </si>
  <si>
    <t>1997-07-29</t>
  </si>
  <si>
    <t>1503646:eng</t>
  </si>
  <si>
    <t>462288</t>
  </si>
  <si>
    <t>991002817609702656</t>
  </si>
  <si>
    <t>2261570740002656</t>
  </si>
  <si>
    <t>32285002797602</t>
  </si>
  <si>
    <t>893780254</t>
  </si>
  <si>
    <t>PQ3985 .G54 1997</t>
  </si>
  <si>
    <t>0                      PQ 3985000G  54          1997</t>
  </si>
  <si>
    <t>Ecrivains noirs d'Afrique et des Antilles / Ronald Gérard Giguère.</t>
  </si>
  <si>
    <t>Giguère, Ronald Gérard.</t>
  </si>
  <si>
    <t>New York : P. Lang, c1997.</t>
  </si>
  <si>
    <t>American university studies. Series XVIII, African literature ; v. 2</t>
  </si>
  <si>
    <t>1998-06-29</t>
  </si>
  <si>
    <t>21547772:fre</t>
  </si>
  <si>
    <t>19627182</t>
  </si>
  <si>
    <t>991005410819702656</t>
  </si>
  <si>
    <t>2266212400002656</t>
  </si>
  <si>
    <t>9780820409900</t>
  </si>
  <si>
    <t>32285003424180</t>
  </si>
  <si>
    <t>893521153</t>
  </si>
  <si>
    <t>PQ3988.5.N6 O75 1999</t>
  </si>
  <si>
    <t>0                      PQ 3988500N  6                  O  75          1999</t>
  </si>
  <si>
    <t>Nomadic voices of exile : feminine identity in francophone literature of the Maghreb / Valérie Orlando.</t>
  </si>
  <si>
    <t>Orlando, Valérie, 1963-</t>
  </si>
  <si>
    <t>Athens : Ohio University Press, c1999.</t>
  </si>
  <si>
    <t>ohu</t>
  </si>
  <si>
    <t>138855236:eng</t>
  </si>
  <si>
    <t>40218700</t>
  </si>
  <si>
    <t>991004272829702656</t>
  </si>
  <si>
    <t>2271621450002656</t>
  </si>
  <si>
    <t>9780821412626</t>
  </si>
  <si>
    <t>32285004898630</t>
  </si>
  <si>
    <t>893882273</t>
  </si>
  <si>
    <t>PQ3989.2.D57 Z66 2001</t>
  </si>
  <si>
    <t>0                      PQ 3989200D  57                 Z  66          2001</t>
  </si>
  <si>
    <t>Recasting postcolonialism : women writing between worlds / Anne Donadey.</t>
  </si>
  <si>
    <t>Donadey, Anne.</t>
  </si>
  <si>
    <t>Portsmouth, N.H. : Heinemann, c2001.</t>
  </si>
  <si>
    <t>2001</t>
  </si>
  <si>
    <t>nhu</t>
  </si>
  <si>
    <t>Studies in African literature, 1351-5713</t>
  </si>
  <si>
    <t>837071648:eng</t>
  </si>
  <si>
    <t>44876946</t>
  </si>
  <si>
    <t>991004342829702656</t>
  </si>
  <si>
    <t>2255751300002656</t>
  </si>
  <si>
    <t>9780325070223</t>
  </si>
  <si>
    <t>32285004985510</t>
  </si>
  <si>
    <t>893411413</t>
  </si>
  <si>
    <t>PQ3989.C5 I56 1991</t>
  </si>
  <si>
    <t>0                      PQ 3989000C  5                  I  56          1991</t>
  </si>
  <si>
    <t>L'inspecteur Ali : roman / Driss Chraïbi.</t>
  </si>
  <si>
    <t>Chraïbi, Driss, 1926-2007.</t>
  </si>
  <si>
    <t>Paris : Denoël, c1991.</t>
  </si>
  <si>
    <t>1994-08-31</t>
  </si>
  <si>
    <t>1994-08-08</t>
  </si>
  <si>
    <t>33276520:fre</t>
  </si>
  <si>
    <t>24785396</t>
  </si>
  <si>
    <t>991001956439702656</t>
  </si>
  <si>
    <t>2266396220002656</t>
  </si>
  <si>
    <t>9782207238820</t>
  </si>
  <si>
    <t>32285001941649</t>
  </si>
  <si>
    <t>893885683</t>
  </si>
  <si>
    <t>PQ3989.S47 Z95 1990</t>
  </si>
  <si>
    <t>0                      PQ 3989000S  47                 Z  95          1990</t>
  </si>
  <si>
    <t>Black, French, and African : a life of Léopold Sédar Senghor / Janet G. Vaillant.</t>
  </si>
  <si>
    <t>Vaillant, Janet G.</t>
  </si>
  <si>
    <t>Cambridge, Mass. : Harvard University Press, 1990.</t>
  </si>
  <si>
    <t>1994-10-09</t>
  </si>
  <si>
    <t>1991-01-17</t>
  </si>
  <si>
    <t>22671965:eng</t>
  </si>
  <si>
    <t>20690705</t>
  </si>
  <si>
    <t>991001604549702656</t>
  </si>
  <si>
    <t>2257953800002656</t>
  </si>
  <si>
    <t>9780674076235</t>
  </si>
  <si>
    <t>32285000409143</t>
  </si>
  <si>
    <t>893322073</t>
  </si>
  <si>
    <t>PQ4027 .W4</t>
  </si>
  <si>
    <t>0                      PQ 4027000W  4</t>
  </si>
  <si>
    <t>A history of literary criticism in the Italian Renaissance.</t>
  </si>
  <si>
    <t>[Chicago] University of Chicago Press [1961]</t>
  </si>
  <si>
    <t>1487159:eng</t>
  </si>
  <si>
    <t>343862</t>
  </si>
  <si>
    <t>991002423509702656</t>
  </si>
  <si>
    <t>2264740470002656</t>
  </si>
  <si>
    <t>32285002797800</t>
  </si>
  <si>
    <t>893798569</t>
  </si>
  <si>
    <t>32285002797818</t>
  </si>
  <si>
    <t>893798570</t>
  </si>
  <si>
    <t>PQ4066 .V58 2000</t>
  </si>
  <si>
    <t>0                      PQ 4066000V  58          2000</t>
  </si>
  <si>
    <t>The chivalric epic in medieval Italy / Juliann Vitullo.</t>
  </si>
  <si>
    <t>Vitullo, Juliann M.</t>
  </si>
  <si>
    <t>Gainesville : University Press of Florida, c2000.</t>
  </si>
  <si>
    <t>flu</t>
  </si>
  <si>
    <t>2002-06-03</t>
  </si>
  <si>
    <t>34702622:eng</t>
  </si>
  <si>
    <t>44972210</t>
  </si>
  <si>
    <t>991003792019702656</t>
  </si>
  <si>
    <t>2270385940002656</t>
  </si>
  <si>
    <t>9780813018157</t>
  </si>
  <si>
    <t>32285004490834</t>
  </si>
  <si>
    <t>893693159</t>
  </si>
  <si>
    <t>PQ4085 .S28</t>
  </si>
  <si>
    <t>0                      PQ 4085000S  28</t>
  </si>
  <si>
    <t>La letteratura italiana nel secolo XIX.</t>
  </si>
  <si>
    <t>De Sanctis, Francesco, 1817-1883.</t>
  </si>
  <si>
    <t>Bari : Laterza, 1953.</t>
  </si>
  <si>
    <t>ita</t>
  </si>
  <si>
    <t xml:space="preserve">it </t>
  </si>
  <si>
    <t>Opere ; 6-8</t>
  </si>
  <si>
    <t>2005-04-12</t>
  </si>
  <si>
    <t>1998-01-07</t>
  </si>
  <si>
    <t>10792130711:ita</t>
  </si>
  <si>
    <t>1001370</t>
  </si>
  <si>
    <t>991003460279702656</t>
  </si>
  <si>
    <t>2259324950002656</t>
  </si>
  <si>
    <t>32285003307336</t>
  </si>
  <si>
    <t>893705237</t>
  </si>
  <si>
    <t>V.3</t>
  </si>
  <si>
    <t>32285003307344</t>
  </si>
  <si>
    <t>893717670</t>
  </si>
  <si>
    <t>32285003307328</t>
  </si>
  <si>
    <t>893711383</t>
  </si>
  <si>
    <t>PQ4088 .K57 2000</t>
  </si>
  <si>
    <t>0                      PQ 4088000K  57          2000</t>
  </si>
  <si>
    <t>Secret of the muses retold : classical influences on Italian authors of the twentieth century / John T. Kirby.</t>
  </si>
  <si>
    <t>Kirby, John T.</t>
  </si>
  <si>
    <t>Chicago : University of Chicago Press, 2000.</t>
  </si>
  <si>
    <t>2002-07-18</t>
  </si>
  <si>
    <t>2002-07-16</t>
  </si>
  <si>
    <t>340996537:eng</t>
  </si>
  <si>
    <t>43913115</t>
  </si>
  <si>
    <t>991003824369702656</t>
  </si>
  <si>
    <t>2263973870002656</t>
  </si>
  <si>
    <t>9780226437477</t>
  </si>
  <si>
    <t>32285004498225</t>
  </si>
  <si>
    <t>893775233</t>
  </si>
  <si>
    <t>PQ41 .B67</t>
  </si>
  <si>
    <t>0                      PQ 0041000B  67</t>
  </si>
  <si>
    <t>Dictionnaire des oeuvres et des thèmes de la littérature française.</t>
  </si>
  <si>
    <t>Bouty, Michel.</t>
  </si>
  <si>
    <t>[Paris, Hachette, 1972]</t>
  </si>
  <si>
    <t>Classiques Hachette</t>
  </si>
  <si>
    <t>1637392:fre</t>
  </si>
  <si>
    <t>807393</t>
  </si>
  <si>
    <t>991003285549702656</t>
  </si>
  <si>
    <t>2268641680002656</t>
  </si>
  <si>
    <t>32285002588183</t>
  </si>
  <si>
    <t>893698860</t>
  </si>
  <si>
    <t>PQ41 .F67 1993</t>
  </si>
  <si>
    <t>0                      PQ 0041000F  67          1993</t>
  </si>
  <si>
    <t>Dictionnaire fondamental du français littéraire / Philippe Forest, Gérard Conio.</t>
  </si>
  <si>
    <t>Forest, Philippe.</t>
  </si>
  <si>
    <t>Paris : Éditions P. Bordas, 1993.</t>
  </si>
  <si>
    <t>1995-08-30</t>
  </si>
  <si>
    <t>20155632:fre</t>
  </si>
  <si>
    <t>28829934</t>
  </si>
  <si>
    <t>991002235729702656</t>
  </si>
  <si>
    <t>2256456050002656</t>
  </si>
  <si>
    <t>9782863112441</t>
  </si>
  <si>
    <t>32285002091006</t>
  </si>
  <si>
    <t>893792204</t>
  </si>
  <si>
    <t>PQ41 .M3 1971</t>
  </si>
  <si>
    <t>0                      PQ 0041000M  3           1971</t>
  </si>
  <si>
    <t>Dictionnaire des écrivains français / Jean Malignon.</t>
  </si>
  <si>
    <t>Malignon, Jean.</t>
  </si>
  <si>
    <t>[Paris] : Éditions du Seuil, c1971.</t>
  </si>
  <si>
    <t>38071505:fre</t>
  </si>
  <si>
    <t>506599</t>
  </si>
  <si>
    <t>991002882679702656</t>
  </si>
  <si>
    <t>2259706920002656</t>
  </si>
  <si>
    <t>32285001250629</t>
  </si>
  <si>
    <t>893329670</t>
  </si>
  <si>
    <t>PQ4134 .K4 1964</t>
  </si>
  <si>
    <t>0                      PQ 4134000K  4           1964</t>
  </si>
  <si>
    <t>The Italian theatre.</t>
  </si>
  <si>
    <t>Kennard, Joseph Spencer, 1859-1944.</t>
  </si>
  <si>
    <t>New York, B. Blom [1964]</t>
  </si>
  <si>
    <t>1997-10-15</t>
  </si>
  <si>
    <t>2000-12-13</t>
  </si>
  <si>
    <t>1375619:eng</t>
  </si>
  <si>
    <t>312540</t>
  </si>
  <si>
    <t>991002289429702656</t>
  </si>
  <si>
    <t>2271182350002656</t>
  </si>
  <si>
    <t>32285002798048</t>
  </si>
  <si>
    <t>893892384</t>
  </si>
  <si>
    <t>32285002798030</t>
  </si>
  <si>
    <t>893879731</t>
  </si>
  <si>
    <t>PQ4149 .H4</t>
  </si>
  <si>
    <t>0                      PQ 4149000H  4</t>
  </si>
  <si>
    <t>Italian comedy in the Renaissance.</t>
  </si>
  <si>
    <t>Herrick, Marvin T. (Marvin Theodore), 1899-1966.</t>
  </si>
  <si>
    <t>Urbana, University of Illinois Press, 1960.</t>
  </si>
  <si>
    <t>2001-11-12</t>
  </si>
  <si>
    <t>498366:eng</t>
  </si>
  <si>
    <t>2138809</t>
  </si>
  <si>
    <t>991004027019702656</t>
  </si>
  <si>
    <t>2270473250002656</t>
  </si>
  <si>
    <t>32285002798055</t>
  </si>
  <si>
    <t>893429572</t>
  </si>
  <si>
    <t>PQ4155 .K4</t>
  </si>
  <si>
    <t>0                      PQ 4155000K  4</t>
  </si>
  <si>
    <t>Masks and marionettes / by Joseph Spencer Kennard.</t>
  </si>
  <si>
    <t>New York : The Macmillan Company, 1935.</t>
  </si>
  <si>
    <t>2004-11-04</t>
  </si>
  <si>
    <t>1992-05-08</t>
  </si>
  <si>
    <t>1722306:eng</t>
  </si>
  <si>
    <t>2311646</t>
  </si>
  <si>
    <t>991004073479702656</t>
  </si>
  <si>
    <t>2258290250002656</t>
  </si>
  <si>
    <t>32285001105781</t>
  </si>
  <si>
    <t>893411091</t>
  </si>
  <si>
    <t>PQ4155 .L4</t>
  </si>
  <si>
    <t>0                      PQ 4155000L  4</t>
  </si>
  <si>
    <t>Italian popular comedy; a study in the commedia dell' arte, 1560-1620, with special reference to the English stage, by K.M. Lea.</t>
  </si>
  <si>
    <t>Lea, Kathleen M. (Kathleen Marguerite)</t>
  </si>
  <si>
    <t>Oxford, The Clarendon press, 1934.</t>
  </si>
  <si>
    <t>2003-12-05</t>
  </si>
  <si>
    <t>2006-11-25</t>
  </si>
  <si>
    <t>1997-07-30</t>
  </si>
  <si>
    <t>431985301:eng</t>
  </si>
  <si>
    <t>1879518</t>
  </si>
  <si>
    <t>991003924629702656</t>
  </si>
  <si>
    <t>2258353560002656</t>
  </si>
  <si>
    <t>32285002798063</t>
  </si>
  <si>
    <t>893410906</t>
  </si>
  <si>
    <t>PQ4155 .S6 1964</t>
  </si>
  <si>
    <t>0                      PQ 4155000S  6           1964</t>
  </si>
  <si>
    <t>The commedia dell'arte.</t>
  </si>
  <si>
    <t>Smith, Winifred, 1879-</t>
  </si>
  <si>
    <t>New York : B. Blom, [1964]</t>
  </si>
  <si>
    <t>2004-11-19</t>
  </si>
  <si>
    <t>1993-05-06</t>
  </si>
  <si>
    <t>20062241:eng</t>
  </si>
  <si>
    <t>50119143</t>
  </si>
  <si>
    <t>991002435679702656</t>
  </si>
  <si>
    <t>2271418830002656</t>
  </si>
  <si>
    <t>32285001651206</t>
  </si>
  <si>
    <t>893239035</t>
  </si>
  <si>
    <t>PQ4174 .R618 1969</t>
  </si>
  <si>
    <t>0                      PQ 4174000R  618         1969</t>
  </si>
  <si>
    <t>La novela experimental : Palermo 1965 / Grupo 63</t>
  </si>
  <si>
    <t>Caracas : Monte Avila, 1969.</t>
  </si>
  <si>
    <t xml:space="preserve">ve </t>
  </si>
  <si>
    <t>Colección Estudios</t>
  </si>
  <si>
    <t>2003-05-01</t>
  </si>
  <si>
    <t>475138449:spa</t>
  </si>
  <si>
    <t>24152194</t>
  </si>
  <si>
    <t>991004044819702656</t>
  </si>
  <si>
    <t>2256434890002656</t>
  </si>
  <si>
    <t>32285004683784</t>
  </si>
  <si>
    <t>893247093</t>
  </si>
  <si>
    <t>PQ4204.A3 I83 1987</t>
  </si>
  <si>
    <t>0                      PQ 4204000A  3                  I  83          1987</t>
  </si>
  <si>
    <t>The Italian Renaissance reader / edited by Julia Conaway Bondanella and Mark Musa.</t>
  </si>
  <si>
    <t>New York : New American Library, c1987.</t>
  </si>
  <si>
    <t>1992-11-09</t>
  </si>
  <si>
    <t>1992-03-06</t>
  </si>
  <si>
    <t>375886918:eng</t>
  </si>
  <si>
    <t>16090933</t>
  </si>
  <si>
    <t>991001082679702656</t>
  </si>
  <si>
    <t>2262313930002656</t>
  </si>
  <si>
    <t>9780452008731</t>
  </si>
  <si>
    <t>32285000938430</t>
  </si>
  <si>
    <t>893690305</t>
  </si>
  <si>
    <t>PQ4236 .S313</t>
  </si>
  <si>
    <t>0                      PQ 4236000S  313</t>
  </si>
  <si>
    <t>Scenarios of the commedia dell'arte: Flaminio Scala's Il teatro delle favole rappresentative. Translated by Henry F. Salerno. With a foreword by Kenneth McKee.</t>
  </si>
  <si>
    <t>Scala, Flaminio, active 1620.</t>
  </si>
  <si>
    <t>New York, New York University Press, 1967.</t>
  </si>
  <si>
    <t>The Stuart editions</t>
  </si>
  <si>
    <t>2004-06-04</t>
  </si>
  <si>
    <t>1335899:eng</t>
  </si>
  <si>
    <t>186077</t>
  </si>
  <si>
    <t>991001157899702656</t>
  </si>
  <si>
    <t>2269463480002656</t>
  </si>
  <si>
    <t>32285002798204</t>
  </si>
  <si>
    <t>893522336</t>
  </si>
  <si>
    <t>PQ4244.E5 B4</t>
  </si>
  <si>
    <t>0                      PQ 4244000E  5                  B  4</t>
  </si>
  <si>
    <t>The classic theatre.</t>
  </si>
  <si>
    <t>Bentley, Eric, 1916-2020 editor.</t>
  </si>
  <si>
    <t>Garden City, N.Y., Doubleday, 1958-61.</t>
  </si>
  <si>
    <t>Doubleday anchor books ; A155</t>
  </si>
  <si>
    <t>2863547178:eng</t>
  </si>
  <si>
    <t>344007</t>
  </si>
  <si>
    <t>991005354699702656</t>
  </si>
  <si>
    <t>2264872660002656</t>
  </si>
  <si>
    <t>32285002798212</t>
  </si>
  <si>
    <t>893260966</t>
  </si>
  <si>
    <t>32285002798220</t>
  </si>
  <si>
    <t>893242585</t>
  </si>
  <si>
    <t>2000-04-18</t>
  </si>
  <si>
    <t>32285002798238</t>
  </si>
  <si>
    <t>893254861</t>
  </si>
  <si>
    <t>V.4</t>
  </si>
  <si>
    <t>32285002798246</t>
  </si>
  <si>
    <t>893260965</t>
  </si>
  <si>
    <t>PQ4254 .W5</t>
  </si>
  <si>
    <t>0                      PQ 4254000W  5</t>
  </si>
  <si>
    <t>Italian short stories, selected and ed. by Ernest H. Wilkins ... and Rudolph Altrocchi ...</t>
  </si>
  <si>
    <t>Wilkins, Ernest Hatch, 1880-1966 editor.</t>
  </si>
  <si>
    <t>Boston, New York [etc.] D. C. Heath &amp; Co. [c1912]</t>
  </si>
  <si>
    <t>1912</t>
  </si>
  <si>
    <t>2005-07-05</t>
  </si>
  <si>
    <t>2005141:eng</t>
  </si>
  <si>
    <t>1114453</t>
  </si>
  <si>
    <t>991003547459702656</t>
  </si>
  <si>
    <t>2267666160002656</t>
  </si>
  <si>
    <t>32285002798261</t>
  </si>
  <si>
    <t>893881290</t>
  </si>
  <si>
    <t>PQ4270.T43 A54 1988</t>
  </si>
  <si>
    <t>0                      PQ 4270000T  43                 A  54          1988</t>
  </si>
  <si>
    <t>Before the Knight's tale : imitation of classical epic in Boccaccio's Teseida / David Anderson.</t>
  </si>
  <si>
    <t>Anderson, David, 1952-</t>
  </si>
  <si>
    <t>Philadelphia : University of Pennsylvania Press, c1988.</t>
  </si>
  <si>
    <t>The Middle Ages</t>
  </si>
  <si>
    <t>1993-12-06</t>
  </si>
  <si>
    <t>1991-05-20</t>
  </si>
  <si>
    <t>1011088:eng</t>
  </si>
  <si>
    <t>17550206</t>
  </si>
  <si>
    <t>991001235559702656</t>
  </si>
  <si>
    <t>2262069490002656</t>
  </si>
  <si>
    <t>9780812281088</t>
  </si>
  <si>
    <t>32285000597152</t>
  </si>
  <si>
    <t>893231823</t>
  </si>
  <si>
    <t>PQ4277 .M3</t>
  </si>
  <si>
    <t>0                      PQ 4277000M  3</t>
  </si>
  <si>
    <t>Boccaccio.</t>
  </si>
  <si>
    <t>MacManus, Francis, 1909-1965.</t>
  </si>
  <si>
    <t>London, Sheed &amp; Ward, 1947.</t>
  </si>
  <si>
    <t>Writers of the world series</t>
  </si>
  <si>
    <t>1998-11-09</t>
  </si>
  <si>
    <t>2044301631:eng</t>
  </si>
  <si>
    <t>2207617</t>
  </si>
  <si>
    <t>991004048889702656</t>
  </si>
  <si>
    <t>2261506670002656</t>
  </si>
  <si>
    <t>32285002798329</t>
  </si>
  <si>
    <t>893411052</t>
  </si>
  <si>
    <t>PQ4300.A4 S6</t>
  </si>
  <si>
    <t>0                      PQ 4300000A  4                  S  6</t>
  </si>
  <si>
    <t>My favourite passage from Dante, chosen and explained by the most distinguished Dante lovers of the world today; a compilation with an introduction by John T. Slattery.</t>
  </si>
  <si>
    <t>Dante Alighieri, 1265-1321.</t>
  </si>
  <si>
    <t>New York, The Devin-Adair company [c1928]</t>
  </si>
  <si>
    <t>2004-03-24</t>
  </si>
  <si>
    <t>3855854717:eng</t>
  </si>
  <si>
    <t>2975472</t>
  </si>
  <si>
    <t>991004303589702656</t>
  </si>
  <si>
    <t>2264415750002656</t>
  </si>
  <si>
    <t>32285002798352</t>
  </si>
  <si>
    <t>893624565</t>
  </si>
  <si>
    <t>PQ4303 .U54</t>
  </si>
  <si>
    <t>0                      PQ 4303000U  54</t>
  </si>
  <si>
    <t>Stories from Dante, by Norley Chester [pseud.] ...</t>
  </si>
  <si>
    <t>Underdown, Emily.</t>
  </si>
  <si>
    <t>London, New York, F. Warne and Co., 1898.</t>
  </si>
  <si>
    <t>6566881:eng</t>
  </si>
  <si>
    <t>2963358</t>
  </si>
  <si>
    <t>991004295259702656</t>
  </si>
  <si>
    <t>2271111500002656</t>
  </si>
  <si>
    <t>32285002798386</t>
  </si>
  <si>
    <t>893423628</t>
  </si>
  <si>
    <t>PQ4328.E5 C8 1965a</t>
  </si>
  <si>
    <t>0                      PQ 4328000E  5                  C  8           1965a</t>
  </si>
  <si>
    <t>The Divine comedy in English : a critical bibliography, 1782-1900 / Gilbert F. Cunningham.</t>
  </si>
  <si>
    <t>Cunningham, Gilbert F. (Gilbert Farm)</t>
  </si>
  <si>
    <t>New York : Barnes &amp; Noble, 1965.</t>
  </si>
  <si>
    <t>1997-11-18</t>
  </si>
  <si>
    <t>1994-12-20</t>
  </si>
  <si>
    <t>226612630:eng</t>
  </si>
  <si>
    <t>7922121</t>
  </si>
  <si>
    <t>991005175639702656</t>
  </si>
  <si>
    <t>2259223840002656</t>
  </si>
  <si>
    <t>32285001984656</t>
  </si>
  <si>
    <t>893795745</t>
  </si>
  <si>
    <t>PQ4335 .G3 1905</t>
  </si>
  <si>
    <t>0                      PQ 4335000G  3           1905</t>
  </si>
  <si>
    <t>Dante, by Edmund G. Gardner, M.A.</t>
  </si>
  <si>
    <t>Gardner, Edmund G., 1869-1935.</t>
  </si>
  <si>
    <t>London, J.M. Dent &amp; co., 1905.</t>
  </si>
  <si>
    <t>1905</t>
  </si>
  <si>
    <t>4th ed.</t>
  </si>
  <si>
    <t>The Temple primers</t>
  </si>
  <si>
    <t>2003-09-15</t>
  </si>
  <si>
    <t>1403084:eng</t>
  </si>
  <si>
    <t>720318</t>
  </si>
  <si>
    <t>991003194929702656</t>
  </si>
  <si>
    <t>2256245160002656</t>
  </si>
  <si>
    <t>32285002798493</t>
  </si>
  <si>
    <t>893617081</t>
  </si>
  <si>
    <t>PQ4335 .S6</t>
  </si>
  <si>
    <t>0                      PQ 4335000S  6</t>
  </si>
  <si>
    <t>Dante, "the central man of all the world"; a course of lectures delivered before the student body of the New York state college for teachers, Albany, 1919, 1920, by John T. Slattery, PH. D.; with a preface by John H. Finley, L.H.D.</t>
  </si>
  <si>
    <t>Slattery, John T. (John Theodore), 1866-1938.</t>
  </si>
  <si>
    <t>New York, P.J. Kenedy &amp; Sons, 1920.</t>
  </si>
  <si>
    <t>1920</t>
  </si>
  <si>
    <t>2004-10-08</t>
  </si>
  <si>
    <t>1487294:eng</t>
  </si>
  <si>
    <t>294269</t>
  </si>
  <si>
    <t>991002231809702656</t>
  </si>
  <si>
    <t>2268357040002656</t>
  </si>
  <si>
    <t>32285002798527</t>
  </si>
  <si>
    <t>893866952</t>
  </si>
  <si>
    <t>PQ4339 .B453</t>
  </si>
  <si>
    <t>0                      PQ 4339000B  453</t>
  </si>
  <si>
    <t>Life of Dante; translated and edited by Paul Ruggiers.</t>
  </si>
  <si>
    <t>Barbi, Michele, 1867-1941.</t>
  </si>
  <si>
    <t>Berkeley, University of California Press, 1954.</t>
  </si>
  <si>
    <t>2004-09-10</t>
  </si>
  <si>
    <t>8941148043:eng</t>
  </si>
  <si>
    <t>2035788</t>
  </si>
  <si>
    <t>991003988449702656</t>
  </si>
  <si>
    <t>2266465230002656</t>
  </si>
  <si>
    <t>32285002798535</t>
  </si>
  <si>
    <t>893712025</t>
  </si>
  <si>
    <t>PQ4339 .C614</t>
  </si>
  <si>
    <t>0                      PQ 4339000C  614</t>
  </si>
  <si>
    <t>A handbook to Dante studies / translated by David Moore.</t>
  </si>
  <si>
    <t>Cosmo, Umberto, 1868-1944.</t>
  </si>
  <si>
    <t>Oxford : Blackwell, 1950.</t>
  </si>
  <si>
    <t>1993-11-11</t>
  </si>
  <si>
    <t>4241670069:eng</t>
  </si>
  <si>
    <t>320817</t>
  </si>
  <si>
    <t>991002325819702656</t>
  </si>
  <si>
    <t>2255795000002656</t>
  </si>
  <si>
    <t>32285001798015</t>
  </si>
  <si>
    <t>893445095</t>
  </si>
  <si>
    <t>PQ434 .D4</t>
  </si>
  <si>
    <t>0                      PQ 0434000D  4</t>
  </si>
  <si>
    <t>Nineteenth-century French romantic poets / by Robert T. Denomme. With a pref. by Harry T. Moore.</t>
  </si>
  <si>
    <t>Denommé, Robert Thomas.</t>
  </si>
  <si>
    <t>Carbondale : Southern Illinois University Press, c1969.</t>
  </si>
  <si>
    <t>Crosscurrents/modern critiques</t>
  </si>
  <si>
    <t>466815:eng</t>
  </si>
  <si>
    <t>4159</t>
  </si>
  <si>
    <t>991005436129702656</t>
  </si>
  <si>
    <t>2266168780002656</t>
  </si>
  <si>
    <t>32285001440105</t>
  </si>
  <si>
    <t>893236833</t>
  </si>
  <si>
    <t>PQ438 .Q4 1970</t>
  </si>
  <si>
    <t>0                      PQ 0438000Q  4           1970</t>
  </si>
  <si>
    <t>Baudelaire and the symbolists : five essays / by Peter Quennell.</t>
  </si>
  <si>
    <t>Quennell, Peter, 1905-1993.</t>
  </si>
  <si>
    <t>Port Washington, N.Y. : Kennikat Press, 1970.</t>
  </si>
  <si>
    <t>Essay and general literature index reprint series</t>
  </si>
  <si>
    <t>1996-04-22</t>
  </si>
  <si>
    <t>3943393521:eng</t>
  </si>
  <si>
    <t>65453</t>
  </si>
  <si>
    <t>991000206869702656</t>
  </si>
  <si>
    <t>2259294240002656</t>
  </si>
  <si>
    <t>9780804609357</t>
  </si>
  <si>
    <t>32285001251064</t>
  </si>
  <si>
    <t>893790338</t>
  </si>
  <si>
    <t>PQ439 .C47</t>
  </si>
  <si>
    <t>0                      PQ 0439000C  47</t>
  </si>
  <si>
    <t>Symbolism / Charles Chadwick.</t>
  </si>
  <si>
    <t>Chadwick, Charles.</t>
  </si>
  <si>
    <t>The critical idiom, 16</t>
  </si>
  <si>
    <t>1998-12-12</t>
  </si>
  <si>
    <t>574132:eng</t>
  </si>
  <si>
    <t>205591</t>
  </si>
  <si>
    <t>991001235229702656</t>
  </si>
  <si>
    <t>2256817740002656</t>
  </si>
  <si>
    <t>9780416609004</t>
  </si>
  <si>
    <t>32285001251072</t>
  </si>
  <si>
    <t>893608685</t>
  </si>
  <si>
    <t>PQ439 .C65 1970</t>
  </si>
  <si>
    <t>0                      PQ 0439000C  65          1970</t>
  </si>
  <si>
    <t>The symbolist movement / by Kenneth Cornell.</t>
  </si>
  <si>
    <t>Cornell, William Kenneth.</t>
  </si>
  <si>
    <t>[Hamden, Conn.] : Archon Books, 1970 [c1951]</t>
  </si>
  <si>
    <t>131534501:eng</t>
  </si>
  <si>
    <t>98540</t>
  </si>
  <si>
    <t>991000604159702656</t>
  </si>
  <si>
    <t>2271949800002656</t>
  </si>
  <si>
    <t>9780208009470</t>
  </si>
  <si>
    <t>32285001251171</t>
  </si>
  <si>
    <t>893714728</t>
  </si>
  <si>
    <t>PQ439 .L4 1978</t>
  </si>
  <si>
    <t>0                      PQ 0439000L  4           1978</t>
  </si>
  <si>
    <t>The rhumb line of symbolism : French poets from Sainte-Beuve to Valéry : presentation and selected texts / Laurent LeSage.</t>
  </si>
  <si>
    <t>Le Sage, Laurent, 1913-2003.</t>
  </si>
  <si>
    <t>University Park : Pennsylvania State University Press, c1978.</t>
  </si>
  <si>
    <t>864112650:eng</t>
  </si>
  <si>
    <t>2966883</t>
  </si>
  <si>
    <t>991004298749702656</t>
  </si>
  <si>
    <t>2267456500002656</t>
  </si>
  <si>
    <t>9780271005133</t>
  </si>
  <si>
    <t>32285001251197</t>
  </si>
  <si>
    <t>893810460</t>
  </si>
  <si>
    <t>PQ4390 .A62</t>
  </si>
  <si>
    <t>0                      PQ 4390000A  62</t>
  </si>
  <si>
    <t>Dante the maker / William Anderson.</t>
  </si>
  <si>
    <t>Anderson, William, 1935-</t>
  </si>
  <si>
    <t>London ; Boston : Routledge &amp; Kegan Paul, 1980.</t>
  </si>
  <si>
    <t>2003-06-12</t>
  </si>
  <si>
    <t>9367039:eng</t>
  </si>
  <si>
    <t>5831980</t>
  </si>
  <si>
    <t>991004886069702656</t>
  </si>
  <si>
    <t>2256149630002656</t>
  </si>
  <si>
    <t>9780710003225</t>
  </si>
  <si>
    <t>32285000597756</t>
  </si>
  <si>
    <t>893260295</t>
  </si>
  <si>
    <t>PQ4390 .B57</t>
  </si>
  <si>
    <t>0                      PQ 4390000B  57</t>
  </si>
  <si>
    <t>Il concetto della Divina commedia di Dante Alighieri / dimostrazione di Francesco Berardinelli.</t>
  </si>
  <si>
    <t>Berardinelli, Francesco, 1816-</t>
  </si>
  <si>
    <t>Napilo : G. Rondinella, 1859.</t>
  </si>
  <si>
    <t>1859</t>
  </si>
  <si>
    <t>2000-03-15</t>
  </si>
  <si>
    <t>368382703:ita</t>
  </si>
  <si>
    <t>14017092</t>
  </si>
  <si>
    <t>991000899499702656</t>
  </si>
  <si>
    <t>2256541670002656</t>
  </si>
  <si>
    <t>32285002798576</t>
  </si>
  <si>
    <t>893255840</t>
  </si>
  <si>
    <t>PQ4390 .C9 1969</t>
  </si>
  <si>
    <t>0                      PQ 4390000C  9           1969</t>
  </si>
  <si>
    <t>A recall to Dante.</t>
  </si>
  <si>
    <t>Curtayne, Alice.</t>
  </si>
  <si>
    <t>Port Washington, N.Y., Kennikat Press [1969]</t>
  </si>
  <si>
    <t>1998-11-14</t>
  </si>
  <si>
    <t>1186848:eng</t>
  </si>
  <si>
    <t>32645</t>
  </si>
  <si>
    <t>991000083839702656</t>
  </si>
  <si>
    <t>2258327220002656</t>
  </si>
  <si>
    <t>9780804606929</t>
  </si>
  <si>
    <t>32285002798592</t>
  </si>
  <si>
    <t>893425399</t>
  </si>
  <si>
    <t>PQ4390 .F75</t>
  </si>
  <si>
    <t>0                      PQ 4390000F  75</t>
  </si>
  <si>
    <t>Dante lights the way.</t>
  </si>
  <si>
    <t>Fox, Ruth Mary, 1891-</t>
  </si>
  <si>
    <t>Milwaukee, Bruce Pub. Co. [1958]</t>
  </si>
  <si>
    <t>2003-12-01</t>
  </si>
  <si>
    <t>1042372160:eng</t>
  </si>
  <si>
    <t>228569</t>
  </si>
  <si>
    <t>991001396079702656</t>
  </si>
  <si>
    <t>2256871000002656</t>
  </si>
  <si>
    <t>32285002798634</t>
  </si>
  <si>
    <t>893328117</t>
  </si>
  <si>
    <t>PQ4390 .H65</t>
  </si>
  <si>
    <t>0                      PQ 4390000H  65</t>
  </si>
  <si>
    <t>Dante's divina commedia : its scope and value / from the German of Franz Hettinger ; edited by Henry Sebastian Bowden.</t>
  </si>
  <si>
    <t>Hettinger, Franz, 1819-1890.</t>
  </si>
  <si>
    <t>London : Burns &amp; Oates, Ltd. ; New York : Benziger Brothers, 1894.</t>
  </si>
  <si>
    <t>1894</t>
  </si>
  <si>
    <t>2nd ed., revised.</t>
  </si>
  <si>
    <t>2002-11-19</t>
  </si>
  <si>
    <t>5631430:eng</t>
  </si>
  <si>
    <t>18089822</t>
  </si>
  <si>
    <t>991001303969702656</t>
  </si>
  <si>
    <t>2271527060002656</t>
  </si>
  <si>
    <t>32285002798642</t>
  </si>
  <si>
    <t>893315690</t>
  </si>
  <si>
    <t>PQ4390 .V82 1958</t>
  </si>
  <si>
    <t>0                      PQ 4390000V  82          1958</t>
  </si>
  <si>
    <t>Mediaeval culture : an introduction to Dante and his times.</t>
  </si>
  <si>
    <t>Vossler, Karl, 1872-1949.</t>
  </si>
  <si>
    <t>New York : Ungar, [1958]</t>
  </si>
  <si>
    <t>2005-10-23</t>
  </si>
  <si>
    <t>1994-11-28</t>
  </si>
  <si>
    <t>2593737026:eng</t>
  </si>
  <si>
    <t>347618</t>
  </si>
  <si>
    <t>991002432509702656</t>
  </si>
  <si>
    <t>2272684170002656</t>
  </si>
  <si>
    <t>32285001968790</t>
  </si>
  <si>
    <t>893232944</t>
  </si>
  <si>
    <t>1992-11-25</t>
  </si>
  <si>
    <t>32285001409217</t>
  </si>
  <si>
    <t>893226830</t>
  </si>
  <si>
    <t>PQ4406 .D8 1929a</t>
  </si>
  <si>
    <t>0                      PQ 4406000D  8           1929a</t>
  </si>
  <si>
    <t>Symbolism in medieval thought and its consummation in the Divine comedy, by H. Flanders Dunbar.</t>
  </si>
  <si>
    <t>Dunbar, Helen Flanders, 1902-1959.</t>
  </si>
  <si>
    <t>New Haven, Yale university press; London, H. Milford, Oxford university press, 1929.</t>
  </si>
  <si>
    <t>1929</t>
  </si>
  <si>
    <t>2005-05-27</t>
  </si>
  <si>
    <t>1997-11-05</t>
  </si>
  <si>
    <t>1490729:eng</t>
  </si>
  <si>
    <t>2530025</t>
  </si>
  <si>
    <t>991004152879702656</t>
  </si>
  <si>
    <t>2267687250002656</t>
  </si>
  <si>
    <t>32285003276549</t>
  </si>
  <si>
    <t>893894623</t>
  </si>
  <si>
    <t>PQ4409.H3 S2 1975</t>
  </si>
  <si>
    <t>0                      PQ 4409000H  3                  S  2           1975</t>
  </si>
  <si>
    <t>Dante and heresy / by Alfonso de Salvio.</t>
  </si>
  <si>
    <t>Salvio, Alfonso de, 1873-1938.</t>
  </si>
  <si>
    <t>Plainview, N.Y. : Books for Libraries Press, [1975]</t>
  </si>
  <si>
    <t>2003-11-18</t>
  </si>
  <si>
    <t>1996-02-12</t>
  </si>
  <si>
    <t>1724938:eng</t>
  </si>
  <si>
    <t>2007175</t>
  </si>
  <si>
    <t>991003977139702656</t>
  </si>
  <si>
    <t>2261994330002656</t>
  </si>
  <si>
    <t>32285002129368</t>
  </si>
  <si>
    <t>893705854</t>
  </si>
  <si>
    <t>PQ4422 .W3</t>
  </si>
  <si>
    <t>0                      PQ 4422000W  3</t>
  </si>
  <si>
    <t>Dante Alighieri, citizen of Christendom / [by] Gerald G. Walsh, S.J.</t>
  </si>
  <si>
    <t>Walsh, Gerald Groveland, 1892-1952.</t>
  </si>
  <si>
    <t>Milwaukee : The Bruce Publishing Company, [1946]</t>
  </si>
  <si>
    <t>1946</t>
  </si>
  <si>
    <t>1998-04-02</t>
  </si>
  <si>
    <t>1993-11-09</t>
  </si>
  <si>
    <t>1759050:eng</t>
  </si>
  <si>
    <t>587828</t>
  </si>
  <si>
    <t>991003023009702656</t>
  </si>
  <si>
    <t>2267206460002656</t>
  </si>
  <si>
    <t>32285001797520</t>
  </si>
  <si>
    <t>893786878</t>
  </si>
  <si>
    <t>PQ4424 .C3 1921</t>
  </si>
  <si>
    <t>0                      PQ 4424000C  3           1921</t>
  </si>
  <si>
    <t>The popes in the Divina commedia of Dante / by L.C. Casartelli.</t>
  </si>
  <si>
    <t>Casartelli, Louis Charles, 1852-1925.</t>
  </si>
  <si>
    <t>London : Sands &amp; Co., 1921.</t>
  </si>
  <si>
    <t>1921</t>
  </si>
  <si>
    <t>1999-12-07</t>
  </si>
  <si>
    <t>3609742:eng</t>
  </si>
  <si>
    <t>11003361</t>
  </si>
  <si>
    <t>991000474039702656</t>
  </si>
  <si>
    <t>2255620050002656</t>
  </si>
  <si>
    <t>32285002798741</t>
  </si>
  <si>
    <t>893243284</t>
  </si>
  <si>
    <t>PQ443 .C3</t>
  </si>
  <si>
    <t>0                      PQ 0443000C  3</t>
  </si>
  <si>
    <t>The poetry of Dada and sur-realism: Aragon, Breton, Tzara, Eluard &amp; Desnos.</t>
  </si>
  <si>
    <t>Princeton, N.J., Princeton University Press, 1970.</t>
  </si>
  <si>
    <t>2006-09-27</t>
  </si>
  <si>
    <t>1997-05-02</t>
  </si>
  <si>
    <t>48111023:eng</t>
  </si>
  <si>
    <t>64618</t>
  </si>
  <si>
    <t>991000204889702656</t>
  </si>
  <si>
    <t>2255531680002656</t>
  </si>
  <si>
    <t>9780691061641</t>
  </si>
  <si>
    <t>32285002589900</t>
  </si>
  <si>
    <t>893601577</t>
  </si>
  <si>
    <t>PQ4442 .M7</t>
  </si>
  <si>
    <t>0                      PQ 4442000M  7</t>
  </si>
  <si>
    <t>Contributions to the textual criticism of the Divina commedia, including the complete collation throughout the Inferno of all the mss. at Oxford and Cambridge / by the Rev. Edward Moore.</t>
  </si>
  <si>
    <t>Moore, Edward, 1835-1916.</t>
  </si>
  <si>
    <t>Cambridge : The University Press, 1889.</t>
  </si>
  <si>
    <t>1889</t>
  </si>
  <si>
    <t>1491730:eng</t>
  </si>
  <si>
    <t>345181</t>
  </si>
  <si>
    <t>991002426969702656</t>
  </si>
  <si>
    <t>2269802050002656</t>
  </si>
  <si>
    <t>32285001797512</t>
  </si>
  <si>
    <t>893341424</t>
  </si>
  <si>
    <t>PQ4464 .W5</t>
  </si>
  <si>
    <t>0                      PQ 4464000W  5</t>
  </si>
  <si>
    <t>A concordance to the Divine comedy of Dante Alighieri. Edited for the Dante Society of America by Ernest Hatch Wilkins and Thomas Goddard Bergin. Associate editor: Anthony J. De Vito.</t>
  </si>
  <si>
    <t>Cambridge, Belknap Press of Harvard University Press, 1965.</t>
  </si>
  <si>
    <t>1347331:eng</t>
  </si>
  <si>
    <t>253713</t>
  </si>
  <si>
    <t>991001963509702656</t>
  </si>
  <si>
    <t>2267121100002656</t>
  </si>
  <si>
    <t>32285000597848</t>
  </si>
  <si>
    <t>893346948</t>
  </si>
  <si>
    <t>PQ4490.A4 B4</t>
  </si>
  <si>
    <t>0                      PQ 4490000A  4                  B  4</t>
  </si>
  <si>
    <t>Petrarch, Scipio and the "Africa" : the birth of humanism's dream.</t>
  </si>
  <si>
    <t>Bernardo, Aldo S.</t>
  </si>
  <si>
    <t>Baltimore : Johns Hopkins Press, [1962]</t>
  </si>
  <si>
    <t>1997-04-27</t>
  </si>
  <si>
    <t>1990-05-30</t>
  </si>
  <si>
    <t>2753684:eng</t>
  </si>
  <si>
    <t>1836630</t>
  </si>
  <si>
    <t>991003905499702656</t>
  </si>
  <si>
    <t>2257518340002656</t>
  </si>
  <si>
    <t>32285000159565</t>
  </si>
  <si>
    <t>893525409</t>
  </si>
  <si>
    <t>PQ45 .M3 1990</t>
  </si>
  <si>
    <t>0                      PQ 0045000M  3           1990</t>
  </si>
  <si>
    <t>A quoi pense la littérature? : exercices de philosophie littéraire / Pierre Macherey.</t>
  </si>
  <si>
    <t>Macherey, Pierre.</t>
  </si>
  <si>
    <t>Pratiques théoriques, 0753-6216</t>
  </si>
  <si>
    <t>256007110:fre</t>
  </si>
  <si>
    <t>23871549</t>
  </si>
  <si>
    <t>991001891659702656</t>
  </si>
  <si>
    <t>2265055050002656</t>
  </si>
  <si>
    <t>9782130433095</t>
  </si>
  <si>
    <t>32285002077906</t>
  </si>
  <si>
    <t>893529314</t>
  </si>
  <si>
    <t>PQ4505 .B45</t>
  </si>
  <si>
    <t>0                      PQ 4505000B  45</t>
  </si>
  <si>
    <t>Petrarch / by Thomas G. Bergin.</t>
  </si>
  <si>
    <t>Bergin, Thomas Goddard, 1904-1987.</t>
  </si>
  <si>
    <t>Twayne's world authors series, 81. Italy</t>
  </si>
  <si>
    <t>2003-03-31</t>
  </si>
  <si>
    <t>1993-12-28</t>
  </si>
  <si>
    <t>137974231:eng</t>
  </si>
  <si>
    <t>61328</t>
  </si>
  <si>
    <t>991000160139702656</t>
  </si>
  <si>
    <t>2255302570002656</t>
  </si>
  <si>
    <t>32285001827400</t>
  </si>
  <si>
    <t>893237121</t>
  </si>
  <si>
    <t>PQ4535 .P4 1980</t>
  </si>
  <si>
    <t>0                      PQ 4535000P  4           1980</t>
  </si>
  <si>
    <t>Petrarch and Petrarchism : the English and French traditions / Stephen Minta.</t>
  </si>
  <si>
    <t>Petrarca, Francesco, 1304-1374.</t>
  </si>
  <si>
    <t>New York : Barnes and Noble, 1980.</t>
  </si>
  <si>
    <t>Literature in context (Barnes &amp; Noble Books)</t>
  </si>
  <si>
    <t>1997-12-07</t>
  </si>
  <si>
    <t>1990-04-04</t>
  </si>
  <si>
    <t>10628281855:eng</t>
  </si>
  <si>
    <t>6385615</t>
  </si>
  <si>
    <t>991004976119702656</t>
  </si>
  <si>
    <t>2265044730002656</t>
  </si>
  <si>
    <t>9780064948692</t>
  </si>
  <si>
    <t>32285000108976</t>
  </si>
  <si>
    <t>893594308</t>
  </si>
  <si>
    <t>PQ4542 .T7 1979</t>
  </si>
  <si>
    <t>0                      PQ 4542000T  7           1979</t>
  </si>
  <si>
    <t>The poet as philosopher : Petrarch and the formation of Renaissance consciousness / Charles Trinkaus.</t>
  </si>
  <si>
    <t>Trinkaus, Charles, 1911-1999.</t>
  </si>
  <si>
    <t>New Haven : Yale University Press, 1979.</t>
  </si>
  <si>
    <t>1997-12-09</t>
  </si>
  <si>
    <t>918008847:eng</t>
  </si>
  <si>
    <t>5100825</t>
  </si>
  <si>
    <t>991004774869702656</t>
  </si>
  <si>
    <t>2256468210002656</t>
  </si>
  <si>
    <t>9780300023275</t>
  </si>
  <si>
    <t>32285000597871</t>
  </si>
  <si>
    <t>893795267</t>
  </si>
  <si>
    <t>PQ4630.M3 Z87</t>
  </si>
  <si>
    <t>0                      PQ 4630000M  3                  Z  87</t>
  </si>
  <si>
    <t>Lorenzo de'Medici.</t>
  </si>
  <si>
    <t>Sturm-Maddox, Sara.</t>
  </si>
  <si>
    <t>New York, Twayne Publishers [1974]</t>
  </si>
  <si>
    <t>Twayne's world authors series ; TWAS 288. Italy</t>
  </si>
  <si>
    <t>1997-11-06</t>
  </si>
  <si>
    <t>1997-07-31</t>
  </si>
  <si>
    <t>1804353:eng</t>
  </si>
  <si>
    <t>741124</t>
  </si>
  <si>
    <t>991003215319702656</t>
  </si>
  <si>
    <t>2270967750002656</t>
  </si>
  <si>
    <t>9780805726091</t>
  </si>
  <si>
    <t>32285002799079</t>
  </si>
  <si>
    <t>893524550</t>
  </si>
  <si>
    <t>PQ4639.A3 C6</t>
  </si>
  <si>
    <t>0                      PQ 4639000A  3                  C  6</t>
  </si>
  <si>
    <t>The landscape of the mind: pastoralism and platonic theory in Tasso's Aminta and Shakespeare's early comedies.</t>
  </si>
  <si>
    <t>Cody, Richard.</t>
  </si>
  <si>
    <t>Oxford, Clarendon P., 1969.</t>
  </si>
  <si>
    <t>2004-11-11</t>
  </si>
  <si>
    <t>197854303:eng</t>
  </si>
  <si>
    <t>32970</t>
  </si>
  <si>
    <t>991000084269702656</t>
  </si>
  <si>
    <t>2261610670002656</t>
  </si>
  <si>
    <t>9780198116806</t>
  </si>
  <si>
    <t>32285002799087</t>
  </si>
  <si>
    <t>893333192</t>
  </si>
  <si>
    <t>PQ4642.E21 F3 1963</t>
  </si>
  <si>
    <t>0                      PQ 4642000E  21                 F  3           1963</t>
  </si>
  <si>
    <t>Jerusalem delivered; being a translation into English verse by Edward Fairfax of Tasso's Gerusalemme liberata. With an introd. by John Charles Nelson.</t>
  </si>
  <si>
    <t>Tasso, Torquato, 1544-1595.</t>
  </si>
  <si>
    <t>New York, Capricorn Books [1963]</t>
  </si>
  <si>
    <t>1998-04-19</t>
  </si>
  <si>
    <t>9565597695:eng</t>
  </si>
  <si>
    <t>1281030</t>
  </si>
  <si>
    <t>991003666769702656</t>
  </si>
  <si>
    <t>2262528320002656</t>
  </si>
  <si>
    <t>32285002799095</t>
  </si>
  <si>
    <t>893699258</t>
  </si>
  <si>
    <t>PQ4807.O38 B37 2003</t>
  </si>
  <si>
    <t>0                      PQ 4807000O  38                 B  37          2003</t>
  </si>
  <si>
    <t>Barocco del Sud : racconti e prose / Vittorio Bodini ; a cura di Antonio Lucio Giannone.</t>
  </si>
  <si>
    <t>Bodini, Vittorio, 1914-1970.</t>
  </si>
  <si>
    <t>Nardao (Lecce) : Besa, [2003]</t>
  </si>
  <si>
    <t>Bodiniana ; 1</t>
  </si>
  <si>
    <t>2005-01-10</t>
  </si>
  <si>
    <t>2004-06-10</t>
  </si>
  <si>
    <t>10337290:ita</t>
  </si>
  <si>
    <t>52442500</t>
  </si>
  <si>
    <t>991004276889702656</t>
  </si>
  <si>
    <t>2270810990002656</t>
  </si>
  <si>
    <t>9788849701234</t>
  </si>
  <si>
    <t>32285004909445</t>
  </si>
  <si>
    <t>893800810</t>
  </si>
  <si>
    <t>PQ4811.E6 M6 1974</t>
  </si>
  <si>
    <t>0                      PQ 4811000E  6                  M  6           1974</t>
  </si>
  <si>
    <t>The mother. Translated from the Italian by Mary G. Steegmann.</t>
  </si>
  <si>
    <t>Deledda, Grazia, 1871-1936.</t>
  </si>
  <si>
    <t>Dunwoody, Ga., N. S. Berg, 1974.</t>
  </si>
  <si>
    <t>gau</t>
  </si>
  <si>
    <t>2005-12-23</t>
  </si>
  <si>
    <t>1997-08-04</t>
  </si>
  <si>
    <t>553893:eng</t>
  </si>
  <si>
    <t>995672</t>
  </si>
  <si>
    <t>991003456289702656</t>
  </si>
  <si>
    <t>2272513800002656</t>
  </si>
  <si>
    <t>9780910220576</t>
  </si>
  <si>
    <t>32285002799582</t>
  </si>
  <si>
    <t>893317991</t>
  </si>
  <si>
    <t>PQ4835.A27 A25</t>
  </si>
  <si>
    <t>0                      PQ 4835000A  27                 A  25</t>
  </si>
  <si>
    <t>Four and twenty minds; essays by Giovanni Papini; selected and tr. by Ernest Hatch Wilkins.</t>
  </si>
  <si>
    <t>Papini, Giovanni, 1881-1956.</t>
  </si>
  <si>
    <t>New York, Thomas Y. Crowell company [c1922]</t>
  </si>
  <si>
    <t>1922</t>
  </si>
  <si>
    <t>Essay index reprint series</t>
  </si>
  <si>
    <t>2003-12-08</t>
  </si>
  <si>
    <t>1997-06-25</t>
  </si>
  <si>
    <t>1747999512:eng</t>
  </si>
  <si>
    <t>1269699</t>
  </si>
  <si>
    <t>991003661149702656</t>
  </si>
  <si>
    <t>2259746730002656</t>
  </si>
  <si>
    <t>32285002515350</t>
  </si>
  <si>
    <t>893617576</t>
  </si>
  <si>
    <t>PQ4835.I58 U63 1966</t>
  </si>
  <si>
    <t>0                      PQ 4835000I  58                 U  63          1966</t>
  </si>
  <si>
    <t>Man as an end : a defense of humanism ; literary, social, and political essays / translated from the Italian by Bernard Wall.</t>
  </si>
  <si>
    <t>Moravia, Alberto, 1907-1990.</t>
  </si>
  <si>
    <t>New York, Farrar, Straus &amp; Giroux [1966, c1965]</t>
  </si>
  <si>
    <t>2005-04-22</t>
  </si>
  <si>
    <t>1998-01-27</t>
  </si>
  <si>
    <t>4494879565:eng</t>
  </si>
  <si>
    <t>444327</t>
  </si>
  <si>
    <t>991002793359702656</t>
  </si>
  <si>
    <t>2265168190002656</t>
  </si>
  <si>
    <t>32285003304994</t>
  </si>
  <si>
    <t>893347934</t>
  </si>
  <si>
    <t>PQ4835.I7 Z53455</t>
  </si>
  <si>
    <t>0                      PQ 4835000I  7                  Z  53455</t>
  </si>
  <si>
    <t>Two novels of Pirandello : an essay / Mario Aste.</t>
  </si>
  <si>
    <t>Aste, Mario.</t>
  </si>
  <si>
    <t>Washington : University Press of America, c1979.</t>
  </si>
  <si>
    <t>1994-08-16</t>
  </si>
  <si>
    <t>367072378:eng</t>
  </si>
  <si>
    <t>6458072</t>
  </si>
  <si>
    <t>991004986909702656</t>
  </si>
  <si>
    <t>2256128110002656</t>
  </si>
  <si>
    <t>9780819107350</t>
  </si>
  <si>
    <t>32285000598150</t>
  </si>
  <si>
    <t>893254294</t>
  </si>
  <si>
    <t>PQ4835.I7 Z537 1966</t>
  </si>
  <si>
    <t>0                      PQ 4835000I  7                  Z  537         1966</t>
  </si>
  <si>
    <t>Pirandello.</t>
  </si>
  <si>
    <t>Büdel, Oscar.</t>
  </si>
  <si>
    <t>New York : Hillary House Publishers, 1966.</t>
  </si>
  <si>
    <t>Studies in modern European literature &amp; thought</t>
  </si>
  <si>
    <t>2005-03-28</t>
  </si>
  <si>
    <t>1990-03-14</t>
  </si>
  <si>
    <t>132198692:eng</t>
  </si>
  <si>
    <t>1277240</t>
  </si>
  <si>
    <t>991003664539702656</t>
  </si>
  <si>
    <t>2261451120002656</t>
  </si>
  <si>
    <t>9780370002132</t>
  </si>
  <si>
    <t>32285000083328</t>
  </si>
  <si>
    <t>893810103</t>
  </si>
  <si>
    <t>PQ4835.I7 Z5412 2004</t>
  </si>
  <si>
    <t>0                      PQ 4835000I  7                  Z  5412        2004</t>
  </si>
  <si>
    <t>I luoghi del romanzo : Pirandello, Tomasi di Lampedusa, Sciascia / Angelo Pitrone ; con un testo di Matteo Collura.</t>
  </si>
  <si>
    <t>Pitrone, Angelo.</t>
  </si>
  <si>
    <t>Caltanissetta : S. Sciascia, 2004.</t>
  </si>
  <si>
    <t>2005-07-11</t>
  </si>
  <si>
    <t>2005-06-21</t>
  </si>
  <si>
    <t>891885055:ita</t>
  </si>
  <si>
    <t>57713506</t>
  </si>
  <si>
    <t>991004507809702656</t>
  </si>
  <si>
    <t>2267835450002656</t>
  </si>
  <si>
    <t>9788882411954</t>
  </si>
  <si>
    <t>32285005093058</t>
  </si>
  <si>
    <t>893810548</t>
  </si>
  <si>
    <t>PQ4835.I7 Z63</t>
  </si>
  <si>
    <t>0                      PQ 4835000I  7                  Z  63</t>
  </si>
  <si>
    <t>Luigi Pirandello.</t>
  </si>
  <si>
    <t>Janner, Arminio.</t>
  </si>
  <si>
    <t>Firenze, La nuova Italia, [1948]</t>
  </si>
  <si>
    <t>[l. ed.]</t>
  </si>
  <si>
    <t>Collana critica ; 44</t>
  </si>
  <si>
    <t>2005-03-20</t>
  </si>
  <si>
    <t>2030438262:ita</t>
  </si>
  <si>
    <t>1277263</t>
  </si>
  <si>
    <t>991003664599702656</t>
  </si>
  <si>
    <t>2261467630002656</t>
  </si>
  <si>
    <t>32285002515426</t>
  </si>
  <si>
    <t>893258688</t>
  </si>
  <si>
    <t>PQ4835.I7 Z754</t>
  </si>
  <si>
    <t>0                      PQ 4835000I  7                  Z  754</t>
  </si>
  <si>
    <t>The mirror of our anguish : a study of Luigi Pirandello's narrative writings / Douglas Radcliff-Umstead.</t>
  </si>
  <si>
    <t>Radcliff-Umstead, Douglas.</t>
  </si>
  <si>
    <t>Rutherford [N.J.] : Fairleigh Dickinson University Press, c1978.</t>
  </si>
  <si>
    <t>503225:eng</t>
  </si>
  <si>
    <t>3018383</t>
  </si>
  <si>
    <t>991004321659702656</t>
  </si>
  <si>
    <t>2272133040002656</t>
  </si>
  <si>
    <t>9780838619308</t>
  </si>
  <si>
    <t>32285000598176</t>
  </si>
  <si>
    <t>893519496</t>
  </si>
  <si>
    <t>PQ4841 .C5</t>
  </si>
  <si>
    <t>0                      PQ 4841000C  5</t>
  </si>
  <si>
    <t>Confessions of Zeno [by] Italo Svevo. Translated by Beryl de Zoete.</t>
  </si>
  <si>
    <t>Svevo, Italo, 1861-1928.</t>
  </si>
  <si>
    <t>Westport, Conn., Greenwood Press [1973]</t>
  </si>
  <si>
    <t>1999-02-23</t>
  </si>
  <si>
    <t>500222:eng</t>
  </si>
  <si>
    <t>1023395</t>
  </si>
  <si>
    <t>991003477829702656</t>
  </si>
  <si>
    <t>2271991160002656</t>
  </si>
  <si>
    <t>9780837155371</t>
  </si>
  <si>
    <t>32285002515442</t>
  </si>
  <si>
    <t>893881196</t>
  </si>
  <si>
    <t>PQ4841.C482 A24 1969b</t>
  </si>
  <si>
    <t>0                      PQ 4841000C  482                A  24          1969b</t>
  </si>
  <si>
    <t>Further confessions of Zeno / Italo Svevo [i.e. E. Schmitz] ; translated from the Italian by Ben Johnson and P. N. Furbank.</t>
  </si>
  <si>
    <t>Berkeley : University of California Press 1969.</t>
  </si>
  <si>
    <t>1st paperback ed.</t>
  </si>
  <si>
    <t>3901260883:eng</t>
  </si>
  <si>
    <t>23577</t>
  </si>
  <si>
    <t>991004907529702656</t>
  </si>
  <si>
    <t>2268623280002656</t>
  </si>
  <si>
    <t>9780520017535</t>
  </si>
  <si>
    <t>32285000598200</t>
  </si>
  <si>
    <t>893430597</t>
  </si>
  <si>
    <t>PQ4863.A3894 P758 2005</t>
  </si>
  <si>
    <t>0                      PQ 4863000A  3894               P  758         2005</t>
  </si>
  <si>
    <t>Privo di titolo / Andrea Camilleri.</t>
  </si>
  <si>
    <t>Camilleri, Andrea.</t>
  </si>
  <si>
    <t>Palermo : Sellerio, c2005.</t>
  </si>
  <si>
    <t>2005</t>
  </si>
  <si>
    <t>La memoria ; 642</t>
  </si>
  <si>
    <t>2005-09-08</t>
  </si>
  <si>
    <t>2005-06-08</t>
  </si>
  <si>
    <t>20552728:ita</t>
  </si>
  <si>
    <t>59753074</t>
  </si>
  <si>
    <t>991004560539702656</t>
  </si>
  <si>
    <t>2259928190002656</t>
  </si>
  <si>
    <t>9788838920301</t>
  </si>
  <si>
    <t>32285005093108</t>
  </si>
  <si>
    <t>893319393</t>
  </si>
  <si>
    <t>PQ4866.O2 M6 1997</t>
  </si>
  <si>
    <t>0                      PQ 4866000O  2                  M  6           1997</t>
  </si>
  <si>
    <t>Morte accidentale di un anarchico / Dario Fo ; edited with introduction, notes and vocabulary by Jennifer Lorch.</t>
  </si>
  <si>
    <t>Fo, Dario.</t>
  </si>
  <si>
    <t>Manchester ; New York : Manchester University Press ; Distributed exclusively in the USA by St. Martin's Press, 1997.</t>
  </si>
  <si>
    <t>Italian texts</t>
  </si>
  <si>
    <t>2003-10-24</t>
  </si>
  <si>
    <t>1998-06-23</t>
  </si>
  <si>
    <t>581603:ita</t>
  </si>
  <si>
    <t>36713262</t>
  </si>
  <si>
    <t>991002795349702656</t>
  </si>
  <si>
    <t>2262446530002656</t>
  </si>
  <si>
    <t>9780719038488</t>
  </si>
  <si>
    <t>32285003423273</t>
  </si>
  <si>
    <t>893792924</t>
  </si>
  <si>
    <t>PQ4867.A7255 F75 1999</t>
  </si>
  <si>
    <t>0                      PQ 4867000A  7255               F  75          1999</t>
  </si>
  <si>
    <t>Friulani brava gente / Alberto Garlini.</t>
  </si>
  <si>
    <t>Garlini, Alberto, 1969-</t>
  </si>
  <si>
    <t>Pordenone : Biblioteca dell'immagine, c1999.</t>
  </si>
  <si>
    <t>Chaos ; 8</t>
  </si>
  <si>
    <t>2005-05-04</t>
  </si>
  <si>
    <t>34794520:ita</t>
  </si>
  <si>
    <t>45435035</t>
  </si>
  <si>
    <t>991004507699702656</t>
  </si>
  <si>
    <t>2258962560002656</t>
  </si>
  <si>
    <t>32285005035356</t>
  </si>
  <si>
    <t>893430147</t>
  </si>
  <si>
    <t>PQ4873.A9532 N66 2003</t>
  </si>
  <si>
    <t>0                      PQ 4873000A  9532               N  66          2003</t>
  </si>
  <si>
    <t>Non ti muovere : romanzo / Margaret Mazzantini.</t>
  </si>
  <si>
    <t>Mazzantini, Margaret.</t>
  </si>
  <si>
    <t>Milano : Mondadori, 2003.</t>
  </si>
  <si>
    <t>26 ed.</t>
  </si>
  <si>
    <t>Scrittori italiani e stranieri</t>
  </si>
  <si>
    <t>2005-06-02</t>
  </si>
  <si>
    <t>689346:ita</t>
  </si>
  <si>
    <t>52972398</t>
  </si>
  <si>
    <t>991004507759702656</t>
  </si>
  <si>
    <t>2272518100002656</t>
  </si>
  <si>
    <t>9788804489474</t>
  </si>
  <si>
    <t>32285005092241</t>
  </si>
  <si>
    <t>893901306</t>
  </si>
  <si>
    <t>PQ4873.A98 V57913 2005</t>
  </si>
  <si>
    <t>0                      PQ 4873000A  98                 V  57913       2005</t>
  </si>
  <si>
    <t>Vita : a novel / Melania G. Mazzucco ; translated from the Italian by Virginia Jewiss.</t>
  </si>
  <si>
    <t>Mazzucco, Melania G., 1966-</t>
  </si>
  <si>
    <t>New York : Farrar, Straus and Giroux, 2005.</t>
  </si>
  <si>
    <t>2005-09-13</t>
  </si>
  <si>
    <t>878679:eng</t>
  </si>
  <si>
    <t>57530128</t>
  </si>
  <si>
    <t>991004635979702656</t>
  </si>
  <si>
    <t>2258944110002656</t>
  </si>
  <si>
    <t>9780374284954</t>
  </si>
  <si>
    <t>32285005083414</t>
  </si>
  <si>
    <t>893612579</t>
  </si>
  <si>
    <t>PQ4873.I399 V63 2001</t>
  </si>
  <si>
    <t>0                      PQ 4873000I  399                V  63          2001</t>
  </si>
  <si>
    <t>Voci del silenzio : racconti dal salotto delle ombre / Giorgio Milesi.</t>
  </si>
  <si>
    <t>Milesi, Giorgio.</t>
  </si>
  <si>
    <t>Castel Maggiore (Bologna) : Book, 2001.</t>
  </si>
  <si>
    <t>Pandora ; 29</t>
  </si>
  <si>
    <t>3756780100:ita</t>
  </si>
  <si>
    <t>52442433</t>
  </si>
  <si>
    <t>991004276849702656</t>
  </si>
  <si>
    <t>2270888700002656</t>
  </si>
  <si>
    <t>9788872323922</t>
  </si>
  <si>
    <t>32285004909395</t>
  </si>
  <si>
    <t>893325166</t>
  </si>
  <si>
    <t>PQ4880.A24 Z463 2003</t>
  </si>
  <si>
    <t>0                      PQ 4880000A  24                 Z  463         2003</t>
  </si>
  <si>
    <t>Autobiografie altrui : poetiche a posteriori / Antonio Tabucchi.</t>
  </si>
  <si>
    <t>Tabucchi, Antonio, 1943-2012.</t>
  </si>
  <si>
    <t>Milano : Feltrinelli, 2003.</t>
  </si>
  <si>
    <t>1. ed. in "Fuori collana / Saggi"</t>
  </si>
  <si>
    <t>Fuori collana. Saggi</t>
  </si>
  <si>
    <t>2005-11-10</t>
  </si>
  <si>
    <t>2005-10-27</t>
  </si>
  <si>
    <t>9800599:ita</t>
  </si>
  <si>
    <t>52476903</t>
  </si>
  <si>
    <t>991004634549702656</t>
  </si>
  <si>
    <t>2254991710002656</t>
  </si>
  <si>
    <t>9788807420986</t>
  </si>
  <si>
    <t>32285005142913</t>
  </si>
  <si>
    <t>893235732</t>
  </si>
  <si>
    <t>PQ521 .R6</t>
  </si>
  <si>
    <t>0                      PQ 0521000R  6</t>
  </si>
  <si>
    <t>Structural forms in the French theater, 1500-1700.</t>
  </si>
  <si>
    <t>Roaten, Darnell H. (Darnell Higgins), 1916-</t>
  </si>
  <si>
    <t>Philadelphia : University of Pennsylvania Press, [1960]</t>
  </si>
  <si>
    <t>2003-09-17</t>
  </si>
  <si>
    <t>1995-02-21</t>
  </si>
  <si>
    <t>376890043:eng</t>
  </si>
  <si>
    <t>338420</t>
  </si>
  <si>
    <t>991002404329702656</t>
  </si>
  <si>
    <t>2257183980002656</t>
  </si>
  <si>
    <t>32285001989358</t>
  </si>
  <si>
    <t>893251171</t>
  </si>
  <si>
    <t>PQ53 .M58 2004</t>
  </si>
  <si>
    <t>0                      PQ 0053000M  58          2004</t>
  </si>
  <si>
    <t>Modern French literary studies in the classroom : pedagogical strategies / edited by Charles J. Stivale.</t>
  </si>
  <si>
    <t>New York : Modern Language Association of America, 2004.</t>
  </si>
  <si>
    <t>Teaching languages, literatures, and cultures</t>
  </si>
  <si>
    <t>2007-03-15</t>
  </si>
  <si>
    <t>1032626:eng</t>
  </si>
  <si>
    <t>55730037</t>
  </si>
  <si>
    <t>991005043989702656</t>
  </si>
  <si>
    <t>2255877510002656</t>
  </si>
  <si>
    <t>9780873528047</t>
  </si>
  <si>
    <t>32285005282131</t>
  </si>
  <si>
    <t>893688512</t>
  </si>
  <si>
    <t>PQ53 .N8 1969</t>
  </si>
  <si>
    <t>0                      PQ 0053000N  8           1969</t>
  </si>
  <si>
    <t>The art of criticism; essays in French literary analysis, edited by Peter H. Nurse.</t>
  </si>
  <si>
    <t>Nurse, Peter H., compiler.</t>
  </si>
  <si>
    <t>Edinburgh, University Press [1969]</t>
  </si>
  <si>
    <t>2000-02-15</t>
  </si>
  <si>
    <t>103290839:eng</t>
  </si>
  <si>
    <t>45278</t>
  </si>
  <si>
    <t>991000103039702656</t>
  </si>
  <si>
    <t>2261662340002656</t>
  </si>
  <si>
    <t>9780852240687</t>
  </si>
  <si>
    <t>32285002588217</t>
  </si>
  <si>
    <t>893314676</t>
  </si>
  <si>
    <t>PQ551 .C5</t>
  </si>
  <si>
    <t>0                      PQ 0551000C  5</t>
  </si>
  <si>
    <t>The contemporary drama of France, by Frank Wadleigh Chandler ...</t>
  </si>
  <si>
    <t>Chandler, Frank Wadleigh, 1873-1947.</t>
  </si>
  <si>
    <t>Boston, Little, Brown, and Company, 1920.</t>
  </si>
  <si>
    <t>The Contemporary drama series</t>
  </si>
  <si>
    <t>2002-10-11</t>
  </si>
  <si>
    <t>1997-05-06</t>
  </si>
  <si>
    <t>2386291:eng</t>
  </si>
  <si>
    <t>1484641</t>
  </si>
  <si>
    <t>991003776519702656</t>
  </si>
  <si>
    <t>2272265940002656</t>
  </si>
  <si>
    <t>32285002650140</t>
  </si>
  <si>
    <t>893875168</t>
  </si>
  <si>
    <t>PQ556 .B67 1991</t>
  </si>
  <si>
    <t>0                      PQ 0556000B  67          1991</t>
  </si>
  <si>
    <t>Modern French drama, 1940-1990 / David Bradby.</t>
  </si>
  <si>
    <t>Bradby, David.</t>
  </si>
  <si>
    <t>Cambridge ; New York : Cambridge University Press, 1991.</t>
  </si>
  <si>
    <t>2nd ed.</t>
  </si>
  <si>
    <t>1995-12-10</t>
  </si>
  <si>
    <t>1992-07-09</t>
  </si>
  <si>
    <t>9512501253:eng</t>
  </si>
  <si>
    <t>24175628</t>
  </si>
  <si>
    <t>991001915899702656</t>
  </si>
  <si>
    <t>2259008180002656</t>
  </si>
  <si>
    <t>9780521408431</t>
  </si>
  <si>
    <t>32285001157980</t>
  </si>
  <si>
    <t>893408467</t>
  </si>
  <si>
    <t>PQ556 .D45 1987</t>
  </si>
  <si>
    <t>0                      PQ 0556000D  45          1987</t>
  </si>
  <si>
    <t>Le théâtre français depuis 1945 / Jean-Luc Dejean.</t>
  </si>
  <si>
    <t>Déjean, Jean-Luc, 1921-</t>
  </si>
  <si>
    <t>Paris : Nathan, c1987.</t>
  </si>
  <si>
    <t>Nathan université, information, formation. Arts</t>
  </si>
  <si>
    <t>348566325:fre</t>
  </si>
  <si>
    <t>17571116</t>
  </si>
  <si>
    <t>991001238289702656</t>
  </si>
  <si>
    <t>2261707790002656</t>
  </si>
  <si>
    <t>9782091910314</t>
  </si>
  <si>
    <t>32285001251247</t>
  </si>
  <si>
    <t>893715291</t>
  </si>
  <si>
    <t>PQ558 .C5 1970</t>
  </si>
  <si>
    <t>0                      PQ 0558000C  5           1970</t>
  </si>
  <si>
    <t>The contemporary French theatre; the flight from naturalism.</t>
  </si>
  <si>
    <t>New York, Gordian Press, 1970 [c1958]</t>
  </si>
  <si>
    <t>2004-12-06</t>
  </si>
  <si>
    <t>536193:eng</t>
  </si>
  <si>
    <t>115660</t>
  </si>
  <si>
    <t>991000656599702656</t>
  </si>
  <si>
    <t>2260312910002656</t>
  </si>
  <si>
    <t>9780877521266</t>
  </si>
  <si>
    <t>32285002650207</t>
  </si>
  <si>
    <t>893413561</t>
  </si>
  <si>
    <t>PQ561 .C6</t>
  </si>
  <si>
    <t>0                      PQ 0561000C  6</t>
  </si>
  <si>
    <t>French tragedy : the power of enactment / Albert Cook.</t>
  </si>
  <si>
    <t>Cook, Albert, 1925-1998.</t>
  </si>
  <si>
    <t>Chicago : Swallow Press ; Athens, Ohio : Ohio University, c1981.</t>
  </si>
  <si>
    <t>1994-02-02</t>
  </si>
  <si>
    <t>365520436:eng</t>
  </si>
  <si>
    <t>7179534</t>
  </si>
  <si>
    <t>991005084619702656</t>
  </si>
  <si>
    <t>2267182780002656</t>
  </si>
  <si>
    <t>9780804005487</t>
  </si>
  <si>
    <t>32285001251288</t>
  </si>
  <si>
    <t>893514016</t>
  </si>
  <si>
    <t>PQ6004.C274 S894 1981</t>
  </si>
  <si>
    <t>0                      PQ 6004000C  274                S  894         1981</t>
  </si>
  <si>
    <t>Studia hispánica in honour of Rodolfo Cardona / with introductions by Jorge Guillén y Juan Goytisolo ; [edited by Luis A. Ramos-García].</t>
  </si>
  <si>
    <t>Austin, Tex. : Studia Hispánica Editors ; Madrid : Cátedra, 1981.</t>
  </si>
  <si>
    <t>Studia hispánica ; 1</t>
  </si>
  <si>
    <t>2005-03-02</t>
  </si>
  <si>
    <t>7533539:spa</t>
  </si>
  <si>
    <t>13234234</t>
  </si>
  <si>
    <t>991004490329702656</t>
  </si>
  <si>
    <t>2267659300002656</t>
  </si>
  <si>
    <t>9780934840019</t>
  </si>
  <si>
    <t>32285005028989</t>
  </si>
  <si>
    <t>893259779</t>
  </si>
  <si>
    <t>PQ6007 .B718 1972</t>
  </si>
  <si>
    <t>0                      PQ 6007000B  718         1972</t>
  </si>
  <si>
    <t>Benedetto Croce y su crítica de la literatura española / Benito Brancaforte ; traducción española de Juan Conde.</t>
  </si>
  <si>
    <t>Brancaforte, Benito.</t>
  </si>
  <si>
    <t>Madrid : Editorial Gredos, [1972]</t>
  </si>
  <si>
    <t>Biblioteca románica hispánica. 2. Estudios y ensayos, 172</t>
  </si>
  <si>
    <t>1558685:spa</t>
  </si>
  <si>
    <t>536334</t>
  </si>
  <si>
    <t>991004490439702656</t>
  </si>
  <si>
    <t>2260780020002656</t>
  </si>
  <si>
    <t>32285005028922</t>
  </si>
  <si>
    <t>893519718</t>
  </si>
  <si>
    <t>PQ6014 .H47 1989</t>
  </si>
  <si>
    <t>0                      PQ 6014000H  47          1989</t>
  </si>
  <si>
    <t>Approaches to teaching Spanish Golden Age drama / edited by Everett W. Hesse, with the assistance of Catherine Larson.</t>
  </si>
  <si>
    <t>York, S.C. : Spanish Literature Publications Co., 1989.</t>
  </si>
  <si>
    <t>scu</t>
  </si>
  <si>
    <t>2003-04-15</t>
  </si>
  <si>
    <t>365336347:eng</t>
  </si>
  <si>
    <t>20507543</t>
  </si>
  <si>
    <t>991004027709702656</t>
  </si>
  <si>
    <t>2258227240002656</t>
  </si>
  <si>
    <t>9780938972143</t>
  </si>
  <si>
    <t>32285004742507</t>
  </si>
  <si>
    <t>893900702</t>
  </si>
  <si>
    <t>PQ6014 .L3 1975</t>
  </si>
  <si>
    <t>0                      PQ 6014000L  3           1975</t>
  </si>
  <si>
    <t>Caomo se comenta un texto literario / Fernando Laazaro Carreter, Evasisto Correa Calderaon.</t>
  </si>
  <si>
    <t>Lázaro Carreter, Fernando.</t>
  </si>
  <si>
    <t>Madrid : Ediciones Caatedra, 1975.</t>
  </si>
  <si>
    <t>Ed. rev. y amp. 13 ed.</t>
  </si>
  <si>
    <t>2004-08-04</t>
  </si>
  <si>
    <t>2628984:spa</t>
  </si>
  <si>
    <t>2013485</t>
  </si>
  <si>
    <t>991004335849702656</t>
  </si>
  <si>
    <t>2267702780002656</t>
  </si>
  <si>
    <t>9788437600246</t>
  </si>
  <si>
    <t>32285004928288</t>
  </si>
  <si>
    <t>893718783</t>
  </si>
  <si>
    <t>PQ6020.M4 S26 1974</t>
  </si>
  <si>
    <t>0                      PQ 6020000M  4                  S  26          1974</t>
  </si>
  <si>
    <t>Biografía crítica y documental de Marcelino Menéndez Pelayo / por Enrique Sánchez Reyes.</t>
  </si>
  <si>
    <t>Sánchez Reyes, Enrique.</t>
  </si>
  <si>
    <t>Santander : Aldus, 1974.</t>
  </si>
  <si>
    <t>3. ed. aum.</t>
  </si>
  <si>
    <t>Edición nacional de las obras completas de Menéndez Pelayo ; 66</t>
  </si>
  <si>
    <t>2005-04-06</t>
  </si>
  <si>
    <t>2637879:spa</t>
  </si>
  <si>
    <t>2009251</t>
  </si>
  <si>
    <t>991004523559702656</t>
  </si>
  <si>
    <t>2263234760002656</t>
  </si>
  <si>
    <t>9788400039615</t>
  </si>
  <si>
    <t>32285005048458</t>
  </si>
  <si>
    <t>893901323</t>
  </si>
  <si>
    <t>PQ6030 .S3</t>
  </si>
  <si>
    <t>0                      PQ 6030000S  3</t>
  </si>
  <si>
    <t>Ensayos de literatura hispánica, del "Cantar de mío Cid" a García Lorca. Edición y prólogo de Juan Marichal.</t>
  </si>
  <si>
    <t>Salinas, Pedro, 1892-1951.</t>
  </si>
  <si>
    <t>Madrid, Aguilar, 1958.</t>
  </si>
  <si>
    <t>Ensayistas hispánicos</t>
  </si>
  <si>
    <t>2001-09-24</t>
  </si>
  <si>
    <t>8353746:spa</t>
  </si>
  <si>
    <t>1698921</t>
  </si>
  <si>
    <t>991003873479702656</t>
  </si>
  <si>
    <t>2271908140002656</t>
  </si>
  <si>
    <t>32285002515574</t>
  </si>
  <si>
    <t>893324646</t>
  </si>
  <si>
    <t>PQ6032 .A45</t>
  </si>
  <si>
    <t>0                      PQ 6032000A  45</t>
  </si>
  <si>
    <t>Historia de la literatura española / Juan Luis Alborg.</t>
  </si>
  <si>
    <t>V. 3</t>
  </si>
  <si>
    <t>Alborg, Juan Luis.</t>
  </si>
  <si>
    <t>Madrid : Editorial Gredos, c1977-1980.</t>
  </si>
  <si>
    <t>2.a ed., ampliada, 4.a réimpr.</t>
  </si>
  <si>
    <t>2001-09-27</t>
  </si>
  <si>
    <t>1991-04-29</t>
  </si>
  <si>
    <t>1991-05-06</t>
  </si>
  <si>
    <t>1457178:spa</t>
  </si>
  <si>
    <t>7294877</t>
  </si>
  <si>
    <t>991005101939702656</t>
  </si>
  <si>
    <t>2258118850002656</t>
  </si>
  <si>
    <t>9788424931261</t>
  </si>
  <si>
    <t>32285000586346</t>
  </si>
  <si>
    <t>893344644</t>
  </si>
  <si>
    <t>32285000586338</t>
  </si>
  <si>
    <t>893326164</t>
  </si>
  <si>
    <t>V. 4</t>
  </si>
  <si>
    <t>1996-11-14</t>
  </si>
  <si>
    <t>32285000586353</t>
  </si>
  <si>
    <t>893350713</t>
  </si>
  <si>
    <t>32285000573096</t>
  </si>
  <si>
    <t>893344645</t>
  </si>
  <si>
    <t>PQ6032 .C6 1973</t>
  </si>
  <si>
    <t>0                      PQ 6032000C  6           1973</t>
  </si>
  <si>
    <t>El Comentario de textos / [por] Emilio Alarcos ... [et al.]</t>
  </si>
  <si>
    <t>Madrid : Editorial Castalia, 1973.</t>
  </si>
  <si>
    <t>Literatura y sociedad</t>
  </si>
  <si>
    <t>2005-03-23</t>
  </si>
  <si>
    <t>5583668614:spa</t>
  </si>
  <si>
    <t>718159</t>
  </si>
  <si>
    <t>991004509289702656</t>
  </si>
  <si>
    <t>2256321560002656</t>
  </si>
  <si>
    <t>32285005029433</t>
  </si>
  <si>
    <t>893618745</t>
  </si>
  <si>
    <t>PQ6032 .P4 v...</t>
  </si>
  <si>
    <t>0                      PQ 6032000P  4                                                       v...</t>
  </si>
  <si>
    <t>Manual de literatura española / Felipe B. Pedraza Jiménez, Milagros Rodríguez Cáceres.</t>
  </si>
  <si>
    <t>V. 9</t>
  </si>
  <si>
    <t>Pedraza Jiménez, Felipe B.</t>
  </si>
  <si>
    <t>Pamplona : Cénlit, 1980-</t>
  </si>
  <si>
    <t>2002-04-23</t>
  </si>
  <si>
    <t>1992-11-17</t>
  </si>
  <si>
    <t>1997-12-29</t>
  </si>
  <si>
    <t>4926464397:spa</t>
  </si>
  <si>
    <t>8112114</t>
  </si>
  <si>
    <t>991005204689702656</t>
  </si>
  <si>
    <t>2256994580002656</t>
  </si>
  <si>
    <t>9788485511044</t>
  </si>
  <si>
    <t>32285001363653</t>
  </si>
  <si>
    <t>893514227</t>
  </si>
  <si>
    <t>V. 14</t>
  </si>
  <si>
    <t>32285003300109</t>
  </si>
  <si>
    <t>893527099</t>
  </si>
  <si>
    <t>V. 6</t>
  </si>
  <si>
    <t>2001-12-01</t>
  </si>
  <si>
    <t>32285001363620</t>
  </si>
  <si>
    <t>893527096</t>
  </si>
  <si>
    <t>V. 11</t>
  </si>
  <si>
    <t>1993-07-08</t>
  </si>
  <si>
    <t>32285001721736</t>
  </si>
  <si>
    <t>893527100</t>
  </si>
  <si>
    <t>32285001363596</t>
  </si>
  <si>
    <t>893527097</t>
  </si>
  <si>
    <t>V. 5</t>
  </si>
  <si>
    <t>32285001363612</t>
  </si>
  <si>
    <t>893507777</t>
  </si>
  <si>
    <t>V. 7</t>
  </si>
  <si>
    <t>32285001363638</t>
  </si>
  <si>
    <t>893527095</t>
  </si>
  <si>
    <t>2000-10-13</t>
  </si>
  <si>
    <t>32285001363570</t>
  </si>
  <si>
    <t>893527094</t>
  </si>
  <si>
    <t>32285001363604</t>
  </si>
  <si>
    <t>893533358</t>
  </si>
  <si>
    <t>1995-10-18</t>
  </si>
  <si>
    <t>32285001363588</t>
  </si>
  <si>
    <t>893527098</t>
  </si>
  <si>
    <t>V. 10</t>
  </si>
  <si>
    <t>32285001363661</t>
  </si>
  <si>
    <t>893533359</t>
  </si>
  <si>
    <t>V. 8</t>
  </si>
  <si>
    <t>32285001363646</t>
  </si>
  <si>
    <t>893514228</t>
  </si>
  <si>
    <t>PQ6032 .S73 2001 v.1</t>
  </si>
  <si>
    <t>0                      PQ 6032000S  73          2001                                        v.1</t>
  </si>
  <si>
    <t>Spanish literature : current debates on Hispanism / edited with introductions by David William Foster, Daniel Altamiranda, Carmen de Urioste.</t>
  </si>
  <si>
    <t>New York : Garland Pub., 2001.</t>
  </si>
  <si>
    <t>Spanish literature ; 1</t>
  </si>
  <si>
    <t>2001-03-07</t>
  </si>
  <si>
    <t>2866555447:eng</t>
  </si>
  <si>
    <t>45223599</t>
  </si>
  <si>
    <t>991003508049702656</t>
  </si>
  <si>
    <t>2264847630002656</t>
  </si>
  <si>
    <t>9780815335634</t>
  </si>
  <si>
    <t>32285004299862</t>
  </si>
  <si>
    <t>893342634</t>
  </si>
  <si>
    <t>PQ6033 .C45</t>
  </si>
  <si>
    <t>0                      PQ 6033000C  45</t>
  </si>
  <si>
    <t>A new history of Spanish literature / [by] Richard E. Chandler [and] Kessel Schwartz.</t>
  </si>
  <si>
    <t>Chandler, Richard E. (Richard Eugene), 1916-2008.</t>
  </si>
  <si>
    <t>Baton Rouge : Louisiana State University Press, [1961]</t>
  </si>
  <si>
    <t>lau</t>
  </si>
  <si>
    <t>1996-12-01</t>
  </si>
  <si>
    <t>1995-08-24</t>
  </si>
  <si>
    <t>3901084888:eng</t>
  </si>
  <si>
    <t>345356</t>
  </si>
  <si>
    <t>991002427379702656</t>
  </si>
  <si>
    <t>2269800190002656</t>
  </si>
  <si>
    <t>32285002065307</t>
  </si>
  <si>
    <t>893616104</t>
  </si>
  <si>
    <t>PQ6033 .F6 1898</t>
  </si>
  <si>
    <t>0                      PQ 6033000F  6           1898</t>
  </si>
  <si>
    <t>A history of Spanish literature, by James Fitzmaurice-Kelly ...</t>
  </si>
  <si>
    <t>Fitzmaurice-Kelly, James, 1858-1923.</t>
  </si>
  <si>
    <t>New York, D. Appleton and Company, 1898.</t>
  </si>
  <si>
    <t>Short histories of the literatures of the world</t>
  </si>
  <si>
    <t>4820445543:eng</t>
  </si>
  <si>
    <t>609074</t>
  </si>
  <si>
    <t>991003048589702656</t>
  </si>
  <si>
    <t>2254746910002656</t>
  </si>
  <si>
    <t>32285002515681</t>
  </si>
  <si>
    <t>893717265</t>
  </si>
  <si>
    <t>PQ6033 .F6 1926</t>
  </si>
  <si>
    <t>0                      PQ 6033000F  6           1926</t>
  </si>
  <si>
    <t>A new history of Spanish literature / by James Fitzmaurice-Kelly, F.B.A.</t>
  </si>
  <si>
    <t>London, New York [etc.] H. Milford, Oxford University Press, 1926.</t>
  </si>
  <si>
    <t>1926</t>
  </si>
  <si>
    <t>1997-07-08</t>
  </si>
  <si>
    <t>3901028754:eng</t>
  </si>
  <si>
    <t>1017908</t>
  </si>
  <si>
    <t>991003474289702656</t>
  </si>
  <si>
    <t>2258890170002656</t>
  </si>
  <si>
    <t>32285002515699</t>
  </si>
  <si>
    <t>893805806</t>
  </si>
  <si>
    <t>PQ6033 .F75 1968</t>
  </si>
  <si>
    <t>0                      PQ 6033000F  75          1968</t>
  </si>
  <si>
    <t>Main currents of Spanish literature.</t>
  </si>
  <si>
    <t>Ford, J. D. M. (Jeremiah Denis Matthias), 1873-1958.</t>
  </si>
  <si>
    <t>New York, Biblo and Tannen, 1968 [c1919]</t>
  </si>
  <si>
    <t>484375:eng</t>
  </si>
  <si>
    <t>437962</t>
  </si>
  <si>
    <t>991002773709702656</t>
  </si>
  <si>
    <t>2268011250002656</t>
  </si>
  <si>
    <t>32285002515715</t>
  </si>
  <si>
    <t>893616558</t>
  </si>
  <si>
    <t>PQ6033 .T5 1854</t>
  </si>
  <si>
    <t>0                      PQ 6033000T  5           1854</t>
  </si>
  <si>
    <t>History of Spanish literature.</t>
  </si>
  <si>
    <t>Ticknor, George, 1791-1871.</t>
  </si>
  <si>
    <t>New York, Harper and Brothers, 1854.</t>
  </si>
  <si>
    <t>1854</t>
  </si>
  <si>
    <t>2d ed.</t>
  </si>
  <si>
    <t>2001-09-26</t>
  </si>
  <si>
    <t>9322931024:eng</t>
  </si>
  <si>
    <t>2613481</t>
  </si>
  <si>
    <t>991004184079702656</t>
  </si>
  <si>
    <t>2262625290002656</t>
  </si>
  <si>
    <t>32285002515756</t>
  </si>
  <si>
    <t>893442317</t>
  </si>
  <si>
    <t>32285002515749</t>
  </si>
  <si>
    <t>893435988</t>
  </si>
  <si>
    <t>32285002515731</t>
  </si>
  <si>
    <t>893423483</t>
  </si>
  <si>
    <t>PQ6039 .A65 1976</t>
  </si>
  <si>
    <t>0                      PQ 6039000A  65          1976</t>
  </si>
  <si>
    <t>Estudios literarios / José Luis L. Aranguren.</t>
  </si>
  <si>
    <t>Aranguren, José Luis L., 1909-1996.</t>
  </si>
  <si>
    <t>Madrid : Gredos, c1976.</t>
  </si>
  <si>
    <t>Biblioteca románica hispánica ; 2 ; Estudios y ensayos ; 242</t>
  </si>
  <si>
    <t>293051631:spa</t>
  </si>
  <si>
    <t>2596313</t>
  </si>
  <si>
    <t>991004523709702656</t>
  </si>
  <si>
    <t>2268384950002656</t>
  </si>
  <si>
    <t>9788424906818</t>
  </si>
  <si>
    <t>32285005048433</t>
  </si>
  <si>
    <t>893247672</t>
  </si>
  <si>
    <t>PQ6039 .B46</t>
  </si>
  <si>
    <t>0                      PQ 6039000B  46</t>
  </si>
  <si>
    <t>Beltenebros y otros ensayos sobre literatura española.</t>
  </si>
  <si>
    <t>Bergamín, José, 1895-1983.</t>
  </si>
  <si>
    <t>Barcelona, Editorial Noguer [1973]</t>
  </si>
  <si>
    <t>[1. ed.]</t>
  </si>
  <si>
    <t>Colección Temas de hoy de siempre, 2</t>
  </si>
  <si>
    <t>2003-11-24</t>
  </si>
  <si>
    <t>3943632328:spa</t>
  </si>
  <si>
    <t>716759</t>
  </si>
  <si>
    <t>991003191529702656</t>
  </si>
  <si>
    <t>2259307760002656</t>
  </si>
  <si>
    <t>32285002515855</t>
  </si>
  <si>
    <t>893530924</t>
  </si>
  <si>
    <t>PQ6039 .L245 1997</t>
  </si>
  <si>
    <t>0                      PQ 6039000L  245         1997</t>
  </si>
  <si>
    <t>De Berceo a Jorge Guillaen : estudios literarios / Rafael Lapesa.</t>
  </si>
  <si>
    <t>Lapesa, Rafael.</t>
  </si>
  <si>
    <t>Madrid : Gredos, c1997.</t>
  </si>
  <si>
    <t>Biblioteca romaanica hispaanica. II. Estudios y ensayos ; 403</t>
  </si>
  <si>
    <t>365136421:spa</t>
  </si>
  <si>
    <t>36837627</t>
  </si>
  <si>
    <t>991004345699702656</t>
  </si>
  <si>
    <t>2270193150002656</t>
  </si>
  <si>
    <t>9788424918545</t>
  </si>
  <si>
    <t>32285005002356</t>
  </si>
  <si>
    <t>893325257</t>
  </si>
  <si>
    <t>PQ6039 .M46 1990</t>
  </si>
  <si>
    <t>0                      PQ 6039000M  46          1990</t>
  </si>
  <si>
    <t>Literatura española / Marcelino Menéndez Pelayo ; selección y ordenación de Pablo Beltrán de Heredia.</t>
  </si>
  <si>
    <t>Menéndez y Pelayo, Marcelino, 1856-1912.</t>
  </si>
  <si>
    <t>Santander : Fundación Marcelino Botín, 1990.</t>
  </si>
  <si>
    <t>Publicaciones de la Fundación Marcelino Botín. Serie Literatura ; 1</t>
  </si>
  <si>
    <t>31604130:spa</t>
  </si>
  <si>
    <t>29578027</t>
  </si>
  <si>
    <t>991004509649702656</t>
  </si>
  <si>
    <t>2255071060002656</t>
  </si>
  <si>
    <t>9788487678028</t>
  </si>
  <si>
    <t>32285005044432</t>
  </si>
  <si>
    <t>893325458</t>
  </si>
  <si>
    <t>PQ6042.A4 L66 1985</t>
  </si>
  <si>
    <t>0                      PQ 6042000A  4                  L  66          1985</t>
  </si>
  <si>
    <t>Huellas del Islam en la literatura española : de Juan Ruiz a Juan Goytisolo / Luce López-Baralt.</t>
  </si>
  <si>
    <t>López Baralt, Luce.</t>
  </si>
  <si>
    <t>Madrid : Hiperión, c1985.</t>
  </si>
  <si>
    <t>Libros Hiperión ; 86</t>
  </si>
  <si>
    <t>1995-03-22</t>
  </si>
  <si>
    <t>1991-05-22</t>
  </si>
  <si>
    <t>26914620:spa</t>
  </si>
  <si>
    <t>13385234</t>
  </si>
  <si>
    <t>991000819429702656</t>
  </si>
  <si>
    <t>2267584300002656</t>
  </si>
  <si>
    <t>9788475171524</t>
  </si>
  <si>
    <t>32285000598341</t>
  </si>
  <si>
    <t>893249706</t>
  </si>
  <si>
    <t>PQ6046.I53 L65 2001</t>
  </si>
  <si>
    <t>0                      PQ 6046000I  53                 L  65          2001</t>
  </si>
  <si>
    <t>Un huaesped no invitado : la voz tangencial del indio en la literatura hispana / Eduardo C. Lolo.</t>
  </si>
  <si>
    <t>Lolo, Eduardo, 1948-</t>
  </si>
  <si>
    <t>Rosario, Repaublica Argentina : UNR, 2001.</t>
  </si>
  <si>
    <t>2004-05-11</t>
  </si>
  <si>
    <t>350969459:spa</t>
  </si>
  <si>
    <t>48896883</t>
  </si>
  <si>
    <t>991004296979702656</t>
  </si>
  <si>
    <t>2271476760002656</t>
  </si>
  <si>
    <t>9789506732851</t>
  </si>
  <si>
    <t>32285004905450</t>
  </si>
  <si>
    <t>893229177</t>
  </si>
  <si>
    <t>PQ6047.I5 S26 1981</t>
  </si>
  <si>
    <t>0                      PQ 6047000I  5                  S  26          1981</t>
  </si>
  <si>
    <t>Indianismo y indigenismo en la literatura peruana / Luis Alberto Sánchez.</t>
  </si>
  <si>
    <t>Sánchez, Luis Alberto, 1900-1994.</t>
  </si>
  <si>
    <t>Lima, Perú : Mosca Azul Editores, 1981.</t>
  </si>
  <si>
    <t>1a. ed.</t>
  </si>
  <si>
    <t xml:space="preserve">pe </t>
  </si>
  <si>
    <t>1995-08-17</t>
  </si>
  <si>
    <t>134025294:spa</t>
  </si>
  <si>
    <t>9485606</t>
  </si>
  <si>
    <t>991000204169702656</t>
  </si>
  <si>
    <t>2254863130002656</t>
  </si>
  <si>
    <t>32285002080397</t>
  </si>
  <si>
    <t>893601575</t>
  </si>
  <si>
    <t>PQ6051 .T7 1997</t>
  </si>
  <si>
    <t>0                      PQ 6051000T  7           1997</t>
  </si>
  <si>
    <t>Perfil en el aire / Ricardo Trigueros de León ; presentación por Ricardo Lindo.</t>
  </si>
  <si>
    <t>Trigueros de León, Ricardo, 1917-1965.</t>
  </si>
  <si>
    <t>San Salvador [El Salvador] : Dirección de Publicaciones e Impresos, Consejo Nacional para la Cultura y el Arte, 1997.</t>
  </si>
  <si>
    <t>2. ed.</t>
  </si>
  <si>
    <t xml:space="preserve">es </t>
  </si>
  <si>
    <t>Biblioteca básica de literatura salvadoreña ; v. 20</t>
  </si>
  <si>
    <t>2001-11-08</t>
  </si>
  <si>
    <t>2001-11-07</t>
  </si>
  <si>
    <t>4917322992:spa</t>
  </si>
  <si>
    <t>39225824</t>
  </si>
  <si>
    <t>991003669489702656</t>
  </si>
  <si>
    <t>2267100980002656</t>
  </si>
  <si>
    <t>32285004418991</t>
  </si>
  <si>
    <t>893617590</t>
  </si>
  <si>
    <t>PQ6055 .C68 1991</t>
  </si>
  <si>
    <t>0                      PQ 6055000C  68          1991</t>
  </si>
  <si>
    <t>Conversaciones y poemas : la nueva poesía femenina española en castellano / por Sharon Keefe Ugalde.</t>
  </si>
  <si>
    <t>Madrid : Siglo XXI de España Editores, 1991.</t>
  </si>
  <si>
    <t>Lingüística y teoría literaria</t>
  </si>
  <si>
    <t>2002-04-09</t>
  </si>
  <si>
    <t>2002-03-14</t>
  </si>
  <si>
    <t>321213798:spa</t>
  </si>
  <si>
    <t>29878221</t>
  </si>
  <si>
    <t>991003765209702656</t>
  </si>
  <si>
    <t>2257412680002656</t>
  </si>
  <si>
    <t>9788432307256</t>
  </si>
  <si>
    <t>32285004461033</t>
  </si>
  <si>
    <t>893611411</t>
  </si>
  <si>
    <t>PQ6055 .N5 1992</t>
  </si>
  <si>
    <t>0                      PQ 6055000N  5           1992</t>
  </si>
  <si>
    <t>Des/cifrar la diferencia : narrativa femenina de la España contemporánea / por Geraldine C. Nichols.</t>
  </si>
  <si>
    <t>Nichols, Geraldine Cleary.</t>
  </si>
  <si>
    <t>México, D.F. : Siglo Veintiuno Editores ; Madrid : Siglo Veintiuno de España Editores, 1992.</t>
  </si>
  <si>
    <t xml:space="preserve">mx </t>
  </si>
  <si>
    <t>317423295:spa</t>
  </si>
  <si>
    <t>25987683</t>
  </si>
  <si>
    <t>991003845789702656</t>
  </si>
  <si>
    <t>2256053620002656</t>
  </si>
  <si>
    <t>9788432307362</t>
  </si>
  <si>
    <t>32285004499652</t>
  </si>
  <si>
    <t>893781494</t>
  </si>
  <si>
    <t>PQ6057 .D53 1977</t>
  </si>
  <si>
    <t>0                      PQ 6057000D  53          1977</t>
  </si>
  <si>
    <t>El fuego de la palabra : ensayos e interpretaciones críticas / Pedro Díaz Seijas.</t>
  </si>
  <si>
    <t>Díaz Seijas, Pedro.</t>
  </si>
  <si>
    <t>Caracas : Asociación de Escritores Venezolanos, 1977.</t>
  </si>
  <si>
    <t>Cuadernos literarios de la "Asociación de Escritores Venezolanos" ; 139</t>
  </si>
  <si>
    <t>2002-06-10</t>
  </si>
  <si>
    <t>31442054:spa</t>
  </si>
  <si>
    <t>8353959</t>
  </si>
  <si>
    <t>991003816979702656</t>
  </si>
  <si>
    <t>2258335550002656</t>
  </si>
  <si>
    <t>32285004485362</t>
  </si>
  <si>
    <t>893592919</t>
  </si>
  <si>
    <t>PQ6057 .G7</t>
  </si>
  <si>
    <t>0                      PQ 6057000G  7</t>
  </si>
  <si>
    <t>Spain and the Western tradition : the Castilian mind in literature from El Cid to Calderón.</t>
  </si>
  <si>
    <t>Green, Otis H. (Otis Howard), 1898-1978.</t>
  </si>
  <si>
    <t>Madison : University of Wisconsin Press, 1963-1966.</t>
  </si>
  <si>
    <t>2001-09-28</t>
  </si>
  <si>
    <t>9349384196:eng</t>
  </si>
  <si>
    <t>344886</t>
  </si>
  <si>
    <t>991002425899702656</t>
  </si>
  <si>
    <t>2269892890002656</t>
  </si>
  <si>
    <t>32285000598382</t>
  </si>
  <si>
    <t>893245160</t>
  </si>
  <si>
    <t>1998-10-14</t>
  </si>
  <si>
    <t>32285000598390</t>
  </si>
  <si>
    <t>893226822</t>
  </si>
  <si>
    <t>32285000598408</t>
  </si>
  <si>
    <t>893245161</t>
  </si>
  <si>
    <t>1995-09-23</t>
  </si>
  <si>
    <t>32285000598416</t>
  </si>
  <si>
    <t>893251200</t>
  </si>
  <si>
    <t>PQ6057 .H5818 1994</t>
  </si>
  <si>
    <t>0                      PQ 6057000H  5818        1994</t>
  </si>
  <si>
    <t>Historia de la literatura española / obra dirigida por Jean Canavaggio ; con la colaboración de Bernard Darbord ... [et al.] ; edición española a cargo de Rosa Navarro Durán.</t>
  </si>
  <si>
    <t>Histoire de la littérature espagnole (Fayard (Firm)). Spanish.</t>
  </si>
  <si>
    <t>Barcelona : Ariel, 1994-</t>
  </si>
  <si>
    <t>2006-09-29</t>
  </si>
  <si>
    <t>2002-04-30</t>
  </si>
  <si>
    <t>3758522272:spa</t>
  </si>
  <si>
    <t>33495498</t>
  </si>
  <si>
    <t>991003797139702656</t>
  </si>
  <si>
    <t>2261210700002656</t>
  </si>
  <si>
    <t>9788434474536</t>
  </si>
  <si>
    <t>32285004483474</t>
  </si>
  <si>
    <t>893353045</t>
  </si>
  <si>
    <t>PQ6058 .A84 1970</t>
  </si>
  <si>
    <t>0                      PQ 6058000A  84          1970</t>
  </si>
  <si>
    <t>Poética y realidad en el cancionero peninsular de la Edad Media.</t>
  </si>
  <si>
    <t>Asensio, Eugenio.</t>
  </si>
  <si>
    <t>Madrid, Editorial Gredos [1970]</t>
  </si>
  <si>
    <t>2. ed. aumentada.</t>
  </si>
  <si>
    <t>Biblioteca románica hispánica. 2: Estudios y ensayos, 34</t>
  </si>
  <si>
    <t>2000-10-18</t>
  </si>
  <si>
    <t>1804675:spa</t>
  </si>
  <si>
    <t>855978</t>
  </si>
  <si>
    <t>991003326369702656</t>
  </si>
  <si>
    <t>2268040520002656</t>
  </si>
  <si>
    <t>32285002516036</t>
  </si>
  <si>
    <t>893252263</t>
  </si>
  <si>
    <t>PQ6058 .D4 1971</t>
  </si>
  <si>
    <t>0                      PQ 6058000D  4           1971</t>
  </si>
  <si>
    <t>The middle ages / [by] A. D. Deyermond.</t>
  </si>
  <si>
    <t>Deyermond, A. D.</t>
  </si>
  <si>
    <t>London : Benn ; New York : Barnes &amp; Noble, 1971.</t>
  </si>
  <si>
    <t>A Literary history of Spain</t>
  </si>
  <si>
    <t>3856458150:eng</t>
  </si>
  <si>
    <t>226260</t>
  </si>
  <si>
    <t>991001380759702656</t>
  </si>
  <si>
    <t>2263196210002656</t>
  </si>
  <si>
    <t>9780510322519</t>
  </si>
  <si>
    <t>32285000598424</t>
  </si>
  <si>
    <t>893690574</t>
  </si>
  <si>
    <t>PQ6058 .L6 1966</t>
  </si>
  <si>
    <t>0                      PQ 6058000L  6           1966</t>
  </si>
  <si>
    <t>Introducción a la literatura medieval española.</t>
  </si>
  <si>
    <t>López Estrada, Francisco.</t>
  </si>
  <si>
    <t>Madrid, Editorial Gredos [1966]</t>
  </si>
  <si>
    <t>3. ed., renovada.</t>
  </si>
  <si>
    <t>Biblioteca románica hispánica. 3. Manuales, 4</t>
  </si>
  <si>
    <t>2000-11-20</t>
  </si>
  <si>
    <t>1500015:spa</t>
  </si>
  <si>
    <t>347534</t>
  </si>
  <si>
    <t>991002432069702656</t>
  </si>
  <si>
    <t>2272705220002656</t>
  </si>
  <si>
    <t>32285002516044</t>
  </si>
  <si>
    <t>893415192</t>
  </si>
  <si>
    <t>PQ6058 .M34</t>
  </si>
  <si>
    <t>0                      PQ 6058000M  34</t>
  </si>
  <si>
    <t>Literatura castellana medieval : de las jarchas a Alfonso X / Francisco Marcos Marín.</t>
  </si>
  <si>
    <t>Marcos Marín, Francisco.</t>
  </si>
  <si>
    <t>Madrid : Cincel, c1980.</t>
  </si>
  <si>
    <t>Cuadernos de estudio. Serie Literatura ; 1</t>
  </si>
  <si>
    <t>1998-10-26</t>
  </si>
  <si>
    <t>793443981:spa</t>
  </si>
  <si>
    <t>7945464</t>
  </si>
  <si>
    <t>991005180409702656</t>
  </si>
  <si>
    <t>2271197630002656</t>
  </si>
  <si>
    <t>32285000598432</t>
  </si>
  <si>
    <t>893896018</t>
  </si>
  <si>
    <t>PQ6060 .G28 1967</t>
  </si>
  <si>
    <t>0                      PQ 6060000G  28          1967</t>
  </si>
  <si>
    <t>Espiritu y milicia en la España medieval / José María Gárate Córdoba.</t>
  </si>
  <si>
    <t>Gárate Córdoba, José María.</t>
  </si>
  <si>
    <t>Madrid : Publicaciones Españolas, 1967.</t>
  </si>
  <si>
    <t>Claves de España ; 5</t>
  </si>
  <si>
    <t>2005-03-22</t>
  </si>
  <si>
    <t>5928421:spa</t>
  </si>
  <si>
    <t>2691988</t>
  </si>
  <si>
    <t>991004508509702656</t>
  </si>
  <si>
    <t>2263009710002656</t>
  </si>
  <si>
    <t>32285005029391</t>
  </si>
  <si>
    <t>893782320</t>
  </si>
  <si>
    <t>PQ6060 .N3</t>
  </si>
  <si>
    <t>0                      PQ 6060000N  3</t>
  </si>
  <si>
    <t>El mar en la literatura medieval castellana.</t>
  </si>
  <si>
    <t>Navarro González, Alberto.</t>
  </si>
  <si>
    <t>[La Laguna] Universidad de La Laguna [1962]</t>
  </si>
  <si>
    <t>355360158:spa</t>
  </si>
  <si>
    <t>3662002</t>
  </si>
  <si>
    <t>991004491189702656</t>
  </si>
  <si>
    <t>2261211240002656</t>
  </si>
  <si>
    <t>32285002516093</t>
  </si>
  <si>
    <t>893718972</t>
  </si>
  <si>
    <t>PQ6060 .P7 1974</t>
  </si>
  <si>
    <t>0                      PQ 6060000P  7           1974</t>
  </si>
  <si>
    <t>Mediaeval Spanish allegory.</t>
  </si>
  <si>
    <t>Post, Chandler Rathfon, 1881-1959.</t>
  </si>
  <si>
    <t>Westport, Conn. : Greenwood Press, [1974, c1915]</t>
  </si>
  <si>
    <t>2000-11-04</t>
  </si>
  <si>
    <t>923749:eng</t>
  </si>
  <si>
    <t>802987</t>
  </si>
  <si>
    <t>991003280579702656</t>
  </si>
  <si>
    <t>2270568050002656</t>
  </si>
  <si>
    <t>9780837155357</t>
  </si>
  <si>
    <t>32285000598457</t>
  </si>
  <si>
    <t>893422388</t>
  </si>
  <si>
    <t>PQ6060 .S3</t>
  </si>
  <si>
    <t>0                      PQ 6060000S  3</t>
  </si>
  <si>
    <t>Sátira e invectiva en la España medieval.</t>
  </si>
  <si>
    <t>Scholberg, Kenneth R.</t>
  </si>
  <si>
    <t>Madrid, Gredos [1971]</t>
  </si>
  <si>
    <t>Biblioteca románica hispánica. 2. Estudios y ensayos, 163</t>
  </si>
  <si>
    <t>1576578:spa</t>
  </si>
  <si>
    <t>545095</t>
  </si>
  <si>
    <t>991002963729702656</t>
  </si>
  <si>
    <t>2264353620002656</t>
  </si>
  <si>
    <t>32285002516101</t>
  </si>
  <si>
    <t>893880658</t>
  </si>
  <si>
    <t>PQ6063 .G74</t>
  </si>
  <si>
    <t>0                      PQ 6063000G  74</t>
  </si>
  <si>
    <t>España y la tradición occidental.</t>
  </si>
  <si>
    <t>Editorial Gredos [1969]</t>
  </si>
  <si>
    <t>Biblioteca románica hispánica ; 126</t>
  </si>
  <si>
    <t>1998-10-28</t>
  </si>
  <si>
    <t>8907807686:spa</t>
  </si>
  <si>
    <t>234904</t>
  </si>
  <si>
    <t>991001723039702656</t>
  </si>
  <si>
    <t>2257313260002656</t>
  </si>
  <si>
    <t>32285002516143</t>
  </si>
  <si>
    <t>893340647</t>
  </si>
  <si>
    <t>PQ6064 .B87 1992</t>
  </si>
  <si>
    <t>0                      PQ 6064000B  87          1992</t>
  </si>
  <si>
    <t>Busquemos otros montes y otros ríos : estudios de literatura española del Siglo de Oro dedicados a Elias L. Rivers / Brian Dutton, Victoriano Roncero López, editores.</t>
  </si>
  <si>
    <t>Madrid : Editorial Castalia, c1922.</t>
  </si>
  <si>
    <t>889586750:spa</t>
  </si>
  <si>
    <t>28483913</t>
  </si>
  <si>
    <t>991004490769702656</t>
  </si>
  <si>
    <t>2265604100002656</t>
  </si>
  <si>
    <t>9788470396588</t>
  </si>
  <si>
    <t>32285005029078</t>
  </si>
  <si>
    <t>893241504</t>
  </si>
  <si>
    <t>PQ6064 .R85 1996</t>
  </si>
  <si>
    <t>0                      PQ 6064000R  85          1996</t>
  </si>
  <si>
    <t>El espacio de la escritura : en torno a una poética del espacio del texto barroco / Pedro Ruiz Pérez.</t>
  </si>
  <si>
    <t>Ruiz Pérez, Pedro, 1959-</t>
  </si>
  <si>
    <t>Bern : Lang, 1996.</t>
  </si>
  <si>
    <t>Perspectivas hispánicas</t>
  </si>
  <si>
    <t>2001-05-16</t>
  </si>
  <si>
    <t>2001-03-26</t>
  </si>
  <si>
    <t>807934811:spa</t>
  </si>
  <si>
    <t>36751477</t>
  </si>
  <si>
    <t>991003479069702656</t>
  </si>
  <si>
    <t>2268760180002656</t>
  </si>
  <si>
    <t>9783906756509</t>
  </si>
  <si>
    <t>32285004307277</t>
  </si>
  <si>
    <t>893793641</t>
  </si>
  <si>
    <t>PQ6064 .W55</t>
  </si>
  <si>
    <t>0                      PQ 6064000W  55</t>
  </si>
  <si>
    <t>Samuel Pepys's Spanish plays / Edward M. Wilson &amp; Don W. Cruickshank.</t>
  </si>
  <si>
    <t>Wilson, Edward M.</t>
  </si>
  <si>
    <t>London : The Bibliographical Society ; New York : Oxford University Press, 1980</t>
  </si>
  <si>
    <t>Bibliographical Society (Great Britain) publications ; 1977-78</t>
  </si>
  <si>
    <t>2002-11-01</t>
  </si>
  <si>
    <t>320709991:eng</t>
  </si>
  <si>
    <t>7495014</t>
  </si>
  <si>
    <t>991005119979702656</t>
  </si>
  <si>
    <t>2268685910002656</t>
  </si>
  <si>
    <t>32285000598481</t>
  </si>
  <si>
    <t>893254500</t>
  </si>
  <si>
    <t>PQ6065 .W5</t>
  </si>
  <si>
    <t>0                      PQ 6065000W  5</t>
  </si>
  <si>
    <t>Spanish and English literature of the 16th and 17th centuries : studies in discretion, illusion, and mutability / Edward M. Wilson ; [edited by D. W. Cruickshank].</t>
  </si>
  <si>
    <t>Wilson, Edward M. (Edward Meryon), 1906-1977.</t>
  </si>
  <si>
    <t>Cambridge [Eng.] ; New York : Cambridge University Press, 1980.</t>
  </si>
  <si>
    <t>1997-09-25</t>
  </si>
  <si>
    <t>809070512:eng</t>
  </si>
  <si>
    <t>6015793</t>
  </si>
  <si>
    <t>991004915009702656</t>
  </si>
  <si>
    <t>2269086550002656</t>
  </si>
  <si>
    <t>9780521228442</t>
  </si>
  <si>
    <t>32285000598507</t>
  </si>
  <si>
    <t>893789226</t>
  </si>
  <si>
    <t>PQ6066 .A35 1971</t>
  </si>
  <si>
    <t>0                      PQ 6066000A  35          1971</t>
  </si>
  <si>
    <t>El beatus ille en la poesía lírica del Siglo de Oro / Gistavo Agrait.</t>
  </si>
  <si>
    <t>Agrait, Gustavo.</t>
  </si>
  <si>
    <t>[Río Piedras] : Editiorial Universitaria, Universidad de Puerto Rico, 1971.</t>
  </si>
  <si>
    <t>365128060:spa</t>
  </si>
  <si>
    <t>1251211</t>
  </si>
  <si>
    <t>991004490559702656</t>
  </si>
  <si>
    <t>2260584950002656</t>
  </si>
  <si>
    <t>32285005028906</t>
  </si>
  <si>
    <t>893687796</t>
  </si>
  <si>
    <t>PQ6066 .P6 1957</t>
  </si>
  <si>
    <t>0                      PQ 6066000P  6           1957</t>
  </si>
  <si>
    <t>El prólogo como género literario : su estudio en el siglo de oro español / A. Porqueras Mayo.</t>
  </si>
  <si>
    <t>Porqueras Mayo, Alberto, 1930-</t>
  </si>
  <si>
    <t>Madrid : Consejo Superior de Investigaciones Científicas, 1957.</t>
  </si>
  <si>
    <t>Instituto "Miguel de Cervantes" de Filología Hispánica. Anejos de Revista de literatura, 14</t>
  </si>
  <si>
    <t>2002-02-19</t>
  </si>
  <si>
    <t>363782886:spa</t>
  </si>
  <si>
    <t>892281</t>
  </si>
  <si>
    <t>991003740149702656</t>
  </si>
  <si>
    <t>2263828640002656</t>
  </si>
  <si>
    <t>32285004454806</t>
  </si>
  <si>
    <t>893592839</t>
  </si>
  <si>
    <t>PQ6068 .F7 1976</t>
  </si>
  <si>
    <t>0                      PQ 6068000F  7           1976</t>
  </si>
  <si>
    <t>From Cadalso to Rubén Darío / edited by E. Allison Peers.</t>
  </si>
  <si>
    <t>New York : AMS Press, 1976.</t>
  </si>
  <si>
    <t>Liverpool studies in Spanish literature ; 1st ser.</t>
  </si>
  <si>
    <t>4946598:mul</t>
  </si>
  <si>
    <t>2387793</t>
  </si>
  <si>
    <t>991004107149702656</t>
  </si>
  <si>
    <t>2258678930002656</t>
  </si>
  <si>
    <t>32285000598523</t>
  </si>
  <si>
    <t>893904704</t>
  </si>
  <si>
    <t>PQ6069 .C65</t>
  </si>
  <si>
    <t>0                      PQ 6069000C  65</t>
  </si>
  <si>
    <t>Eighteenth-century Spanish literature / by R. Merritt Cox.</t>
  </si>
  <si>
    <t>Cox, Ralph Merritt, 1939-1987.</t>
  </si>
  <si>
    <t>Twayne's world authors series ; TWAS 526 : Spain</t>
  </si>
  <si>
    <t>1996-12-05</t>
  </si>
  <si>
    <t>14523797:eng</t>
  </si>
  <si>
    <t>4114857</t>
  </si>
  <si>
    <t>991004590379702656</t>
  </si>
  <si>
    <t>2270953050002656</t>
  </si>
  <si>
    <t>9780805763676</t>
  </si>
  <si>
    <t>32285000598531</t>
  </si>
  <si>
    <t>893782402</t>
  </si>
  <si>
    <t>PQ6070 .P4 1976</t>
  </si>
  <si>
    <t>0                      PQ 6070000P  4           1976</t>
  </si>
  <si>
    <t>A short history of the romantic movement in Spain / by E. Allison Peers.</t>
  </si>
  <si>
    <t>Peers, E. Allison (Edgar Allison), 1891-1952.</t>
  </si>
  <si>
    <t>Liverpool studies in Spanish literature ; 4</t>
  </si>
  <si>
    <t>3768885919:eng</t>
  </si>
  <si>
    <t>2684627</t>
  </si>
  <si>
    <t>991004211839702656</t>
  </si>
  <si>
    <t>2265499190002656</t>
  </si>
  <si>
    <t>9780404150341</t>
  </si>
  <si>
    <t>32285000598564</t>
  </si>
  <si>
    <t>893706106</t>
  </si>
  <si>
    <t>PQ6070 .S4818 2000</t>
  </si>
  <si>
    <t>0                      PQ 6070000S  4818        2000</t>
  </si>
  <si>
    <t>El siglo XIX / Donald L. Shaw ; traducciʹon de Helena Calsamiglia.</t>
  </si>
  <si>
    <t>Shaw, Donald Leslie, 1930-</t>
  </si>
  <si>
    <t>Barcelona, Spain : Editorial Ariel, 2000.</t>
  </si>
  <si>
    <t>13a ed., aumentada y puesta al día.</t>
  </si>
  <si>
    <t>Historia de la literatura española ; 5</t>
  </si>
  <si>
    <t>2002-05-17</t>
  </si>
  <si>
    <t>4160078517:spa</t>
  </si>
  <si>
    <t>47914324</t>
  </si>
  <si>
    <t>991003776499702656</t>
  </si>
  <si>
    <t>2267694190002656</t>
  </si>
  <si>
    <t>9788434483262</t>
  </si>
  <si>
    <t>32285004488473</t>
  </si>
  <si>
    <t>893686965</t>
  </si>
  <si>
    <t>PQ6072 .B33</t>
  </si>
  <si>
    <t>0                      PQ 6072000B  33</t>
  </si>
  <si>
    <t>Literatura española; libros y autores contemporáneos: Ganivet--Unamuno--Ortega y Gasset--Azorín--Baroja--Valle-Inclán--A. Machado--Pérez de Ayala, por César Barja ...</t>
  </si>
  <si>
    <t>Barja, César.</t>
  </si>
  <si>
    <t>New York, G.E. Stechert &amp; Co. [1935]</t>
  </si>
  <si>
    <t>2002-11-03</t>
  </si>
  <si>
    <t>1997-06-26</t>
  </si>
  <si>
    <t>4982271279:spa</t>
  </si>
  <si>
    <t>517517</t>
  </si>
  <si>
    <t>991002901459702656</t>
  </si>
  <si>
    <t>2254980340002656</t>
  </si>
  <si>
    <t>32285002516341</t>
  </si>
  <si>
    <t>893598044</t>
  </si>
  <si>
    <t>PQ6072 .G8 1966</t>
  </si>
  <si>
    <t>0                      PQ 6072000G  8           1966</t>
  </si>
  <si>
    <t>La generación literaria del noventa y ocho / [por] Luis S. Granjel.</t>
  </si>
  <si>
    <t>Granjel, Luis S.</t>
  </si>
  <si>
    <t>Salamanca : Anaya, [1966]</t>
  </si>
  <si>
    <t>Temas y estudios</t>
  </si>
  <si>
    <t>365139597:spa</t>
  </si>
  <si>
    <t>757009</t>
  </si>
  <si>
    <t>991004510249702656</t>
  </si>
  <si>
    <t>2272376900002656</t>
  </si>
  <si>
    <t>32285005044606</t>
  </si>
  <si>
    <t>893794944</t>
  </si>
  <si>
    <t>PQ6072 .J5 1960</t>
  </si>
  <si>
    <t>0                      PQ 6072000J  5           1960</t>
  </si>
  <si>
    <t>Españoles de tres mundos : Viejo Mundo, Nuevo Mundo, otro mundo ;caricatura lírica, 1914-1940 / Con un apéndice de retratos inéditos. [Introd., notas y edición de Ricardo Gullón.]</t>
  </si>
  <si>
    <t>Jiménez, Juan Ramón, 1881-1958.</t>
  </si>
  <si>
    <t>Madrid : A. Aguado, [1960]</t>
  </si>
  <si>
    <t>Clásicos y maestros</t>
  </si>
  <si>
    <t>4915236755:spa</t>
  </si>
  <si>
    <t>1113555</t>
  </si>
  <si>
    <t>991004510059702656</t>
  </si>
  <si>
    <t>2272570800002656</t>
  </si>
  <si>
    <t>32285005044648</t>
  </si>
  <si>
    <t>893593758</t>
  </si>
  <si>
    <t>PQ6072 .J5 1969</t>
  </si>
  <si>
    <t>0                      PQ 6072000J  5           1969</t>
  </si>
  <si>
    <t>Españoles de tres mundos : Viejo Mundo, Nuevo Mundo, otro mundo ; caricatura lírica, 1914-1940 / Juan Ramon Jimenez ; con tres apendices de retratos ineditos. Edición y estudio preliminar de Ricardo Gullon.</t>
  </si>
  <si>
    <t>[Madrid] : Aguilar, 1969.</t>
  </si>
  <si>
    <t>Colección literaria; novelistas, dramaturgos, ensayistas, poetas</t>
  </si>
  <si>
    <t>1178870</t>
  </si>
  <si>
    <t>991004489889702656</t>
  </si>
  <si>
    <t>2266219110002656</t>
  </si>
  <si>
    <t>32285005028757</t>
  </si>
  <si>
    <t>893776073</t>
  </si>
  <si>
    <t>PQ6072 .M67 1989</t>
  </si>
  <si>
    <t>0                      PQ 6072000M  67          1989</t>
  </si>
  <si>
    <t>Son españoles / Guillermo Morón.</t>
  </si>
  <si>
    <t>Morón, Guillermo.</t>
  </si>
  <si>
    <t>Caracas : Academia Nacional de la Historia, 1989.</t>
  </si>
  <si>
    <t>Libro menor ; 150</t>
  </si>
  <si>
    <t>27138811:spa</t>
  </si>
  <si>
    <t>25025382</t>
  </si>
  <si>
    <t>991004044369702656</t>
  </si>
  <si>
    <t>2264013970002656</t>
  </si>
  <si>
    <t>9789802224920</t>
  </si>
  <si>
    <t>32285004682257</t>
  </si>
  <si>
    <t>893618157</t>
  </si>
  <si>
    <t>PQ6072 .R5 1966</t>
  </si>
  <si>
    <t>0                      PQ 6072000R  5           1966</t>
  </si>
  <si>
    <t>Estudios sobre literatura contemporánea española / Angel del Rio.</t>
  </si>
  <si>
    <t>Río, Angel del, 1900-1962.</t>
  </si>
  <si>
    <t>[Madrid] : Editorial Gredos, [1966]</t>
  </si>
  <si>
    <t>Biblioteca románica hispánica. 7. Campo Abierto [18]</t>
  </si>
  <si>
    <t>1491385:spa</t>
  </si>
  <si>
    <t>345089</t>
  </si>
  <si>
    <t>991004509899702656</t>
  </si>
  <si>
    <t>2269802440002656</t>
  </si>
  <si>
    <t>32285005044499</t>
  </si>
  <si>
    <t>893343923</t>
  </si>
  <si>
    <t>PQ6072 .S3</t>
  </si>
  <si>
    <t>0                      PQ 6072000S  3</t>
  </si>
  <si>
    <t>Literatura española, siglo XX, por Pedro Salinas.</t>
  </si>
  <si>
    <t>México, D.F., Editorial Séneca [1941]</t>
  </si>
  <si>
    <t>1941</t>
  </si>
  <si>
    <t>Lucero</t>
  </si>
  <si>
    <t>1999-01-31</t>
  </si>
  <si>
    <t>1334952:spa</t>
  </si>
  <si>
    <t>483852</t>
  </si>
  <si>
    <t>991002844169702656</t>
  </si>
  <si>
    <t>2256260950002656</t>
  </si>
  <si>
    <t>32285002516382</t>
  </si>
  <si>
    <t>893886812</t>
  </si>
  <si>
    <t>PQ6072.T6 P3</t>
  </si>
  <si>
    <t>0                      PQ 6072000T  6                  P  3</t>
  </si>
  <si>
    <t>Panorama de la literatura española contemporánea.</t>
  </si>
  <si>
    <t>Torrente Ballester, Gonzalo.</t>
  </si>
  <si>
    <t>Madrid, Ediciones Guadarrama [1956]</t>
  </si>
  <si>
    <t>Colección "Panoramas" ; 2</t>
  </si>
  <si>
    <t>1500738:spa</t>
  </si>
  <si>
    <t>1922474</t>
  </si>
  <si>
    <t>991003938629702656</t>
  </si>
  <si>
    <t>2262474850002656</t>
  </si>
  <si>
    <t>32285002516390</t>
  </si>
  <si>
    <t>893234849</t>
  </si>
  <si>
    <t>PQ6073 .F4</t>
  </si>
  <si>
    <t>0                      PQ 6073000F  4</t>
  </si>
  <si>
    <t>Los límites del modernismo y del 98.</t>
  </si>
  <si>
    <t>Ferreres, Rafael.</t>
  </si>
  <si>
    <t>Madrid, Taurus, 1964.</t>
  </si>
  <si>
    <t>Persiles</t>
  </si>
  <si>
    <t>5090642008:spa</t>
  </si>
  <si>
    <t>347014</t>
  </si>
  <si>
    <t>991002430999702656</t>
  </si>
  <si>
    <t>2272458140002656</t>
  </si>
  <si>
    <t>32285002516408</t>
  </si>
  <si>
    <t>893804605</t>
  </si>
  <si>
    <t>PQ6073 .G8</t>
  </si>
  <si>
    <t>0                      PQ 6073000G  8</t>
  </si>
  <si>
    <t>Direcciones del modernismo.</t>
  </si>
  <si>
    <t>Gullón, Ricardo, 1908-1991.</t>
  </si>
  <si>
    <t>[Madrid] Editorial Gredos [1963]</t>
  </si>
  <si>
    <t>Biblioteca románica hispánica. 7. Campo abierto</t>
  </si>
  <si>
    <t>10177328791:spa</t>
  </si>
  <si>
    <t>345084</t>
  </si>
  <si>
    <t>991002426789702656</t>
  </si>
  <si>
    <t>2269802710002656</t>
  </si>
  <si>
    <t>32285002516416</t>
  </si>
  <si>
    <t>893873501</t>
  </si>
  <si>
    <t>PQ6073.M6 C34 1974</t>
  </si>
  <si>
    <t>0                      PQ 6073000M  6                  C  34          1974</t>
  </si>
  <si>
    <t>Estudios críticos sobre el modernismo / introduccion, selección, y bibliografía general por Homero Castillo.</t>
  </si>
  <si>
    <t>Castillo, Homero.</t>
  </si>
  <si>
    <t>Madrid : Editorial Gredos [1974, 1968]</t>
  </si>
  <si>
    <t>Biblioteca románica hispánica. II, Estudios y ensayos ; 121</t>
  </si>
  <si>
    <t>9093581183:spa</t>
  </si>
  <si>
    <t>1200534</t>
  </si>
  <si>
    <t>991003616169702656</t>
  </si>
  <si>
    <t>2266145930002656</t>
  </si>
  <si>
    <t>9788424903497</t>
  </si>
  <si>
    <t>32285002080595</t>
  </si>
  <si>
    <t>893252547</t>
  </si>
  <si>
    <t>PQ6073.N6 B6 1970</t>
  </si>
  <si>
    <t>0                      PQ 6073000N  6                  B  6           1970</t>
  </si>
  <si>
    <t>Juventud del 98 / por Carlos Blanco Aguinaga.</t>
  </si>
  <si>
    <t>Blanco Aguinaga, Carlos.</t>
  </si>
  <si>
    <t>Madrid : Siglo Veintiuno de España Editores, [1970]</t>
  </si>
  <si>
    <t>1473426:spa</t>
  </si>
  <si>
    <t>377451</t>
  </si>
  <si>
    <t>991004522669702656</t>
  </si>
  <si>
    <t>2262981180002656</t>
  </si>
  <si>
    <t>32285005048235</t>
  </si>
  <si>
    <t>893526201</t>
  </si>
  <si>
    <t>PQ6073.S9 M618 2000</t>
  </si>
  <si>
    <t>0                      PQ 6073000S  9                  M  618         2000</t>
  </si>
  <si>
    <t>El surrealismo y España, 1920-1936 / C.B. Morris ; traducciaon, Fuencisla Escribano.</t>
  </si>
  <si>
    <t>Morris, C. B. (Cyril Brian)</t>
  </si>
  <si>
    <t>Madrid : Espasa Calpe, c2000.</t>
  </si>
  <si>
    <t>Colección Austral ; 503. Ciencias/Humanidades</t>
  </si>
  <si>
    <t>2004-08-10</t>
  </si>
  <si>
    <t>503069:spa</t>
  </si>
  <si>
    <t>45385403</t>
  </si>
  <si>
    <t>991004270839702656</t>
  </si>
  <si>
    <t>2259796400002656</t>
  </si>
  <si>
    <t>9788423975037</t>
  </si>
  <si>
    <t>32285004980461</t>
  </si>
  <si>
    <t>893325157</t>
  </si>
  <si>
    <t>PQ6076 .H3 1965</t>
  </si>
  <si>
    <t>0                      PQ 6076000H  3           1965</t>
  </si>
  <si>
    <t>Nuevo lenguaje poético de Silva a Neruda / [por] Carlos D. Hamilton.</t>
  </si>
  <si>
    <t>Hamilton, Carlos D. (Carlos Depassier), 1908-1988.</t>
  </si>
  <si>
    <t xml:space="preserve">ck </t>
  </si>
  <si>
    <t>Publicaciones del Instituto Caro y Cuervo. Series minor ; 10</t>
  </si>
  <si>
    <t>2003687:spa</t>
  </si>
  <si>
    <t>1113841</t>
  </si>
  <si>
    <t>991004509979702656</t>
  </si>
  <si>
    <t>2272464230002656</t>
  </si>
  <si>
    <t>32285005044481</t>
  </si>
  <si>
    <t>893241520</t>
  </si>
  <si>
    <t>PQ6077 .G8 1962</t>
  </si>
  <si>
    <t>0                      PQ 6077000G  8           1962</t>
  </si>
  <si>
    <t>Lenguaje y poesia : algunos casos españoles / Jorge Guillen.</t>
  </si>
  <si>
    <t>Guillén, Jorge, 1893-1984.</t>
  </si>
  <si>
    <t>Madrid : Revista de Occidente, 1962.</t>
  </si>
  <si>
    <t>5575756256:spa</t>
  </si>
  <si>
    <t>2461335</t>
  </si>
  <si>
    <t>991004522519702656</t>
  </si>
  <si>
    <t>2270567670002656</t>
  </si>
  <si>
    <t>32285005048185</t>
  </si>
  <si>
    <t>893801048</t>
  </si>
  <si>
    <t>PQ6081 .P53</t>
  </si>
  <si>
    <t>0                      PQ 6081000P  53</t>
  </si>
  <si>
    <t>La poesía épica del Siglo de Oro / Frank Pierce ; versión española de J.C. Cayol de Bethencourt.</t>
  </si>
  <si>
    <t>Pierce, Frank, 1915-</t>
  </si>
  <si>
    <t>Madrid : Gredos, 1968.</t>
  </si>
  <si>
    <t>2. ed., rev. y aumentada.</t>
  </si>
  <si>
    <t>Biblioteca románica hispánica. 2, Estudios y ensayos ; 51</t>
  </si>
  <si>
    <t>1999-04-06</t>
  </si>
  <si>
    <t>9566020583:spa</t>
  </si>
  <si>
    <t>2540329</t>
  </si>
  <si>
    <t>991004155619702656</t>
  </si>
  <si>
    <t>2271437380002656</t>
  </si>
  <si>
    <t>32285002516507</t>
  </si>
  <si>
    <t>893693592</t>
  </si>
  <si>
    <t>PQ6081 .R62 1968</t>
  </si>
  <si>
    <t>0                      PQ 6081000R  62          1968</t>
  </si>
  <si>
    <t>Poesía y cancioneros (siglo XVI) : discurso leído ante la Real Academia Española / el día 20 de octubre de 1968 en su recepción pública por Antonio Rodríguez-Moñino y contestación del Excmo. Sr. D. Camilo José Cela.</t>
  </si>
  <si>
    <t>Rodríguez Moñino, Antonio R., 1910-1970.</t>
  </si>
  <si>
    <t>377680644:spa</t>
  </si>
  <si>
    <t>599989</t>
  </si>
  <si>
    <t>991004522579702656</t>
  </si>
  <si>
    <t>2270272760002656</t>
  </si>
  <si>
    <t>32285005048177</t>
  </si>
  <si>
    <t>893500687</t>
  </si>
  <si>
    <t>PQ6085 .B68 1985</t>
  </si>
  <si>
    <t>0                      PQ 6085000B  68          1985</t>
  </si>
  <si>
    <t>Poesía poscontemporánea : cuatro estudios y una introducción / Carlos Bousoño.</t>
  </si>
  <si>
    <t>Bousoño, Carlos.</t>
  </si>
  <si>
    <t>Madrid : Ediciones Júcar, 1985, c1984.</t>
  </si>
  <si>
    <t>1a ed.</t>
  </si>
  <si>
    <t>Poetas. Serie mayor ; 4</t>
  </si>
  <si>
    <t>1999-11-17</t>
  </si>
  <si>
    <t>863908408:spa</t>
  </si>
  <si>
    <t>18626169</t>
  </si>
  <si>
    <t>991000861059702656</t>
  </si>
  <si>
    <t>2255790000002656</t>
  </si>
  <si>
    <t>9788433445049</t>
  </si>
  <si>
    <t>32285000598697</t>
  </si>
  <si>
    <t>893865751</t>
  </si>
  <si>
    <t>PQ6085 .C3</t>
  </si>
  <si>
    <t>0                      PQ 6085000C  3</t>
  </si>
  <si>
    <t>Poesía española del siglo xx; de Unamuno a Blas de Otero.</t>
  </si>
  <si>
    <t>Cano, José Luis.</t>
  </si>
  <si>
    <t>Madrid, Guadarrama [1960]</t>
  </si>
  <si>
    <t>Colleción Guadarrama de crítica y ensayo, 28</t>
  </si>
  <si>
    <t>1998-09-14</t>
  </si>
  <si>
    <t>308931886:spa</t>
  </si>
  <si>
    <t>1286951</t>
  </si>
  <si>
    <t>991003669679702656</t>
  </si>
  <si>
    <t>2268042990002656</t>
  </si>
  <si>
    <t>32285002516531</t>
  </si>
  <si>
    <t>893429060</t>
  </si>
  <si>
    <t>PQ6085 .C58 1992</t>
  </si>
  <si>
    <t>0                      PQ 6085000C  58          1992</t>
  </si>
  <si>
    <t>La poesía española de 1935 a 1975 / Víctor García de la Concha.</t>
  </si>
  <si>
    <t>Concha, Víctor G. de la.</t>
  </si>
  <si>
    <t>Madrid : Cátedra, c1992-</t>
  </si>
  <si>
    <t>2a ed.</t>
  </si>
  <si>
    <t>Crítica y estudios literarios</t>
  </si>
  <si>
    <t>2002-05-08</t>
  </si>
  <si>
    <t>3148015505:spa</t>
  </si>
  <si>
    <t>33089884</t>
  </si>
  <si>
    <t>991003772769702656</t>
  </si>
  <si>
    <t>2254962500002656</t>
  </si>
  <si>
    <t>9788437606958</t>
  </si>
  <si>
    <t>32285004484837</t>
  </si>
  <si>
    <t>893875154</t>
  </si>
  <si>
    <t>32285004909379</t>
  </si>
  <si>
    <t>893900336</t>
  </si>
  <si>
    <t>PQ6085 .G6 1970b</t>
  </si>
  <si>
    <t>0                      PQ 6085000G  6           1970b</t>
  </si>
  <si>
    <t>Poesía hispánica, 1939-1969 (estudio y antología) / [por] J.-P. González Martín.</t>
  </si>
  <si>
    <t>González Martín, Jerónimo Pablo, 1933-</t>
  </si>
  <si>
    <t>Barcelona : [Ediciones Saturno], 1970.</t>
  </si>
  <si>
    <t>El Bardo ; 59-60</t>
  </si>
  <si>
    <t>10792688445:spa</t>
  </si>
  <si>
    <t>4195717</t>
  </si>
  <si>
    <t>991004607769702656</t>
  </si>
  <si>
    <t>2260951570002656</t>
  </si>
  <si>
    <t>32285003328415</t>
  </si>
  <si>
    <t>893241641</t>
  </si>
  <si>
    <t>PQ6085 .G64</t>
  </si>
  <si>
    <t>0                      PQ 6085000G  64</t>
  </si>
  <si>
    <t>La nueva poesía española.</t>
  </si>
  <si>
    <t>González Muela, Joaquín.</t>
  </si>
  <si>
    <t>Madrid, Ediciones Alcalá [1973]</t>
  </si>
  <si>
    <t>Colección Límina, no. 1</t>
  </si>
  <si>
    <t>422911251:spa</t>
  </si>
  <si>
    <t>890521</t>
  </si>
  <si>
    <t>991003356689702656</t>
  </si>
  <si>
    <t>2262351500002656</t>
  </si>
  <si>
    <t>9788470080531</t>
  </si>
  <si>
    <t>32285002516556</t>
  </si>
  <si>
    <t>893721918</t>
  </si>
  <si>
    <t>PQ6085 .L37</t>
  </si>
  <si>
    <t>0                      PQ 6085000L  37</t>
  </si>
  <si>
    <t>El compromiso en la poesía española del siglo XX [por] J. Lechner.</t>
  </si>
  <si>
    <t>V. 1 PT. 2</t>
  </si>
  <si>
    <t>Lechner, Johannes.</t>
  </si>
  <si>
    <t>[Leiden] Universitaire Pers Leiden, 1968-</t>
  </si>
  <si>
    <t>Series de publicaciones románicas de la Universidad de Leiden, t. 15</t>
  </si>
  <si>
    <t>10568413747:spa</t>
  </si>
  <si>
    <t>893369</t>
  </si>
  <si>
    <t>991003358489702656</t>
  </si>
  <si>
    <t>2259830930002656</t>
  </si>
  <si>
    <t>32285002516580</t>
  </si>
  <si>
    <t>893598521</t>
  </si>
  <si>
    <t>V. 1 PT. 1</t>
  </si>
  <si>
    <t>32285002516572</t>
  </si>
  <si>
    <t>893617279</t>
  </si>
  <si>
    <t>PQ6085 .M377 1996</t>
  </si>
  <si>
    <t>0                      PQ 6085000M  377         1996</t>
  </si>
  <si>
    <t>El humor en la poesi'a espan~ola de vanguardia / Rosa Ma. Marti'n Casamitjana.</t>
  </si>
  <si>
    <t>Martain Casamitjana, Rosa Ma. (Rosa Maraia)</t>
  </si>
  <si>
    <t>Madrid : Gredos, c1996.</t>
  </si>
  <si>
    <t>Biblioteca romaanica hispaanica. II, Estudios y ensayos ; 395</t>
  </si>
  <si>
    <t>349239088:spa</t>
  </si>
  <si>
    <t>56517503</t>
  </si>
  <si>
    <t>991004270869702656</t>
  </si>
  <si>
    <t>2263417740002656</t>
  </si>
  <si>
    <t>9788424918026</t>
  </si>
  <si>
    <t>32285004909312</t>
  </si>
  <si>
    <t>893794675</t>
  </si>
  <si>
    <t>PQ6085 .M6418 1988</t>
  </si>
  <si>
    <t>0                      PQ 6085000M  6418        1988</t>
  </si>
  <si>
    <t>Una generacio'n de poetas espan~oles (1920-1936) / C.B. Morris ; versio'n espan~ola de A.R. Bocanegra.</t>
  </si>
  <si>
    <t>Madrid : Editorial Gredos, c1988.</t>
  </si>
  <si>
    <t>Biblioteca romaanica hispaanica. II, Estudios y ensayos ; 357</t>
  </si>
  <si>
    <t>1144785:spa</t>
  </si>
  <si>
    <t>17964543</t>
  </si>
  <si>
    <t>991004270959702656</t>
  </si>
  <si>
    <t>2269865130002656</t>
  </si>
  <si>
    <t>9788424912598</t>
  </si>
  <si>
    <t>32285004909320</t>
  </si>
  <si>
    <t>893599640</t>
  </si>
  <si>
    <t>PQ6085 .P28 1988</t>
  </si>
  <si>
    <t>0                      PQ 6085000P  28          1988</t>
  </si>
  <si>
    <t>La poesaia en el siglo XX (desde 1939) / Pilar Palomo.</t>
  </si>
  <si>
    <t>Palomo, Maraia del Pilar.</t>
  </si>
  <si>
    <t>Madrid : Taurus, c1988.</t>
  </si>
  <si>
    <t>Historia craitica de la literatura hispaanica ; 21</t>
  </si>
  <si>
    <t>439388681:spa</t>
  </si>
  <si>
    <t>19069047</t>
  </si>
  <si>
    <t>991004336309702656</t>
  </si>
  <si>
    <t>2255896840002656</t>
  </si>
  <si>
    <t>9788430625215</t>
  </si>
  <si>
    <t>32285004928478</t>
  </si>
  <si>
    <t>893263209</t>
  </si>
  <si>
    <t>PQ6085 .P3 1985</t>
  </si>
  <si>
    <t>0                      PQ 6085000P  3           1985</t>
  </si>
  <si>
    <t>El verso libre hispaanico : oraigenes y corrientes / Isabel Paraaiso ; praologo de Rafael Lapesa.</t>
  </si>
  <si>
    <t>Paraíso, Isabel, 1942-</t>
  </si>
  <si>
    <t>Madrid : Editorial Gredos, c1985.</t>
  </si>
  <si>
    <t>Biblioteca romaanica hispaanica. II, Estudios y ensayos ; 339</t>
  </si>
  <si>
    <t>2004-08-03</t>
  </si>
  <si>
    <t>429730086:spa</t>
  </si>
  <si>
    <t>12608609</t>
  </si>
  <si>
    <t>991004335059702656</t>
  </si>
  <si>
    <t>2264855160002656</t>
  </si>
  <si>
    <t>9788424909888</t>
  </si>
  <si>
    <t>32285004927587</t>
  </si>
  <si>
    <t>893525968</t>
  </si>
  <si>
    <t>PQ6085 .P64 1976</t>
  </si>
  <si>
    <t>0                      PQ 6085000P  64          1976</t>
  </si>
  <si>
    <t>Poetas en la España leal.</t>
  </si>
  <si>
    <t>Madrid : Hispamerca, 1976.</t>
  </si>
  <si>
    <t>Colección Cuatro vientos ; 1</t>
  </si>
  <si>
    <t>479954628:spa</t>
  </si>
  <si>
    <t>3446543</t>
  </si>
  <si>
    <t>991004436759702656</t>
  </si>
  <si>
    <t>2266972810002656</t>
  </si>
  <si>
    <t>9788440099686</t>
  </si>
  <si>
    <t>32285000598721</t>
  </si>
  <si>
    <t>893712594</t>
  </si>
  <si>
    <t>PQ6085 .V47</t>
  </si>
  <si>
    <t>0                      PQ 6085000V  47</t>
  </si>
  <si>
    <t>El ultraísmo; estudios sobre movimientos poéticos de vanguardia en España.</t>
  </si>
  <si>
    <t>Videla, Gloria.</t>
  </si>
  <si>
    <t>Madrid, Editorial Gredos [1963]</t>
  </si>
  <si>
    <t>Biblioteca románica hispánica. 2. Estudios y ensayos</t>
  </si>
  <si>
    <t>365141351:spa</t>
  </si>
  <si>
    <t>344978</t>
  </si>
  <si>
    <t>991002426209702656</t>
  </si>
  <si>
    <t>2269961070002656</t>
  </si>
  <si>
    <t>32285002516606</t>
  </si>
  <si>
    <t>893697767</t>
  </si>
  <si>
    <t>PQ6085 .V5 1971</t>
  </si>
  <si>
    <t>0                      PQ 6085000V  5           1971</t>
  </si>
  <si>
    <t>Introducción a la poesía española contemporánea / Luis Felipe Vivanco.</t>
  </si>
  <si>
    <t>Vivanco, Luis Felipe.</t>
  </si>
  <si>
    <t>Madrid : Guadarrama, [1971]</t>
  </si>
  <si>
    <t>Punto omega, 126</t>
  </si>
  <si>
    <t>1559042:spa</t>
  </si>
  <si>
    <t>536526</t>
  </si>
  <si>
    <t>991004510319702656</t>
  </si>
  <si>
    <t>2260830860002656</t>
  </si>
  <si>
    <t>32285005044580</t>
  </si>
  <si>
    <t>893331692</t>
  </si>
  <si>
    <t>32285005044572</t>
  </si>
  <si>
    <t>893350099</t>
  </si>
  <si>
    <t>PQ6085 .Z315</t>
  </si>
  <si>
    <t>0                      PQ 6085000Z  315</t>
  </si>
  <si>
    <t>Poesía española del siglo XX [i.e. veinte] : estudios temáticos y estilísticos / Concha Zardoya.</t>
  </si>
  <si>
    <t>Zardoya, Concha.</t>
  </si>
  <si>
    <t>Madrid : Editorial Gredos, [1974]</t>
  </si>
  <si>
    <t>Biblioteca románica hispánica : 2. Estudios y ensayos ; 114</t>
  </si>
  <si>
    <t>2002-01-29</t>
  </si>
  <si>
    <t>10792626509:spa</t>
  </si>
  <si>
    <t>1275976</t>
  </si>
  <si>
    <t>991003663669702656</t>
  </si>
  <si>
    <t>2260354420002656</t>
  </si>
  <si>
    <t>9788424905507</t>
  </si>
  <si>
    <t>32285002516630</t>
  </si>
  <si>
    <t>893686794</t>
  </si>
  <si>
    <t>32285002516614</t>
  </si>
  <si>
    <t>893711629</t>
  </si>
  <si>
    <t>32285002516648</t>
  </si>
  <si>
    <t>893711628</t>
  </si>
  <si>
    <t>PQ6085 .Z37</t>
  </si>
  <si>
    <t>0                      PQ 6085000Z  37</t>
  </si>
  <si>
    <t>Poesía española del 98 y del 27; estudios temáticos y estilísticos.</t>
  </si>
  <si>
    <t>Madrid, Editorial Gredos [1968]</t>
  </si>
  <si>
    <t>Biblioteca románica hispánica. 2. Estudios y ensayos [114]</t>
  </si>
  <si>
    <t>10567914132:spa</t>
  </si>
  <si>
    <t>189509</t>
  </si>
  <si>
    <t>991001178839702656</t>
  </si>
  <si>
    <t>2268114970002656</t>
  </si>
  <si>
    <t>32285002516655</t>
  </si>
  <si>
    <t>893237924</t>
  </si>
  <si>
    <t>PQ6088 .G3</t>
  </si>
  <si>
    <t>0                      PQ 6088000G  3</t>
  </si>
  <si>
    <t>Epica árabe y épica castellana / Alvaro Galmés de Fuentes.</t>
  </si>
  <si>
    <t>Galmés de Fuentes, Alvaro.</t>
  </si>
  <si>
    <t>Barcelona : Ariel, 1978.</t>
  </si>
  <si>
    <t>Letras e ideas. Minor ; 8</t>
  </si>
  <si>
    <t>2000-03-20</t>
  </si>
  <si>
    <t>14922698:spa</t>
  </si>
  <si>
    <t>4592281</t>
  </si>
  <si>
    <t>991004685669702656</t>
  </si>
  <si>
    <t>2272622710002656</t>
  </si>
  <si>
    <t>9788434483323</t>
  </si>
  <si>
    <t>32285000598739</t>
  </si>
  <si>
    <t>893338003</t>
  </si>
  <si>
    <t>PQ6089 .H375 2001</t>
  </si>
  <si>
    <t>0                      PQ 6089000H  375         2001</t>
  </si>
  <si>
    <t>Kinship and marriage in medieval hispanic chivalric romance / by Michael Harney.</t>
  </si>
  <si>
    <t>Harney, Michael, 1948-</t>
  </si>
  <si>
    <t>Turnhout : Brepols, 2001.</t>
  </si>
  <si>
    <t xml:space="preserve">be </t>
  </si>
  <si>
    <t>Westfield publications in medieval and Renaissance studies, 0269-9699 ; 11</t>
  </si>
  <si>
    <t>2004-01-06</t>
  </si>
  <si>
    <t>1072133:eng</t>
  </si>
  <si>
    <t>46692661</t>
  </si>
  <si>
    <t>991004151989702656</t>
  </si>
  <si>
    <t>2262007340002656</t>
  </si>
  <si>
    <t>9782503509105</t>
  </si>
  <si>
    <t>32285004849526</t>
  </si>
  <si>
    <t>893894622</t>
  </si>
  <si>
    <t>PQ6089 .R53 1989</t>
  </si>
  <si>
    <t>0                      PQ 6089000R  53          1989</t>
  </si>
  <si>
    <t>La metamorfosis de la epica medieval / Erich von Richthofen.</t>
  </si>
  <si>
    <t>Richthofen, Erich, Freiherr von.</t>
  </si>
  <si>
    <t>Madrid : Fundación Universitaria Española ; 1989.</t>
  </si>
  <si>
    <t>Publicaciones de la Fundación Universitaria Española. Monografías ; 50</t>
  </si>
  <si>
    <t>1991-04-24</t>
  </si>
  <si>
    <t>351293924:spa</t>
  </si>
  <si>
    <t>21123166</t>
  </si>
  <si>
    <t>991001655579702656</t>
  </si>
  <si>
    <t>2262683120002656</t>
  </si>
  <si>
    <t>9788473923101</t>
  </si>
  <si>
    <t>32285000569052</t>
  </si>
  <si>
    <t>893432987</t>
  </si>
  <si>
    <t>PQ6090 .R5</t>
  </si>
  <si>
    <t>0                      PQ 6090000R  5</t>
  </si>
  <si>
    <t>Nuevos estudios épicos medievales / Erich von Richthofen.</t>
  </si>
  <si>
    <t>Madrid : Editorial Gredos, c1970.</t>
  </si>
  <si>
    <t>Biblioteca románica hispánica. II, Estudios y ensayos ; 138</t>
  </si>
  <si>
    <t>118796051:spa</t>
  </si>
  <si>
    <t>328239</t>
  </si>
  <si>
    <t>991002380499702656</t>
  </si>
  <si>
    <t>2271499910002656</t>
  </si>
  <si>
    <t>32285002516689</t>
  </si>
  <si>
    <t>893504335</t>
  </si>
  <si>
    <t>PQ6098.I35 C37 1982</t>
  </si>
  <si>
    <t>0                      PQ 6098000I  35                 C  37          1982</t>
  </si>
  <si>
    <t>La dialaectica de la identidad en la poesaia contemporaanea : la persona, la maascara / Antonio Carreano.</t>
  </si>
  <si>
    <t>Carreano, Antonio.</t>
  </si>
  <si>
    <t>Madrid : Gredos, c1982.</t>
  </si>
  <si>
    <t>Biblioteca romaanica hispaanica. II, Estudios y ensayos ; 317</t>
  </si>
  <si>
    <t>429358184:spa</t>
  </si>
  <si>
    <t>9018739</t>
  </si>
  <si>
    <t>991004335109702656</t>
  </si>
  <si>
    <t>2258896940002656</t>
  </si>
  <si>
    <t>9788424901714</t>
  </si>
  <si>
    <t>32285004927579</t>
  </si>
  <si>
    <t>893624612</t>
  </si>
  <si>
    <t>PQ6099 .R8 1996</t>
  </si>
  <si>
    <t>0                      PQ 6099000R  8           1996</t>
  </si>
  <si>
    <t>Historia del teatro espaanol. Desde sus oraigenes hasta 1900 / Francisco Ruiz Ramaon.</t>
  </si>
  <si>
    <t>Ruiz Ramaon, Francisco.</t>
  </si>
  <si>
    <t>Madrid : Caatedra, c1996.</t>
  </si>
  <si>
    <t>9. ed.</t>
  </si>
  <si>
    <t>Craitica y estudios literarios</t>
  </si>
  <si>
    <t>2452516225:spa</t>
  </si>
  <si>
    <t>36564210</t>
  </si>
  <si>
    <t>991004026019702656</t>
  </si>
  <si>
    <t>2266069940002656</t>
  </si>
  <si>
    <t>9788437601908</t>
  </si>
  <si>
    <t>32285004902390</t>
  </si>
  <si>
    <t>893324841</t>
  </si>
  <si>
    <t>PQ6101.B8 T7</t>
  </si>
  <si>
    <t>0                      PQ 6101000B  8                  T  7</t>
  </si>
  <si>
    <t>Tres maestros ante el público (Valle-Inclán, Velásquez, Lorca).</t>
  </si>
  <si>
    <t>Buero Vallejo, Antonio, 1916-2000.</t>
  </si>
  <si>
    <t>Madrid, Alianza Editorial [1973]</t>
  </si>
  <si>
    <t>El Libro de bolsillo, 442. Sección: Literatura</t>
  </si>
  <si>
    <t>318760573:spa</t>
  </si>
  <si>
    <t>757992</t>
  </si>
  <si>
    <t>991003233549702656</t>
  </si>
  <si>
    <t>2272598590002656</t>
  </si>
  <si>
    <t>9788420614427</t>
  </si>
  <si>
    <t>32285002516762</t>
  </si>
  <si>
    <t>893323898</t>
  </si>
  <si>
    <t>PQ6104 .L2 1970</t>
  </si>
  <si>
    <t>0                      PQ 6104000L  2           1970</t>
  </si>
  <si>
    <t>Teatro medieval / textos integros en version del D. Fernando Lazaro Carreter.</t>
  </si>
  <si>
    <t>Lázaro Carreter, Fernando, editor.</t>
  </si>
  <si>
    <t>[Madrid] : Editorial Castalia, 1970.</t>
  </si>
  <si>
    <t>3. ed.</t>
  </si>
  <si>
    <t>Odres nuevos</t>
  </si>
  <si>
    <t>53609658:spa</t>
  </si>
  <si>
    <t>581622</t>
  </si>
  <si>
    <t>991004508679702656</t>
  </si>
  <si>
    <t>2271629770002656</t>
  </si>
  <si>
    <t>32285005029508</t>
  </si>
  <si>
    <t>893343920</t>
  </si>
  <si>
    <t>PQ6104 .L6 1968</t>
  </si>
  <si>
    <t>0                      PQ 6104000L  6           1968</t>
  </si>
  <si>
    <t>Tradición y creación en los orígenes del teatro castellano / Humberto Lopez Morales.</t>
  </si>
  <si>
    <t>López Morales, Humberto.</t>
  </si>
  <si>
    <t>Madrid : Ediciones Alcalá, [1968]</t>
  </si>
  <si>
    <t>Colección Romania. Serie Literaria</t>
  </si>
  <si>
    <t>1334731:spa</t>
  </si>
  <si>
    <t>224758</t>
  </si>
  <si>
    <t>991004522639702656</t>
  </si>
  <si>
    <t>2263546590002656</t>
  </si>
  <si>
    <t>32285005048250</t>
  </si>
  <si>
    <t>893876204</t>
  </si>
  <si>
    <t>PQ6105 .A918 1968</t>
  </si>
  <si>
    <t>0                      PQ 6105000A  918         1968</t>
  </si>
  <si>
    <t>La comedia española (1600-1680) / Charles Vincent Aubrun.</t>
  </si>
  <si>
    <t>Aubrun, Charles Vincent, 1906-</t>
  </si>
  <si>
    <t>Madrid : Taurus, 1968.</t>
  </si>
  <si>
    <t>Persiles ; 36</t>
  </si>
  <si>
    <t>8914121836:spa</t>
  </si>
  <si>
    <t>11199028</t>
  </si>
  <si>
    <t>991004490929702656</t>
  </si>
  <si>
    <t>2263579010002656</t>
  </si>
  <si>
    <t>32285005029037</t>
  </si>
  <si>
    <t>893235562</t>
  </si>
  <si>
    <t>PQ6105 .B58 1989</t>
  </si>
  <si>
    <t>0                      PQ 6105000B  58          1989</t>
  </si>
  <si>
    <t>Comedia--art and history / William R. Blue.</t>
  </si>
  <si>
    <t>Blue, William R.</t>
  </si>
  <si>
    <t>New York : P. Lang, c1989.</t>
  </si>
  <si>
    <t>University of Kansas humanistic studies ; vol. 55</t>
  </si>
  <si>
    <t>1998-09-21</t>
  </si>
  <si>
    <t>1992-11-02</t>
  </si>
  <si>
    <t>15527116:eng</t>
  </si>
  <si>
    <t>17258529</t>
  </si>
  <si>
    <t>991001191029702656</t>
  </si>
  <si>
    <t>2263993140002656</t>
  </si>
  <si>
    <t>9780820406442</t>
  </si>
  <si>
    <t>32285001360345</t>
  </si>
  <si>
    <t>893509457</t>
  </si>
  <si>
    <t>PQ6105 .V3 1969</t>
  </si>
  <si>
    <t>0                      PQ 6105000V  3           1969</t>
  </si>
  <si>
    <t>El teatro espaanol en su siglo de oro / Angel Valbuena Prat.</t>
  </si>
  <si>
    <t>Valbuena Prat, Angel, 1900-1977.</t>
  </si>
  <si>
    <t>Barcelona : Editorial Paneta, c1969.</t>
  </si>
  <si>
    <t>Ensayos/Planeta</t>
  </si>
  <si>
    <t>365273350:spa</t>
  </si>
  <si>
    <t>181417</t>
  </si>
  <si>
    <t>991004334039702656</t>
  </si>
  <si>
    <t>2272551810002656</t>
  </si>
  <si>
    <t>32285004927363</t>
  </si>
  <si>
    <t>893687618</t>
  </si>
  <si>
    <t>PQ6106 .C5</t>
  </si>
  <si>
    <t>0                      PQ 6106000C  5</t>
  </si>
  <si>
    <t>Dramatic theory in Spain : extracts from literature before and during the golden age / edited by H.J. Chaytor.</t>
  </si>
  <si>
    <t>Chaytor, H. J. (Henry John), 1871-1954, editor.</t>
  </si>
  <si>
    <t>Cambridge, [Eng.] : The University Press, 1925.</t>
  </si>
  <si>
    <t>1925</t>
  </si>
  <si>
    <t>1994-12-03</t>
  </si>
  <si>
    <t>902144114:eng</t>
  </si>
  <si>
    <t>1320485</t>
  </si>
  <si>
    <t>991003690119702656</t>
  </si>
  <si>
    <t>2257032810002656</t>
  </si>
  <si>
    <t>32285001980191</t>
  </si>
  <si>
    <t>893875047</t>
  </si>
  <si>
    <t>PQ6107 .W4</t>
  </si>
  <si>
    <t>0                      PQ 6107000W  4</t>
  </si>
  <si>
    <t>The Valencian dramatists of Spain's golden age / by John G. Weiger.</t>
  </si>
  <si>
    <t>Weiger, John G.</t>
  </si>
  <si>
    <t>Twayne's world authors series; TWAS 371 : Spain</t>
  </si>
  <si>
    <t>1994-11-03</t>
  </si>
  <si>
    <t>2373953:eng</t>
  </si>
  <si>
    <t>1551543</t>
  </si>
  <si>
    <t>991003818329702656</t>
  </si>
  <si>
    <t>2265800340002656</t>
  </si>
  <si>
    <t>9780805762198</t>
  </si>
  <si>
    <t>32285000598804</t>
  </si>
  <si>
    <t>893699446</t>
  </si>
  <si>
    <t>PQ6111.C6 N4 1974</t>
  </si>
  <si>
    <t>0                      PQ 6111000C  6                  N  4           1974</t>
  </si>
  <si>
    <t>Neo-classic drama in Spain : theory and practice / [by] John A. Cook.</t>
  </si>
  <si>
    <t>Cook, John A. (John Alfred), 1898-</t>
  </si>
  <si>
    <t>Westport, Conn. : Greenwood Press, [1974, c1959]</t>
  </si>
  <si>
    <t>289739120:eng</t>
  </si>
  <si>
    <t>897882</t>
  </si>
  <si>
    <t>991003361939702656</t>
  </si>
  <si>
    <t>2257516660002656</t>
  </si>
  <si>
    <t>9780837175188</t>
  </si>
  <si>
    <t>32285000598812</t>
  </si>
  <si>
    <t>893524742</t>
  </si>
  <si>
    <t>PQ6115 .H65</t>
  </si>
  <si>
    <t>0                      PQ 6115000H  65</t>
  </si>
  <si>
    <t>The contemporary Spanish theater (1949-1972) / by Marion P. Holt.</t>
  </si>
  <si>
    <t>Holt, Marion Peter.</t>
  </si>
  <si>
    <t>Twayne's world authors series, TWAS 336. Spain</t>
  </si>
  <si>
    <t>2005-12-05</t>
  </si>
  <si>
    <t>1942323:eng</t>
  </si>
  <si>
    <t>979288</t>
  </si>
  <si>
    <t>991003443329702656</t>
  </si>
  <si>
    <t>2261802090002656</t>
  </si>
  <si>
    <t>9780805722437</t>
  </si>
  <si>
    <t>32285000598820</t>
  </si>
  <si>
    <t>893518480</t>
  </si>
  <si>
    <t>PQ6115 .W4</t>
  </si>
  <si>
    <t>0                      PQ 6115000W  4</t>
  </si>
  <si>
    <t>Spanish underground drama / [by] George E. Wellwarth.</t>
  </si>
  <si>
    <t>Wellwarth, George E., 1932-</t>
  </si>
  <si>
    <t>University Park : Pennsylvania State University Press, [1972]</t>
  </si>
  <si>
    <t>431018:eng</t>
  </si>
  <si>
    <t>293084</t>
  </si>
  <si>
    <t>991002228799702656</t>
  </si>
  <si>
    <t>2266512900002656</t>
  </si>
  <si>
    <t>9780271011547</t>
  </si>
  <si>
    <t>32285000598838</t>
  </si>
  <si>
    <t>893866948</t>
  </si>
  <si>
    <t>PQ6136 .M87 1994</t>
  </si>
  <si>
    <t>0                      PQ 6136000M  87          1994</t>
  </si>
  <si>
    <t>Spanish chronicles of the Indies : sixteenth century / James C. Murray.</t>
  </si>
  <si>
    <t>Murray, James C.</t>
  </si>
  <si>
    <t>New York : Twayne Publishers, c1994.</t>
  </si>
  <si>
    <t>Twayne's world authors series ; TWAS 847</t>
  </si>
  <si>
    <t>1996-05-30</t>
  </si>
  <si>
    <t>30828188:eng</t>
  </si>
  <si>
    <t>28584427</t>
  </si>
  <si>
    <t>991002218779702656</t>
  </si>
  <si>
    <t>2261960600002656</t>
  </si>
  <si>
    <t>9780805743067</t>
  </si>
  <si>
    <t>32285002179447</t>
  </si>
  <si>
    <t>893517020</t>
  </si>
  <si>
    <t>PQ6144 .D58 1991</t>
  </si>
  <si>
    <t>0                      PQ 6144000D  58          1991</t>
  </si>
  <si>
    <t>La novela desmitificadora espan~ola, 1961-1982 / Stacey L. Dolguin [sic].</t>
  </si>
  <si>
    <t>Casado, Stacey Dolgin.</t>
  </si>
  <si>
    <t>Barcelona : Anthropos, 1991.</t>
  </si>
  <si>
    <t>Ambitos literarios. Ensayo ; 38</t>
  </si>
  <si>
    <t>352631032:spa</t>
  </si>
  <si>
    <t>24804278</t>
  </si>
  <si>
    <t>991004271019702656</t>
  </si>
  <si>
    <t>2272253810002656</t>
  </si>
  <si>
    <t>9788476582862</t>
  </si>
  <si>
    <t>32285004909361</t>
  </si>
  <si>
    <t>893446120</t>
  </si>
  <si>
    <t>PQ6144 .G66 1972</t>
  </si>
  <si>
    <t>0                      PQ 6144000G  66          1972</t>
  </si>
  <si>
    <t>La nueva ficción hispanoamericana / [por] Luis González del Valle [y] Vicente Cabrera ; a través de M.A. Asturias y G. García Marquez.</t>
  </si>
  <si>
    <t>González del Valle, Luis.</t>
  </si>
  <si>
    <t>New York : E. Torres, [1972]</t>
  </si>
  <si>
    <t>Torres library of literary studies ; 8</t>
  </si>
  <si>
    <t>366831698:spa</t>
  </si>
  <si>
    <t>820059</t>
  </si>
  <si>
    <t>991003297079702656</t>
  </si>
  <si>
    <t>2258963790002656</t>
  </si>
  <si>
    <t>9780883030080</t>
  </si>
  <si>
    <t>32285002080264</t>
  </si>
  <si>
    <t>893240065</t>
  </si>
  <si>
    <t>PQ6147.C5 T5</t>
  </si>
  <si>
    <t>0                      PQ 6147000C  5                  T  5</t>
  </si>
  <si>
    <t>Spanish and Portuguese romances of chivalry : the revival of the romance of chivalry in the Spanish Peninsula, and its extension and influence abroad / by Henry Thomas.</t>
  </si>
  <si>
    <t>Thomas, Henry, Sir, 1878-1952.</t>
  </si>
  <si>
    <t>Cambridge : The University Press, 1920.</t>
  </si>
  <si>
    <t>2004-11-30</t>
  </si>
  <si>
    <t>3980082744:eng</t>
  </si>
  <si>
    <t>3312699</t>
  </si>
  <si>
    <t>991004403969702656</t>
  </si>
  <si>
    <t>2272819570002656</t>
  </si>
  <si>
    <t>32285000598903</t>
  </si>
  <si>
    <t>893229322</t>
  </si>
  <si>
    <t>PQ6147.C6 C63 1990</t>
  </si>
  <si>
    <t>0                      PQ 6147000C  6                  C  63          1990</t>
  </si>
  <si>
    <t>La narrativa colombiana después de García Márquez y otros ensayos / por Juan Gustavo Cobo Borda.</t>
  </si>
  <si>
    <t>Cobo Borda, J. G., 1948-</t>
  </si>
  <si>
    <t>Bogotá, Colombia : Tercer Mundo Editores, 1990.</t>
  </si>
  <si>
    <t>Crítica literaria</t>
  </si>
  <si>
    <t>351217931:spa</t>
  </si>
  <si>
    <t>29123582</t>
  </si>
  <si>
    <t>991002251009702656</t>
  </si>
  <si>
    <t>2272746590002656</t>
  </si>
  <si>
    <t>9789586012256</t>
  </si>
  <si>
    <t>32285002080421</t>
  </si>
  <si>
    <t>893892320</t>
  </si>
  <si>
    <t>PQ6147.P5 H3 1967</t>
  </si>
  <si>
    <t>0                      PQ 6147000P  5                  H  3           1967</t>
  </si>
  <si>
    <t>La mujer en la novela picaresca española / por Thomas Hanrahan ; nota preliminar por Rafael Ma. de Hornedo.</t>
  </si>
  <si>
    <t>Hanrahan, Thomas, 1956-</t>
  </si>
  <si>
    <t>Madrid : Ediciones J. Porrúa Turanzas, 1967.</t>
  </si>
  <si>
    <t>Bibliotheca Tenanitla; libros españoles e hispanoamericanos, 9-10</t>
  </si>
  <si>
    <t>365218694:spa</t>
  </si>
  <si>
    <t>734074</t>
  </si>
  <si>
    <t>991004523799702656</t>
  </si>
  <si>
    <t>2257603770002656</t>
  </si>
  <si>
    <t>32285005048383</t>
  </si>
  <si>
    <t>893513341</t>
  </si>
  <si>
    <t>32285005048375</t>
  </si>
  <si>
    <t>893519756</t>
  </si>
  <si>
    <t>PQ6147.P5 M5818</t>
  </si>
  <si>
    <t>0                      PQ 6147000P  5                  M  5818</t>
  </si>
  <si>
    <t>Itinerario de la novela picaresca española. Traducción de Enrique Sordo.</t>
  </si>
  <si>
    <t>Del Monte, Alberto.</t>
  </si>
  <si>
    <t>[Barcelona] Lumen [1971]</t>
  </si>
  <si>
    <t>Palabra en el tiempo ; 73</t>
  </si>
  <si>
    <t>2001-01-22</t>
  </si>
  <si>
    <t>22036707:spa</t>
  </si>
  <si>
    <t>386115</t>
  </si>
  <si>
    <t>991003876239702656</t>
  </si>
  <si>
    <t>2268806440002656</t>
  </si>
  <si>
    <t>32285002516960</t>
  </si>
  <si>
    <t>893705727</t>
  </si>
  <si>
    <t>PQ6147.S5 T47 1997</t>
  </si>
  <si>
    <t>0                      PQ 6147000S  5                  T  47          1997</t>
  </si>
  <si>
    <t>Teoría e interpretación del cuento : estudios / editados por Peter Fröhlicher y Georges Güntert.</t>
  </si>
  <si>
    <t>Bern ; New York : P. Lang, c1997.</t>
  </si>
  <si>
    <t>2nd ed., rev.</t>
  </si>
  <si>
    <t>1998-03-24</t>
  </si>
  <si>
    <t>1997-04-09</t>
  </si>
  <si>
    <t>350594489:spa</t>
  </si>
  <si>
    <t>39654614</t>
  </si>
  <si>
    <t>991002776459702656</t>
  </si>
  <si>
    <t>2256379240002656</t>
  </si>
  <si>
    <t>9783906756899</t>
  </si>
  <si>
    <t>32285002495926</t>
  </si>
  <si>
    <t>893227261</t>
  </si>
  <si>
    <t>PQ6150 .A95 1987</t>
  </si>
  <si>
    <t>0                      PQ 6150000A  95          1987</t>
  </si>
  <si>
    <t>Los gaeneros ensayaisticos en el siglo XX / Pedro Aullaon de Haro.</t>
  </si>
  <si>
    <t>Aullaon de Haro, Pedro.</t>
  </si>
  <si>
    <t>Madrid : Taurus, c1987.</t>
  </si>
  <si>
    <t>Historia craitica de la literatura hispaanica ; 26</t>
  </si>
  <si>
    <t>350175000:spa</t>
  </si>
  <si>
    <t>17758952</t>
  </si>
  <si>
    <t>991004336079702656</t>
  </si>
  <si>
    <t>2262037790002656</t>
  </si>
  <si>
    <t>9788430625260</t>
  </si>
  <si>
    <t>32285004928502</t>
  </si>
  <si>
    <t>893436168</t>
  </si>
  <si>
    <t>PQ6161 .G85</t>
  </si>
  <si>
    <t>0                      PQ 6161000G  85</t>
  </si>
  <si>
    <t>Leyendas de José hijo de Jacob y de Alejandro Magno : sacadas de dos manuscritos moriscos de la Biblioteca Nacional de Madrid / por F. Guillén Robles.</t>
  </si>
  <si>
    <t>Zaragoza : Imprenta del Hospicio Provincial 1888.</t>
  </si>
  <si>
    <t>1888</t>
  </si>
  <si>
    <t>2004-04-13</t>
  </si>
  <si>
    <t>426303728:spa</t>
  </si>
  <si>
    <t>5972585</t>
  </si>
  <si>
    <t>991004908609702656</t>
  </si>
  <si>
    <t>2266130600002656</t>
  </si>
  <si>
    <t>32285003328480</t>
  </si>
  <si>
    <t>893719543</t>
  </si>
  <si>
    <t>PQ6171 .C6</t>
  </si>
  <si>
    <t>0                      PQ 6171000C  6</t>
  </si>
  <si>
    <t>Obras completas de Juan Alvarez Gato; editadas con notas y una introducción por Jenaro Artiles Rodríguez.</t>
  </si>
  <si>
    <t>Alvarez Gato, Juan, active 15th century.</t>
  </si>
  <si>
    <t>Madrid [Compaña ibero-americana de publicaciones] 1928.</t>
  </si>
  <si>
    <t>Added t.p.: Los clásicos olvidados ... pub. bajo la dirección de Pedro Sáinz y Rodriguez ... vol. iv</t>
  </si>
  <si>
    <t>2004-01-28</t>
  </si>
  <si>
    <t>2161311:spa</t>
  </si>
  <si>
    <t>1198322</t>
  </si>
  <si>
    <t>991003614929702656</t>
  </si>
  <si>
    <t>2266929160002656</t>
  </si>
  <si>
    <t>32285002517083</t>
  </si>
  <si>
    <t>893717882</t>
  </si>
  <si>
    <t>PQ6172 .C48</t>
  </si>
  <si>
    <t>0                      PQ 6172000C  48</t>
  </si>
  <si>
    <t>A new anthology of Spanish literature [by] Richard E. Chandler &amp; Kessel Schwartz.</t>
  </si>
  <si>
    <t>Chandler, Richard E. (Richard Eugene), 1916-2008 compiler.</t>
  </si>
  <si>
    <t>[Baton Rouge] Louisiana State University Press [1967]</t>
  </si>
  <si>
    <t>10628198162:eng</t>
  </si>
  <si>
    <t>228643</t>
  </si>
  <si>
    <t>991001397859702656</t>
  </si>
  <si>
    <t>2256927640002656</t>
  </si>
  <si>
    <t>32285002517158</t>
  </si>
  <si>
    <t>893522548</t>
  </si>
  <si>
    <t>32285002517141</t>
  </si>
  <si>
    <t>893522549</t>
  </si>
  <si>
    <t>PQ6172 .R48 1960</t>
  </si>
  <si>
    <t>0                      PQ 6172000R  48          1960</t>
  </si>
  <si>
    <t>Antología general de la literatura española: verso, prosa, teatro [por] Angel del Río [y] Amelia A. de del Río.</t>
  </si>
  <si>
    <t>Río, Angel del, 1900-1962, editor.</t>
  </si>
  <si>
    <t>New York, Holt, Rinehart and Winston [1960]</t>
  </si>
  <si>
    <t>[2.] ed. corr. y aumentada.</t>
  </si>
  <si>
    <t>1998-10-30</t>
  </si>
  <si>
    <t>4915866161:spa</t>
  </si>
  <si>
    <t>289808</t>
  </si>
  <si>
    <t>991002219939702656</t>
  </si>
  <si>
    <t>2262015890002656</t>
  </si>
  <si>
    <t>32285002517224</t>
  </si>
  <si>
    <t>893433636</t>
  </si>
  <si>
    <t>32285002517216</t>
  </si>
  <si>
    <t>893427348</t>
  </si>
  <si>
    <t>PQ6172.D5 A5</t>
  </si>
  <si>
    <t>0                      PQ 6172000D  5                  A  5</t>
  </si>
  <si>
    <t>Antología mayor de la literatura española. Dirección, prólogo y notas de Guillermo Díaz-Plaja.</t>
  </si>
  <si>
    <t>Díaz-Plaja, Guillermo, 1909-1984, editor.</t>
  </si>
  <si>
    <t>Barcelona, Editorial Labor, 1958-61.</t>
  </si>
  <si>
    <t>Thesaurus litterae; antologías Labor de la literatura universal. España, 1-4</t>
  </si>
  <si>
    <t>2864992853:spa</t>
  </si>
  <si>
    <t>2299658</t>
  </si>
  <si>
    <t>991004070659702656</t>
  </si>
  <si>
    <t>2272456590002656</t>
  </si>
  <si>
    <t>32285002517190</t>
  </si>
  <si>
    <t>893228895</t>
  </si>
  <si>
    <t>32285002517182</t>
  </si>
  <si>
    <t>893228893</t>
  </si>
  <si>
    <t>32285002517166</t>
  </si>
  <si>
    <t>893228894</t>
  </si>
  <si>
    <t>32285002517174</t>
  </si>
  <si>
    <t>893235019</t>
  </si>
  <si>
    <t>PQ6174 .D18 1968</t>
  </si>
  <si>
    <t>0                      PQ 6174000D  18          1968</t>
  </si>
  <si>
    <t>Literatura del siglo xx / [por] Ernesto G. Da Cal [y] Margarita Ucelay.</t>
  </si>
  <si>
    <t>Da Cal, Ernesto Guerra, 1911-, compiler.</t>
  </si>
  <si>
    <t>New York : Holt, Rinehart and Winston, [1968]</t>
  </si>
  <si>
    <t>Nueva ed., revisada y aumentada.</t>
  </si>
  <si>
    <t>1998-02-01</t>
  </si>
  <si>
    <t>1961101:spa</t>
  </si>
  <si>
    <t>1026678</t>
  </si>
  <si>
    <t>991003479869702656</t>
  </si>
  <si>
    <t>2257070650002656</t>
  </si>
  <si>
    <t>32285000599034</t>
  </si>
  <si>
    <t>893699028</t>
  </si>
  <si>
    <t>PQ6174.A3 G65</t>
  </si>
  <si>
    <t>0                      PQ 6174000A  3                  G  65</t>
  </si>
  <si>
    <t>... Don Juan Manuel, y los cuentos medievales seleccíon y notas por María Goyri de Menéndez Pidal.</t>
  </si>
  <si>
    <t>Goyri, María.</t>
  </si>
  <si>
    <t>Madrid, Instituto - escuela, 1936.</t>
  </si>
  <si>
    <t>1936</t>
  </si>
  <si>
    <t>Biblioteca literaria del estudiante ... t. XXVII</t>
  </si>
  <si>
    <t>2004-10-29</t>
  </si>
  <si>
    <t>1882033630:eng</t>
  </si>
  <si>
    <t>2062811</t>
  </si>
  <si>
    <t>991003996559702656</t>
  </si>
  <si>
    <t>2259644700002656</t>
  </si>
  <si>
    <t>32285002517240</t>
  </si>
  <si>
    <t>893525500</t>
  </si>
  <si>
    <t>PQ6174.A3 M4</t>
  </si>
  <si>
    <t>0                      PQ 6174000A  3                  M  4</t>
  </si>
  <si>
    <t>Poema del Cid y otras gestas heroicas; selección, notas y mapas por Jimena Menéndez Pidal; dibujos de F. Marco.</t>
  </si>
  <si>
    <t>Menéndez Pidal, Jimena, compiler.</t>
  </si>
  <si>
    <t>Madrid, Instituto-escuela, Junta para ampliación de estudios, 1923.</t>
  </si>
  <si>
    <t>1923</t>
  </si>
  <si>
    <t>Biblioteca literaria del estudiante, t. XXX</t>
  </si>
  <si>
    <t>1997-07-01</t>
  </si>
  <si>
    <t>1150923538:spa</t>
  </si>
  <si>
    <t>3212968</t>
  </si>
  <si>
    <t>991004379339702656</t>
  </si>
  <si>
    <t>2256340660002656</t>
  </si>
  <si>
    <t>32285002517265</t>
  </si>
  <si>
    <t>893411451</t>
  </si>
  <si>
    <t>PQ6174.A5 S36</t>
  </si>
  <si>
    <t>0                      PQ 6174000A  5                  S  36</t>
  </si>
  <si>
    <t>Les danses macabres de France et d'Espagne et leurs prolongements littéraires.</t>
  </si>
  <si>
    <t>Saugnieux, Joël, compiler.</t>
  </si>
  <si>
    <t>Lyon : E. Vitte, [1972]</t>
  </si>
  <si>
    <t>Bibliothèque de la Faculté des lettres de Lyon ; fasc. 30</t>
  </si>
  <si>
    <t>1993-02-16</t>
  </si>
  <si>
    <t>422867467:fre</t>
  </si>
  <si>
    <t>541632</t>
  </si>
  <si>
    <t>991002955049702656</t>
  </si>
  <si>
    <t>2268555330002656</t>
  </si>
  <si>
    <t>32285000510627</t>
  </si>
  <si>
    <t>893622949</t>
  </si>
  <si>
    <t>PQ6175 .O24 2001</t>
  </si>
  <si>
    <t>0                      PQ 6175000O  24          2001</t>
  </si>
  <si>
    <t>Ocho siglos de poesía en lengua castellana / Francisco Montes de Oca [compilador].</t>
  </si>
  <si>
    <t>México : Editorial Porrúa, 2001.</t>
  </si>
  <si>
    <t>1. ed. especial.</t>
  </si>
  <si>
    <t>2003-06-18</t>
  </si>
  <si>
    <t>2003-06-17</t>
  </si>
  <si>
    <t>2864719797:spa</t>
  </si>
  <si>
    <t>52099201</t>
  </si>
  <si>
    <t>991004079589702656</t>
  </si>
  <si>
    <t>2258153140002656</t>
  </si>
  <si>
    <t>9789700729855</t>
  </si>
  <si>
    <t>32285004771662</t>
  </si>
  <si>
    <t>893593247</t>
  </si>
  <si>
    <t>PQ6176 .A527 1986, v...</t>
  </si>
  <si>
    <t>0                      PQ 6176000A  527         1986                                        v...</t>
  </si>
  <si>
    <t>Antología de la poesía española e hispanoamericana / José María Valverde y Dámaso Santos.</t>
  </si>
  <si>
    <t>Barcelona : Anthropos, c1986-</t>
  </si>
  <si>
    <t xml:space="preserve">bl </t>
  </si>
  <si>
    <t>Ambitos literarios/Poesía ; 85, 89-</t>
  </si>
  <si>
    <t>1995-03-04</t>
  </si>
  <si>
    <t>1992-01-16</t>
  </si>
  <si>
    <t>3374512439:spa</t>
  </si>
  <si>
    <t>14089655</t>
  </si>
  <si>
    <t>991000904839702656</t>
  </si>
  <si>
    <t>2261349290002656</t>
  </si>
  <si>
    <t>9788476580004</t>
  </si>
  <si>
    <t>32285000864123</t>
  </si>
  <si>
    <t>893496656</t>
  </si>
  <si>
    <t>32285000864131</t>
  </si>
  <si>
    <t>893496655</t>
  </si>
  <si>
    <t>PQ6176 .B4 1995</t>
  </si>
  <si>
    <t>0                      PQ 6176000B  4           1995</t>
  </si>
  <si>
    <t>Las mil mejores poesías de la lengua castellana : ocho siglos de poesía española e hispanoamericana / José Bergua [compilador].</t>
  </si>
  <si>
    <t>Madrid : Claasicos Bergua, c1995.</t>
  </si>
  <si>
    <t>1995</t>
  </si>
  <si>
    <t>31. ed.</t>
  </si>
  <si>
    <t>Colección "Tesoro literario" ; núm. 26</t>
  </si>
  <si>
    <t>3943485713:spa</t>
  </si>
  <si>
    <t>42806762</t>
  </si>
  <si>
    <t>991003484009702656</t>
  </si>
  <si>
    <t>2257954040002656</t>
  </si>
  <si>
    <t>32285004311634</t>
  </si>
  <si>
    <t>893717700</t>
  </si>
  <si>
    <t>PQ6176 .C48 1984</t>
  </si>
  <si>
    <t>0                      PQ 6176000C  48          1984</t>
  </si>
  <si>
    <t>Las Cien mejores poesías líricas de la lengua castellana / selección y advertencia preliminar de Marcelino Menéndez y Pelayo.</t>
  </si>
  <si>
    <t>Mexico : Porrua, c1984.</t>
  </si>
  <si>
    <t>5a ed.</t>
  </si>
  <si>
    <t>"Sepan cuantos--" ; no. 137</t>
  </si>
  <si>
    <t>343972621:spa</t>
  </si>
  <si>
    <t>21729307</t>
  </si>
  <si>
    <t>991003521259702656</t>
  </si>
  <si>
    <t>2255509620002656</t>
  </si>
  <si>
    <t>9789684325111</t>
  </si>
  <si>
    <t>32285004307350</t>
  </si>
  <si>
    <t>893246437</t>
  </si>
  <si>
    <t>PQ6176 .T46 1995</t>
  </si>
  <si>
    <t>0                      PQ 6176000T  46          1995</t>
  </si>
  <si>
    <t>Tesoros de la poesía en lengua castellana / prólogo de Rafael Alberti ; selección de Regino García-Badell.</t>
  </si>
  <si>
    <t>[Madrid] : Ediciones del Prado, 1995.</t>
  </si>
  <si>
    <t>Palabras mayores</t>
  </si>
  <si>
    <t>357275606:spa</t>
  </si>
  <si>
    <t>34290326</t>
  </si>
  <si>
    <t>991003720729702656</t>
  </si>
  <si>
    <t>2257034000002656</t>
  </si>
  <si>
    <t>9788478386826</t>
  </si>
  <si>
    <t>32285004451406</t>
  </si>
  <si>
    <t>893711699</t>
  </si>
  <si>
    <t>PQ6177 .A68 1992</t>
  </si>
  <si>
    <t>0                      PQ 6177000A  68          1992</t>
  </si>
  <si>
    <t>Antologaia poaetica de escritoras del siglo XIX / ediciaon, introducciaon y notas de Susan Kirkpatrick.</t>
  </si>
  <si>
    <t>Madrid : Editorial Castalia : Instituto de la Mujer, c1992.</t>
  </si>
  <si>
    <t>Biblioteca de escritoras ; 34</t>
  </si>
  <si>
    <t>2004-09-27</t>
  </si>
  <si>
    <t>53072668:spa</t>
  </si>
  <si>
    <t>28389363</t>
  </si>
  <si>
    <t>991004345429702656</t>
  </si>
  <si>
    <t>2255765370002656</t>
  </si>
  <si>
    <t>9788470396625</t>
  </si>
  <si>
    <t>32285004989330</t>
  </si>
  <si>
    <t>893353345</t>
  </si>
  <si>
    <t>PQ6181 .A4</t>
  </si>
  <si>
    <t>0                      PQ 6181000A  4</t>
  </si>
  <si>
    <t>Poesía española medieval. Edición, introd., bibliografía y notas de Manuel Alvar.</t>
  </si>
  <si>
    <t>Alvar, Manuel, 1923-2001, compiler.</t>
  </si>
  <si>
    <t>Barcelona, Editorial Planeta [1969]</t>
  </si>
  <si>
    <t>Clásicos Planeta ; 15</t>
  </si>
  <si>
    <t>1999-10-22</t>
  </si>
  <si>
    <t>319796718:spa</t>
  </si>
  <si>
    <t>602132</t>
  </si>
  <si>
    <t>991003040689702656</t>
  </si>
  <si>
    <t>2259818170002656</t>
  </si>
  <si>
    <t>32285002517430</t>
  </si>
  <si>
    <t>893348275</t>
  </si>
  <si>
    <t>PQ6184 .P574 1993</t>
  </si>
  <si>
    <t>0                      PQ 6184000P  574         1993</t>
  </si>
  <si>
    <t>Poesía lírica del Siglo de Oro / edición de Elias L. Rivers.</t>
  </si>
  <si>
    <t>Madrid : Cátedra, c1993.</t>
  </si>
  <si>
    <t>13a. ed.</t>
  </si>
  <si>
    <t>Letras hispánicas</t>
  </si>
  <si>
    <t>4790878134:spa</t>
  </si>
  <si>
    <t>34017414</t>
  </si>
  <si>
    <t>991003484099702656</t>
  </si>
  <si>
    <t>2271629460002656</t>
  </si>
  <si>
    <t>9788437601748</t>
  </si>
  <si>
    <t>32285004307384</t>
  </si>
  <si>
    <t>893258463</t>
  </si>
  <si>
    <t>PQ6185 .P63 1993</t>
  </si>
  <si>
    <t>0                      PQ 6185000P  63          1993</t>
  </si>
  <si>
    <t>Poesía española del siglo XVIII / edición de Rogelio Reyes.</t>
  </si>
  <si>
    <t>Madrid : Cátedra, 1993.</t>
  </si>
  <si>
    <t>Letras hispánicas ; 277</t>
  </si>
  <si>
    <t>2001-04-11</t>
  </si>
  <si>
    <t>55103356:spa</t>
  </si>
  <si>
    <t>37817253</t>
  </si>
  <si>
    <t>991003483979702656</t>
  </si>
  <si>
    <t>2258678040002656</t>
  </si>
  <si>
    <t>9788437607276</t>
  </si>
  <si>
    <t>32285004311998</t>
  </si>
  <si>
    <t>893900014</t>
  </si>
  <si>
    <t>PQ6186 .C3 1967</t>
  </si>
  <si>
    <t>0                      PQ 6186000C  3           1967</t>
  </si>
  <si>
    <t>Madre : antología poética / prólogo y notas de Rafael Ramón Castellanos. Selección de Liria Lourdes Castellanos.</t>
  </si>
  <si>
    <t>Castellanos, Liria Lourdes, compiler.</t>
  </si>
  <si>
    <t>2002-04-03</t>
  </si>
  <si>
    <t>2002-03-07</t>
  </si>
  <si>
    <t>2084152:spa</t>
  </si>
  <si>
    <t>1153369</t>
  </si>
  <si>
    <t>991003759869702656</t>
  </si>
  <si>
    <t>2265054970002656</t>
  </si>
  <si>
    <t>32285004460159</t>
  </si>
  <si>
    <t>893686920</t>
  </si>
  <si>
    <t>PQ6186 .S3</t>
  </si>
  <si>
    <t>0                      PQ 6186000S  3</t>
  </si>
  <si>
    <t>Nineteenth-century Spanish verse.</t>
  </si>
  <si>
    <t>Sanchez, José, editor.</t>
  </si>
  <si>
    <t>New York : Appleton-Century-Crofts, [1949]</t>
  </si>
  <si>
    <t>2006-11-20</t>
  </si>
  <si>
    <t>1992-03-25</t>
  </si>
  <si>
    <t>1640632:spa</t>
  </si>
  <si>
    <t>562363</t>
  </si>
  <si>
    <t>991002993929702656</t>
  </si>
  <si>
    <t>2254915710002656</t>
  </si>
  <si>
    <t>32285001028421</t>
  </si>
  <si>
    <t>893505082</t>
  </si>
  <si>
    <t>PQ6187 .A615 1997</t>
  </si>
  <si>
    <t>0                      PQ 6187000A  615         1997</t>
  </si>
  <si>
    <t>Antología de poesía española : (1975-1995) / con cuadros cronológicos, introducción, textos íntegros, bibliografía, notas y llamadas de atención, documentos y orientaciones para el estudio a cargo de José Enrique Martínez.</t>
  </si>
  <si>
    <t>Madrid : Castalia, 1997.</t>
  </si>
  <si>
    <t>Castalia didáctica ; 43</t>
  </si>
  <si>
    <t>2000-06-27</t>
  </si>
  <si>
    <t>1998-03-23</t>
  </si>
  <si>
    <t>890835636:spa</t>
  </si>
  <si>
    <t>38126498</t>
  </si>
  <si>
    <t>991002893939702656</t>
  </si>
  <si>
    <t>2271112960002656</t>
  </si>
  <si>
    <t>9788470397745</t>
  </si>
  <si>
    <t>32285003359766</t>
  </si>
  <si>
    <t>893809713</t>
  </si>
  <si>
    <t>PQ6187 .A6155 1988</t>
  </si>
  <si>
    <t>0                      PQ 6187000A  6155        1988</t>
  </si>
  <si>
    <t>Antología de los poetas del 27 / selección e introducción José Luis Cano.</t>
  </si>
  <si>
    <t>Madrid : Espasa-Calpe, 1988, c1982.</t>
  </si>
  <si>
    <t>Colección Austral ; 8</t>
  </si>
  <si>
    <t>1991-06-06</t>
  </si>
  <si>
    <t>5090731011:spa</t>
  </si>
  <si>
    <t>20189446</t>
  </si>
  <si>
    <t>991001548719702656</t>
  </si>
  <si>
    <t>2255085880002656</t>
  </si>
  <si>
    <t>9788423918089</t>
  </si>
  <si>
    <t>32285000599224</t>
  </si>
  <si>
    <t>893791503</t>
  </si>
  <si>
    <t>PQ6187 .A755 1997</t>
  </si>
  <si>
    <t>0                      PQ 6187000A  755         1997</t>
  </si>
  <si>
    <t>Antología poética de la generación del 27 / selección, estudio y notas por Manuel Cifo González.</t>
  </si>
  <si>
    <t>Madrid ; Miami : Santillana, c1997.</t>
  </si>
  <si>
    <t>Clásicos esenciales Santillana ; 18</t>
  </si>
  <si>
    <t>2004-05-17</t>
  </si>
  <si>
    <t>56164116:spa</t>
  </si>
  <si>
    <t>46327284</t>
  </si>
  <si>
    <t>991004254949702656</t>
  </si>
  <si>
    <t>2258108270002656</t>
  </si>
  <si>
    <t>9788429451344</t>
  </si>
  <si>
    <t>32285004906003</t>
  </si>
  <si>
    <t>893624516</t>
  </si>
  <si>
    <t>PQ6187 .G3 1999</t>
  </si>
  <si>
    <t>0                      PQ 6187000G  3           1999</t>
  </si>
  <si>
    <t>Antología del grupo poético de 1927, edición de Vicente Gaos; actualizada por Carlos Sahagún.</t>
  </si>
  <si>
    <t>Gaos, Vicente, compiler.</t>
  </si>
  <si>
    <t>Madrid, Ediciones Cátedra, 1999.</t>
  </si>
  <si>
    <t>21. ed.</t>
  </si>
  <si>
    <t>5584100460:spa</t>
  </si>
  <si>
    <t>41062034</t>
  </si>
  <si>
    <t>991003484169702656</t>
  </si>
  <si>
    <t>2266245600002656</t>
  </si>
  <si>
    <t>9788437600536</t>
  </si>
  <si>
    <t>32285004311980</t>
  </si>
  <si>
    <t>893246395</t>
  </si>
  <si>
    <t>PQ6187 .W75 1986</t>
  </si>
  <si>
    <t>0                      PQ 6187000W  75          1986</t>
  </si>
  <si>
    <t>The poetry of protest under Franco / Eleanor Wright.</t>
  </si>
  <si>
    <t>Wright, Eleanor.</t>
  </si>
  <si>
    <t>London : Tamesis Books ; Dover, N.H., U.S.A. : Longwood Pub. Group, [distributor], U.S. and Canada, c1986.</t>
  </si>
  <si>
    <t>Colección Támesis. Serie A, Monografías ; 89</t>
  </si>
  <si>
    <t>1992-01-28</t>
  </si>
  <si>
    <t>8035641:eng</t>
  </si>
  <si>
    <t>14256490</t>
  </si>
  <si>
    <t>991000929799702656</t>
  </si>
  <si>
    <t>2271473230002656</t>
  </si>
  <si>
    <t>9780729302104</t>
  </si>
  <si>
    <t>32285000867282</t>
  </si>
  <si>
    <t>893534360</t>
  </si>
  <si>
    <t>PQ6192 .P64 1991</t>
  </si>
  <si>
    <t>0                      PQ 6192000P  64          1991</t>
  </si>
  <si>
    <t>Poesías del Maestro León y de Fr. Melchor de la Serna y otros (S. XVI) : códice número 961 de la Biblioteca Real de Madrid / edición de C. Ángel Zorita, Ralph A. DiFranco, José J. Labrador Herraiz ; prólogo de Dietrich Briesemeister.</t>
  </si>
  <si>
    <t>Cleveland : Cleveland State University, 1991.</t>
  </si>
  <si>
    <t>Colección Cancioneros castellanos ; v. 4</t>
  </si>
  <si>
    <t>319830274:spa</t>
  </si>
  <si>
    <t>28159252</t>
  </si>
  <si>
    <t>991004489819702656</t>
  </si>
  <si>
    <t>2258569850002656</t>
  </si>
  <si>
    <t>9780961305567</t>
  </si>
  <si>
    <t>32285005028682</t>
  </si>
  <si>
    <t>893618725</t>
  </si>
  <si>
    <t>PQ6196 .M36 1973</t>
  </si>
  <si>
    <t>0                      PQ 6196000M  36          1973</t>
  </si>
  <si>
    <t>Romancero / Selección hecha por G. Menéndez Pidal; dibujos de A. Ruiz Castillo.</t>
  </si>
  <si>
    <t>Menéndez Pidal, Gonzalo editor.</t>
  </si>
  <si>
    <t>Madrid : Consejo Superior de Investigaciones Científicas, 1973.</t>
  </si>
  <si>
    <t>Reimpresión de la segunda edición.</t>
  </si>
  <si>
    <t>Biblioteca literaria del estudiante, fundada por Ramón Menéndez Pidal ; 25</t>
  </si>
  <si>
    <t>3275025:spa</t>
  </si>
  <si>
    <t>2573059</t>
  </si>
  <si>
    <t>991004523629702656</t>
  </si>
  <si>
    <t>2263499710002656</t>
  </si>
  <si>
    <t>32285005048425</t>
  </si>
  <si>
    <t>893788802</t>
  </si>
  <si>
    <t>PQ6198.A4 R6 1982</t>
  </si>
  <si>
    <t>0                      PQ 6198000A  4                  R  6           1982</t>
  </si>
  <si>
    <t>Romance del rey don Alonso que ganó a Toledo ; ed. facsímil con trascrición y estudio / Joaquín González Cuenca.</t>
  </si>
  <si>
    <t>Facsímiles toledanos ; 2</t>
  </si>
  <si>
    <t>3901040748:spa</t>
  </si>
  <si>
    <t>10169915</t>
  </si>
  <si>
    <t>991000325729702656</t>
  </si>
  <si>
    <t>2260578350002656</t>
  </si>
  <si>
    <t>9788400052034</t>
  </si>
  <si>
    <t>32285000599240</t>
  </si>
  <si>
    <t>893521575</t>
  </si>
  <si>
    <t>PQ6217 .A7</t>
  </si>
  <si>
    <t>0                      PQ 6217000A  7</t>
  </si>
  <si>
    <t>Diez comedias del siglo de oro; an annotated omnibus of ten complete plays by the most representative Spanish dramatists of the golden age, edited by Hymen Alpern ... and José Martel ...</t>
  </si>
  <si>
    <t>Alpern, Hymen, 1895-1967, editor.</t>
  </si>
  <si>
    <t>New York, London, Harper &amp; brothers [c1939]</t>
  </si>
  <si>
    <t>1939</t>
  </si>
  <si>
    <t>"First edition."</t>
  </si>
  <si>
    <t>911981748:spa</t>
  </si>
  <si>
    <t>6775984</t>
  </si>
  <si>
    <t>991005038619702656</t>
  </si>
  <si>
    <t>2264063540002656</t>
  </si>
  <si>
    <t>32285002517562</t>
  </si>
  <si>
    <t>893501227</t>
  </si>
  <si>
    <t>PQ6217 .F56 1968</t>
  </si>
  <si>
    <t>0                      PQ 6217000F  56          1968</t>
  </si>
  <si>
    <t>Spanish drama / edited and with an introd. by Angel Flores ; with a critical essay by John Gassner.</t>
  </si>
  <si>
    <t>New York : Bantam Books, 1968, c1962.</t>
  </si>
  <si>
    <t>Bantam world drama ; QT4128</t>
  </si>
  <si>
    <t>1994-04-20</t>
  </si>
  <si>
    <t>2219945:eng</t>
  </si>
  <si>
    <t>3637703</t>
  </si>
  <si>
    <t>991004485059702656</t>
  </si>
  <si>
    <t>2271703020002656</t>
  </si>
  <si>
    <t>32285001889939</t>
  </si>
  <si>
    <t>893869762</t>
  </si>
  <si>
    <t>PQ6227 .B4</t>
  </si>
  <si>
    <t>0                      PQ 6227000B  4</t>
  </si>
  <si>
    <t>Modern Spanish theatre; an anthology of plays, edited by Michael Benedikt and George E. Wellwarth.</t>
  </si>
  <si>
    <t>Benedikt, Michael, 1935-2007, compiler.</t>
  </si>
  <si>
    <t>New York, Dutton, 1968.</t>
  </si>
  <si>
    <t>1997-10-17</t>
  </si>
  <si>
    <t>793821261:eng</t>
  </si>
  <si>
    <t>1096445</t>
  </si>
  <si>
    <t>991003533599702656</t>
  </si>
  <si>
    <t>2268551400002656</t>
  </si>
  <si>
    <t>32285002517687</t>
  </si>
  <si>
    <t>893518577</t>
  </si>
  <si>
    <t>PQ6239.E6 A57 2003</t>
  </si>
  <si>
    <t>0                      PQ 6239000E  6                  A  57          2003</t>
  </si>
  <si>
    <t>Antologaia del entremaes barroco / ediciaon de Celsa Carmen Garcaia Valdaes.</t>
  </si>
  <si>
    <t>Madrid : Ediciones Libertarias, 2003.</t>
  </si>
  <si>
    <t>Claasicos Libertarias ; 36</t>
  </si>
  <si>
    <t>54866414:spa</t>
  </si>
  <si>
    <t>53705535</t>
  </si>
  <si>
    <t>991004378959702656</t>
  </si>
  <si>
    <t>2267500100002656</t>
  </si>
  <si>
    <t>9788479546267</t>
  </si>
  <si>
    <t>32285005002364</t>
  </si>
  <si>
    <t>893349944</t>
  </si>
  <si>
    <t>PQ6256.E76 V48 1992</t>
  </si>
  <si>
    <t>0                      PQ 6256000E  76                 V  48          1992</t>
  </si>
  <si>
    <t>Verte desnudo / edición de Lourdes Ortiz ; Mercedes Abad ... et al. ; ilustraciones de interior, Manuel Lago Alonso.</t>
  </si>
  <si>
    <t>[Madrid] : Temas de Hoy, [1992]</t>
  </si>
  <si>
    <t>[1. ed.].</t>
  </si>
  <si>
    <t>Biblioteca erótica ; 19</t>
  </si>
  <si>
    <t>5090524970:spa</t>
  </si>
  <si>
    <t>28808799</t>
  </si>
  <si>
    <t>991003845729702656</t>
  </si>
  <si>
    <t>2267410550002656</t>
  </si>
  <si>
    <t>9788478801565</t>
  </si>
  <si>
    <t>32285004499637</t>
  </si>
  <si>
    <t>893699484</t>
  </si>
  <si>
    <t>PQ6256.P5 N6</t>
  </si>
  <si>
    <t>0                      PQ 6256000P  5                  N  6</t>
  </si>
  <si>
    <t>Selections from the picaresque novel, edited with introduction, notes, and vocabulary by George Tyler Northup.</t>
  </si>
  <si>
    <t>Northup, George Tyler, 1874-1964, editor.</t>
  </si>
  <si>
    <t>Boston, New York [etc.] D.C. Heath and company [c1935]</t>
  </si>
  <si>
    <t>2287222:eng</t>
  </si>
  <si>
    <t>1373167</t>
  </si>
  <si>
    <t>991003725949702656</t>
  </si>
  <si>
    <t>2258494120002656</t>
  </si>
  <si>
    <t>32285002517810</t>
  </si>
  <si>
    <t>893793955</t>
  </si>
  <si>
    <t>PQ6256.P5 R8</t>
  </si>
  <si>
    <t>0                      PQ 6256000P  5                  R  8</t>
  </si>
  <si>
    <t>La novela picaresca; selección hecha por Federico Ruiz Morcuende. Dibujos de F. Marco.</t>
  </si>
  <si>
    <t>Ruiz Morcuende, Federico, 1890-</t>
  </si>
  <si>
    <t>Madrid, Instituto-escuels, Junta para ampliación de estudios, 1922.</t>
  </si>
  <si>
    <t>Biblioteca literaria del estudiante ; t. 26</t>
  </si>
  <si>
    <t>1999-01-21</t>
  </si>
  <si>
    <t>348577313:spa</t>
  </si>
  <si>
    <t>3076563</t>
  </si>
  <si>
    <t>991004337139702656</t>
  </si>
  <si>
    <t>2266055900002656</t>
  </si>
  <si>
    <t>32285002517828</t>
  </si>
  <si>
    <t>893263210</t>
  </si>
  <si>
    <t>PQ6257 .A57 2000</t>
  </si>
  <si>
    <t>0                      PQ 6257000A  57          2000</t>
  </si>
  <si>
    <t>Antología del cuento español, hispanoamericano y puertorriqueño, siglo XX / selección y comentarios críticos de Juan Escalera Ortiz.</t>
  </si>
  <si>
    <t>Río Piedras, Puerto Rico : Editorial Plaza Mayor, c2000.</t>
  </si>
  <si>
    <t>5. ed.</t>
  </si>
  <si>
    <t xml:space="preserve">pr </t>
  </si>
  <si>
    <t>2002-11-11</t>
  </si>
  <si>
    <t>55012410:spa</t>
  </si>
  <si>
    <t>38436212</t>
  </si>
  <si>
    <t>991003835989702656</t>
  </si>
  <si>
    <t>2270369430002656</t>
  </si>
  <si>
    <t>9781563280702</t>
  </si>
  <si>
    <t>32285004498894</t>
  </si>
  <si>
    <t>893441811</t>
  </si>
  <si>
    <t>PQ6267.E6 T8</t>
  </si>
  <si>
    <t>0                      PQ 6267000E  6                  T  8</t>
  </si>
  <si>
    <t>Contemporary Spanish dramatists; plays by Perez Galdos, Linares Rivas, Marquina, Zamacois, Dicenta and the Alvarez Quinteros, tr. into English with an introduction by Charles Alfred Turrell.</t>
  </si>
  <si>
    <t>Turrell, Charles Alfred, editor, translator.</t>
  </si>
  <si>
    <t>Boston, R. D. Badger [c1919]</t>
  </si>
  <si>
    <t>1919</t>
  </si>
  <si>
    <t>4020082015:eng</t>
  </si>
  <si>
    <t>1493678</t>
  </si>
  <si>
    <t>991003780639702656</t>
  </si>
  <si>
    <t>2271424080002656</t>
  </si>
  <si>
    <t>32285002517927</t>
  </si>
  <si>
    <t>893512351</t>
  </si>
  <si>
    <t>PQ6271.A28 Z84 1990</t>
  </si>
  <si>
    <t>0                      PQ 6271000A  28                 Z  84          1990</t>
  </si>
  <si>
    <t>El teatro escolar de los jesuitas en España / Orlando Saa.</t>
  </si>
  <si>
    <t>Saa, Orlando E.</t>
  </si>
  <si>
    <t>New Brunswick, N.J. : Slusa, 1990.</t>
  </si>
  <si>
    <t>2001-02-21</t>
  </si>
  <si>
    <t>1992-02-27</t>
  </si>
  <si>
    <t>475733138:spa</t>
  </si>
  <si>
    <t>22908912</t>
  </si>
  <si>
    <t>991001823699702656</t>
  </si>
  <si>
    <t>2263610150002656</t>
  </si>
  <si>
    <t>9780917129124</t>
  </si>
  <si>
    <t>32285000909415</t>
  </si>
  <si>
    <t>893803937</t>
  </si>
  <si>
    <t>PQ6272.Z5 H3 1964</t>
  </si>
  <si>
    <t>0                      PQ 6272000Z  5                  H  3           1964</t>
  </si>
  <si>
    <t>La mujer en la novela picaresca de Mateo Alemán / por Thomas Hanrahan.</t>
  </si>
  <si>
    <t>Madrid : Ediciones J. Porrúa Turanzas, 1964.</t>
  </si>
  <si>
    <t>Bibliotheca Tenanitla; libros españoles e hispanoamericanos, 7</t>
  </si>
  <si>
    <t>5618891039:spa</t>
  </si>
  <si>
    <t>728785</t>
  </si>
  <si>
    <t>991004523409702656</t>
  </si>
  <si>
    <t>2263088390002656</t>
  </si>
  <si>
    <t>32285005048490</t>
  </si>
  <si>
    <t>893532502</t>
  </si>
  <si>
    <t>PQ6275.A2 L6 1977</t>
  </si>
  <si>
    <t>0                      PQ 6275000A  2                  L  6           1977</t>
  </si>
  <si>
    <t>Amadis de Gaula / selección, estudio y notas por Victorino Lopez.</t>
  </si>
  <si>
    <t>Amadís de Gaula (Spanish romance).</t>
  </si>
  <si>
    <t>Zaragoza : Editorial Ebro, 1977.</t>
  </si>
  <si>
    <t>8a ed., ilustrada.</t>
  </si>
  <si>
    <t>Biblioteca clásica Ebro. Clásicos españoles ; 62</t>
  </si>
  <si>
    <t>10076046611:spa</t>
  </si>
  <si>
    <t>13348887</t>
  </si>
  <si>
    <t>991004523179702656</t>
  </si>
  <si>
    <t>2261105230002656</t>
  </si>
  <si>
    <t>9788470640544</t>
  </si>
  <si>
    <t>32285005048276</t>
  </si>
  <si>
    <t>893350114</t>
  </si>
  <si>
    <t>PQ6277 .P5</t>
  </si>
  <si>
    <t>0                      PQ 6277000P  5</t>
  </si>
  <si>
    <t>Amadís de Gaula / by Frank Pierce.</t>
  </si>
  <si>
    <t>Boston : Twayne, c1976.</t>
  </si>
  <si>
    <t>Twayne's world authors series ; TWAS 372 : Spain</t>
  </si>
  <si>
    <t>1999-07-15</t>
  </si>
  <si>
    <t>4494948172:eng</t>
  </si>
  <si>
    <t>1584004</t>
  </si>
  <si>
    <t>991003830309702656</t>
  </si>
  <si>
    <t>2265188480002656</t>
  </si>
  <si>
    <t>9780805762204</t>
  </si>
  <si>
    <t>32285002517984</t>
  </si>
  <si>
    <t>893246768</t>
  </si>
  <si>
    <t>PQ6279.B6 A6 2001</t>
  </si>
  <si>
    <t>0                      PQ 6279000B  6                  A  6           2001</t>
  </si>
  <si>
    <t>Juan Bosch, : Premio Nacional de Literatura 1990 / ensayo preliminar de Diómedes Núñez Polanco ; cronología y bibliografía de Guillermo Piña Contreras.</t>
  </si>
  <si>
    <t>Bosch, Juan, 1909-2001.</t>
  </si>
  <si>
    <t>Santo Domingo, R.D. : Ediciones de la Fundación Corripio, 2001.</t>
  </si>
  <si>
    <t xml:space="preserve">dr </t>
  </si>
  <si>
    <t>Colección Premio Nacional de Literatura</t>
  </si>
  <si>
    <t>2002-05-22</t>
  </si>
  <si>
    <t>2002-05-15</t>
  </si>
  <si>
    <t>8909682823:spa</t>
  </si>
  <si>
    <t>49013481</t>
  </si>
  <si>
    <t>991003808349702656</t>
  </si>
  <si>
    <t>2257303830002656</t>
  </si>
  <si>
    <t>9789993454069</t>
  </si>
  <si>
    <t>32285004488721</t>
  </si>
  <si>
    <t>893611474</t>
  </si>
  <si>
    <t>PQ6285.A3 C7</t>
  </si>
  <si>
    <t>0                      PQ 6285000A  3                  C  7</t>
  </si>
  <si>
    <t>La vida es sueño / by d. Pedro Calderón de la Barca; with notes and vocabulary by William Wistar Comfort.</t>
  </si>
  <si>
    <t>Calderón de la Barca, Pedro, 1600-1681.</t>
  </si>
  <si>
    <t>New York, American book company [1904]</t>
  </si>
  <si>
    <t>1904</t>
  </si>
  <si>
    <t>2003-11-22</t>
  </si>
  <si>
    <t>1998-01-28</t>
  </si>
  <si>
    <t>320530:spa</t>
  </si>
  <si>
    <t>1022758</t>
  </si>
  <si>
    <t>991003477459702656</t>
  </si>
  <si>
    <t>2272403390002656</t>
  </si>
  <si>
    <t>32285003335253</t>
  </si>
  <si>
    <t>893416411</t>
  </si>
  <si>
    <t>PQ6285.A3 C7 1960</t>
  </si>
  <si>
    <t>0                      PQ 6285000A  3                  C  7           1960</t>
  </si>
  <si>
    <t>La vida es sueño. El alcalde de Zalamea. Estudio, edición y glosario por Augusto Cortina.</t>
  </si>
  <si>
    <t>Madrid Espasa-Calpe [1960]</t>
  </si>
  <si>
    <t>Clásicos castellanos ; 138</t>
  </si>
  <si>
    <t>2553724</t>
  </si>
  <si>
    <t>991004161789702656</t>
  </si>
  <si>
    <t>2255429300002656</t>
  </si>
  <si>
    <t>32285002518164</t>
  </si>
  <si>
    <t>893706057</t>
  </si>
  <si>
    <t>PQ6292.A3 M3</t>
  </si>
  <si>
    <t>0                      PQ 6292000A  3                  M  3</t>
  </si>
  <si>
    <t>Mysteries of Corpus Christi. From the Spanish [of Calderón de la Barca] By Denis Florence MacCarthy.</t>
  </si>
  <si>
    <t>Dublin, J. Duffy, 1867.</t>
  </si>
  <si>
    <t>1867</t>
  </si>
  <si>
    <t>iek</t>
  </si>
  <si>
    <t>2005-10-24</t>
  </si>
  <si>
    <t>2865080865:eng</t>
  </si>
  <si>
    <t>2014913</t>
  </si>
  <si>
    <t>991003978819702656</t>
  </si>
  <si>
    <t>2268177210002656</t>
  </si>
  <si>
    <t>32285002518248</t>
  </si>
  <si>
    <t>893417068</t>
  </si>
  <si>
    <t>PQ631 .H5 1981</t>
  </si>
  <si>
    <t>0                      PQ 0631000H  5           1981</t>
  </si>
  <si>
    <t>Plots and characters in classic French fiction / Benjamin E. Hicks.</t>
  </si>
  <si>
    <t>Hicks, Benjamin E.</t>
  </si>
  <si>
    <t>Hamden, Conn. : Archon Books, 1981.</t>
  </si>
  <si>
    <t>The Plots and characters series</t>
  </si>
  <si>
    <t>417656:eng</t>
  </si>
  <si>
    <t>7273933</t>
  </si>
  <si>
    <t>991005096459702656</t>
  </si>
  <si>
    <t>2258291350002656</t>
  </si>
  <si>
    <t>9780208017031</t>
  </si>
  <si>
    <t>32285001251320</t>
  </si>
  <si>
    <t>893501318</t>
  </si>
  <si>
    <t>PQ631 .T8</t>
  </si>
  <si>
    <t>0                      PQ 0631000T  8</t>
  </si>
  <si>
    <t>The novel in France: Mme, De La Fayette, Laclos, Constant, Stendhal, Balzac, Flaubert, Proust.</t>
  </si>
  <si>
    <t>Turnell, Martin.</t>
  </si>
  <si>
    <t>New York, New Directions [1951]</t>
  </si>
  <si>
    <t>2002-04-18</t>
  </si>
  <si>
    <t>498514:eng</t>
  </si>
  <si>
    <t>336260</t>
  </si>
  <si>
    <t>991002399549702656</t>
  </si>
  <si>
    <t>2255141520002656</t>
  </si>
  <si>
    <t>32285002650314</t>
  </si>
  <si>
    <t>893427556</t>
  </si>
  <si>
    <t>PQ6310.A3 V3</t>
  </si>
  <si>
    <t>0                      PQ 6310000A  3                  V  3</t>
  </si>
  <si>
    <t>Perspectiva crítica de los dramas de Calderón.</t>
  </si>
  <si>
    <t>Valbuena Briones, Angel.</t>
  </si>
  <si>
    <t>Madrid, Ediciones Rialp [1965]</t>
  </si>
  <si>
    <t>Naturaleza e historia ; 14</t>
  </si>
  <si>
    <t>1376483:spa</t>
  </si>
  <si>
    <t>263209</t>
  </si>
  <si>
    <t>991002063749702656</t>
  </si>
  <si>
    <t>2268616100002656</t>
  </si>
  <si>
    <t>32285002518297</t>
  </si>
  <si>
    <t>893444938</t>
  </si>
  <si>
    <t>PQ6321.C7 H39</t>
  </si>
  <si>
    <t>0                      PQ 6321000C  7                  H  39</t>
  </si>
  <si>
    <t>Las hazanas del Cid / [edición de] John G. Weiger.</t>
  </si>
  <si>
    <t>Castro, Guillén de, 1569-1631.</t>
  </si>
  <si>
    <t>Barcelona : Puvill, c1980.</t>
  </si>
  <si>
    <t>Biblioteca universitaria Puvill. 2, Ensayos ; 5</t>
  </si>
  <si>
    <t>31283368:spa</t>
  </si>
  <si>
    <t>8143033</t>
  </si>
  <si>
    <t>991005209199702656</t>
  </si>
  <si>
    <t>2270887580002656</t>
  </si>
  <si>
    <t>9788485202249</t>
  </si>
  <si>
    <t>32285000599364</t>
  </si>
  <si>
    <t>893431046</t>
  </si>
  <si>
    <t>PQ6324.C7 J3</t>
  </si>
  <si>
    <t>0                      PQ 6324000C  7                  J  3</t>
  </si>
  <si>
    <t>El coloquio de los perros a una nueva luz / Marja Ludwika Jarocka.</t>
  </si>
  <si>
    <t>Jarocka, Marja Ludwika.</t>
  </si>
  <si>
    <t>Ciudad Universitaria, México, D.F. : Universidad Nacional Autónoma de México, 1979.</t>
  </si>
  <si>
    <t>365401385:spa</t>
  </si>
  <si>
    <t>8476259</t>
  </si>
  <si>
    <t>991005249179702656</t>
  </si>
  <si>
    <t>2257811870002656</t>
  </si>
  <si>
    <t>9789685826334</t>
  </si>
  <si>
    <t>32285000599380</t>
  </si>
  <si>
    <t>893443660</t>
  </si>
  <si>
    <t>PQ6334 .L5 1967</t>
  </si>
  <si>
    <t>0                      PQ 6334000L  5           1967</t>
  </si>
  <si>
    <t>Smollett's hoax : Don Quixote in English / [Stanford, Stanford, University Press, 1956]</t>
  </si>
  <si>
    <t>Rocco Linsalata, Carmine.</t>
  </si>
  <si>
    <t>New York : AMS Press, 1967.</t>
  </si>
  <si>
    <t>Stanford University publications. University series. Language and literature, v.14</t>
  </si>
  <si>
    <t>1995-11-27</t>
  </si>
  <si>
    <t>1994-11-29</t>
  </si>
  <si>
    <t>1446301:eng</t>
  </si>
  <si>
    <t>504915</t>
  </si>
  <si>
    <t>991002879799702656</t>
  </si>
  <si>
    <t>2260838380002656</t>
  </si>
  <si>
    <t>32285001968774</t>
  </si>
  <si>
    <t>893434407</t>
  </si>
  <si>
    <t>PQ6337 .C13</t>
  </si>
  <si>
    <t>0                      PQ 6337000C  13</t>
  </si>
  <si>
    <t>Cervantes : del mito al hombre.</t>
  </si>
  <si>
    <t>Cabezas, Juan Antonio, 1900-1993.</t>
  </si>
  <si>
    <t>Madrid : Biblioteca Nueva, 1967.</t>
  </si>
  <si>
    <t>1996-11-19</t>
  </si>
  <si>
    <t>1723844:spa</t>
  </si>
  <si>
    <t>627463</t>
  </si>
  <si>
    <t>991003073119702656</t>
  </si>
  <si>
    <t>2257797190002656</t>
  </si>
  <si>
    <t>32285000992445</t>
  </si>
  <si>
    <t>893809815</t>
  </si>
  <si>
    <t>PQ6337 .S55 2000</t>
  </si>
  <si>
    <t>0                      PQ 6337000S  55          2000</t>
  </si>
  <si>
    <t>Documentos cervantinos : nueva recopilaciaon, lista e aindices / K. Sliwa.</t>
  </si>
  <si>
    <t>Sliwa, Krzysztof, 1964-</t>
  </si>
  <si>
    <t>New York : Peter Lang, c2000.</t>
  </si>
  <si>
    <t>Studies on Cervantes and his times, 1054-1403 ; vol. 9</t>
  </si>
  <si>
    <t>2001-04-02</t>
  </si>
  <si>
    <t>794498652:spa</t>
  </si>
  <si>
    <t>41035339</t>
  </si>
  <si>
    <t>991003478999702656</t>
  </si>
  <si>
    <t>2257803890002656</t>
  </si>
  <si>
    <t>9780820444659</t>
  </si>
  <si>
    <t>32285004309109</t>
  </si>
  <si>
    <t>893410317</t>
  </si>
  <si>
    <t>PQ6337 .T6 1964</t>
  </si>
  <si>
    <t>0                      PQ 6337000T  6           1964</t>
  </si>
  <si>
    <t>Vida y desventuras de Cervantes.</t>
  </si>
  <si>
    <t>Tomás, Mariano, 1891-</t>
  </si>
  <si>
    <t>Barcelona, Editorial Juventud [c. 1964]</t>
  </si>
  <si>
    <t>Colección Z, No. 101</t>
  </si>
  <si>
    <t>1999-12-04</t>
  </si>
  <si>
    <t>198757543:spa</t>
  </si>
  <si>
    <t>764401</t>
  </si>
  <si>
    <t>991003241589702656</t>
  </si>
  <si>
    <t>2268404260002656</t>
  </si>
  <si>
    <t>32285003335352</t>
  </si>
  <si>
    <t>893809887</t>
  </si>
  <si>
    <t>PQ6338.A4 L49 2001</t>
  </si>
  <si>
    <t>0                      PQ 6338000A  4                  L  49          2001</t>
  </si>
  <si>
    <t>El licenciado Juan de Cervantes : efemérides del licenciado Juan de Cervantes ; documentos y datos para una biografía del abuelo paterno del autor del Quijote / Krzysztof Sliwa ; prólogo por Juan Bautista de Avalle-Arce.</t>
  </si>
  <si>
    <t>Kassel [Germany] : Ed. Reichenberger, 2001.</t>
  </si>
  <si>
    <t xml:space="preserve">gw </t>
  </si>
  <si>
    <t>Teatro del Siglo de Oro. Estudios de literatura ; 63</t>
  </si>
  <si>
    <t>664352762:spa</t>
  </si>
  <si>
    <t>47052840</t>
  </si>
  <si>
    <t>991004211939702656</t>
  </si>
  <si>
    <t>2268915940002656</t>
  </si>
  <si>
    <t>9783935004169</t>
  </si>
  <si>
    <t>32285004849021</t>
  </si>
  <si>
    <t>893423515</t>
  </si>
  <si>
    <t>PQ6345 .R6 1954</t>
  </si>
  <si>
    <t>0                      PQ 6345000R  6           1954</t>
  </si>
  <si>
    <t>Autógrafos cervantinos : estudio / por M. Romera-Navarro.</t>
  </si>
  <si>
    <t>Romera-Navarro, Miguel, 1888-1954.</t>
  </si>
  <si>
    <t>[Austin] : University of Texas, 1954.</t>
  </si>
  <si>
    <t>University of Texas Hispanic studies, v. 6</t>
  </si>
  <si>
    <t>890257204:spa</t>
  </si>
  <si>
    <t>3354788</t>
  </si>
  <si>
    <t>991004523149702656</t>
  </si>
  <si>
    <t>2259956620002656</t>
  </si>
  <si>
    <t>32285005048292</t>
  </si>
  <si>
    <t>893706533</t>
  </si>
  <si>
    <t>PQ6352 .M67</t>
  </si>
  <si>
    <t>0                      PQ 6352000M  67</t>
  </si>
  <si>
    <t>Reflexiones sobre el Quijote.</t>
  </si>
  <si>
    <t>Moreno Báez, Enrique.</t>
  </si>
  <si>
    <t>Madrid, Editorial Prensa Española, 1968.</t>
  </si>
  <si>
    <t>Colección "Vislumbres" ; no. 13</t>
  </si>
  <si>
    <t>1997-07-02</t>
  </si>
  <si>
    <t>1760651:spa</t>
  </si>
  <si>
    <t>683671</t>
  </si>
  <si>
    <t>991003142509702656</t>
  </si>
  <si>
    <t>2265555480002656</t>
  </si>
  <si>
    <t>32285002518545</t>
  </si>
  <si>
    <t>893868137</t>
  </si>
  <si>
    <t>PQ6353 .C354 1977</t>
  </si>
  <si>
    <t>0                      PQ 6353000C  354         1977</t>
  </si>
  <si>
    <t>An idea of history : selected essays of Américo Castro / translated from the Spanish and edited by Stephen Gilman and Edmund L. King ; with an introd. by Roy Harvey Pearce.</t>
  </si>
  <si>
    <t>Castro, Américo, 1885-1972.</t>
  </si>
  <si>
    <t>Columbus : Ohio State University Press, c1977.</t>
  </si>
  <si>
    <t>322078404:eng</t>
  </si>
  <si>
    <t>2464613</t>
  </si>
  <si>
    <t>991004129869702656</t>
  </si>
  <si>
    <t>2269094190002656</t>
  </si>
  <si>
    <t>9780814202203</t>
  </si>
  <si>
    <t>32285002518560</t>
  </si>
  <si>
    <t>893241050</t>
  </si>
  <si>
    <t>PQ6353 .S24 1982</t>
  </si>
  <si>
    <t>0                      PQ 6353000S  24          1982</t>
  </si>
  <si>
    <t>Una lectura del Quijote desde la visión manierista / Ernestina Salcedo Pizani.</t>
  </si>
  <si>
    <t>Salcedo Pizani, Ernestina.</t>
  </si>
  <si>
    <t>Caracas : Asociación de Escritores de Venezuela, 1982.</t>
  </si>
  <si>
    <t>Cuadernos literarios de la Asociación de Escritores de Venezuela ; 160</t>
  </si>
  <si>
    <t>13779374:spa</t>
  </si>
  <si>
    <t>17145102</t>
  </si>
  <si>
    <t>991004337459702656</t>
  </si>
  <si>
    <t>2256020260002656</t>
  </si>
  <si>
    <t>32285004928551</t>
  </si>
  <si>
    <t>893259609</t>
  </si>
  <si>
    <t>PQ6357.A3 W64 1931</t>
  </si>
  <si>
    <t>0                      PQ 6357000A  3                  W  64          1931</t>
  </si>
  <si>
    <t>Mujeres del Quijote, notes and vocabulary by Wilhelmina Marie Becker, M.A.; with a critical introduction by Federico de Onís.</t>
  </si>
  <si>
    <t>Espina, Concha, 1869-1955.</t>
  </si>
  <si>
    <t>Boston, New York [etc.] D.C. Heath and Company [c1931]</t>
  </si>
  <si>
    <t>1931</t>
  </si>
  <si>
    <t>1997-12-08</t>
  </si>
  <si>
    <t>4924842029:spa</t>
  </si>
  <si>
    <t>2864839</t>
  </si>
  <si>
    <t>991004265699702656</t>
  </si>
  <si>
    <t>2265184330002656</t>
  </si>
  <si>
    <t>32285002518651</t>
  </si>
  <si>
    <t>893869511</t>
  </si>
  <si>
    <t>PQ6366 .A2 1923</t>
  </si>
  <si>
    <t>0                      PQ 6366000A  2           1923</t>
  </si>
  <si>
    <t>Poema de mío Cid.</t>
  </si>
  <si>
    <t>Cantar de mío Cid.</t>
  </si>
  <si>
    <t>Madrid : Ediciones de "La Lectura", 1923.</t>
  </si>
  <si>
    <t>2a ed., corr. / y notas por Ramón Menéndez Pidal.</t>
  </si>
  <si>
    <t>Clásicos castellanos ; 24</t>
  </si>
  <si>
    <t>2009-05-18</t>
  </si>
  <si>
    <t>10792761310:spa</t>
  </si>
  <si>
    <t>35154750</t>
  </si>
  <si>
    <t>991002691409702656</t>
  </si>
  <si>
    <t>2255847590002656</t>
  </si>
  <si>
    <t>32285003335386</t>
  </si>
  <si>
    <t>893262420</t>
  </si>
  <si>
    <t>PQ6388 .C2 1984</t>
  </si>
  <si>
    <t>0                      PQ 6388000C  2           1984</t>
  </si>
  <si>
    <t>Libro del cauallero Çifar / edited by Marilyn A. Olsen.</t>
  </si>
  <si>
    <t>Cifar.</t>
  </si>
  <si>
    <t>Madison : Hispanic Seminary of Medieval Studies, 1984.</t>
  </si>
  <si>
    <t>Spanish series ; no. 16</t>
  </si>
  <si>
    <t>10678416028:spa</t>
  </si>
  <si>
    <t>12134568</t>
  </si>
  <si>
    <t>991000646549702656</t>
  </si>
  <si>
    <t>2263714520002656</t>
  </si>
  <si>
    <t>9780942260427</t>
  </si>
  <si>
    <t>32285000599711</t>
  </si>
  <si>
    <t>893231289</t>
  </si>
  <si>
    <t>PQ6388 .E2 1977</t>
  </si>
  <si>
    <t>0                      PQ 6388000E  2           1977</t>
  </si>
  <si>
    <t>Teatro, segunda producción dramática / Juan del Encina ; edición, estudio y notas de Rosalie Gimeno.</t>
  </si>
  <si>
    <t>Encina, Juan del, 1468-1529?.</t>
  </si>
  <si>
    <t>Madrid [etc.] : Alhambra, 1977.</t>
  </si>
  <si>
    <t>Clásicos</t>
  </si>
  <si>
    <t>11099509:spa</t>
  </si>
  <si>
    <t>3606978</t>
  </si>
  <si>
    <t>991004523049702656</t>
  </si>
  <si>
    <t>2270208190002656</t>
  </si>
  <si>
    <t>9788420503455</t>
  </si>
  <si>
    <t>32285005048284</t>
  </si>
  <si>
    <t>893241532</t>
  </si>
  <si>
    <t>PQ6388.E2 B4</t>
  </si>
  <si>
    <t>0                      PQ 6388000E  2                  B  4</t>
  </si>
  <si>
    <t>La poesía amatoria del siglo XV [i. e. quince] y el teatro profano de Juan del Encina [por] Antony van Beysterveldt.</t>
  </si>
  <si>
    <t>Beysterveldt, Antony van.</t>
  </si>
  <si>
    <t>Madrid, Ínsula, 1972.</t>
  </si>
  <si>
    <t>2005-03-09</t>
  </si>
  <si>
    <t>365228924:spa</t>
  </si>
  <si>
    <t>611790</t>
  </si>
  <si>
    <t>991003052409702656</t>
  </si>
  <si>
    <t>2265414640002656</t>
  </si>
  <si>
    <t>32285002518784</t>
  </si>
  <si>
    <t>893868058</t>
  </si>
  <si>
    <t>PQ6388.E2 R3 1972</t>
  </si>
  <si>
    <t>0                      PQ 6388000E  2                  R  3           1972</t>
  </si>
  <si>
    <t>El cancionero de Juan del Encina : dentro de su ámbito histórico y literario / Ana Maria Rambaldo.</t>
  </si>
  <si>
    <t>Rambaldo, Ana María.</t>
  </si>
  <si>
    <t>Santa Fe, Argentina : Libreria y Editorial Castellví, [1972]</t>
  </si>
  <si>
    <t>422820214:spa</t>
  </si>
  <si>
    <t>664572</t>
  </si>
  <si>
    <t>991004509859702656</t>
  </si>
  <si>
    <t>2271937810002656</t>
  </si>
  <si>
    <t>32285005044523</t>
  </si>
  <si>
    <t>893259804</t>
  </si>
  <si>
    <t>PQ6390.G84 H33 1997</t>
  </si>
  <si>
    <t>0                      PQ 6390000G  84                 H  33          1997</t>
  </si>
  <si>
    <t>The restoration of monarchy : "Hados y lados hacen dichosos y desdichados" / edition, notes, and introduction by A. Robert Lauer.</t>
  </si>
  <si>
    <t>García, Lorenzo, active 1667.</t>
  </si>
  <si>
    <t>Kassel : Edition Reichenberger, 1997.</t>
  </si>
  <si>
    <t>Teatro del Siglo de Oro. Ediciones críticas ; 72</t>
  </si>
  <si>
    <t>44852974:spa</t>
  </si>
  <si>
    <t>37715500</t>
  </si>
  <si>
    <t>991004489789702656</t>
  </si>
  <si>
    <t>2263310160002656</t>
  </si>
  <si>
    <t>9783931887018</t>
  </si>
  <si>
    <t>32285005028690</t>
  </si>
  <si>
    <t>893700311</t>
  </si>
  <si>
    <t>PQ6391.E43 Z5 1988</t>
  </si>
  <si>
    <t>0                      PQ 6391000E  43                 Z  5           1988</t>
  </si>
  <si>
    <t>Las eglogas de Garcilaso de la Vega : ensayos de interpretación / Stanislav Zimic.</t>
  </si>
  <si>
    <t>Zimic, Stanislav.</t>
  </si>
  <si>
    <t>Santander : Sociedad Menéndez Pelayo, 1988.</t>
  </si>
  <si>
    <t>367169992:spa</t>
  </si>
  <si>
    <t>20071659</t>
  </si>
  <si>
    <t>991004490389702656</t>
  </si>
  <si>
    <t>2272434440002656</t>
  </si>
  <si>
    <t>9788440429476</t>
  </si>
  <si>
    <t>32285005028963</t>
  </si>
  <si>
    <t>893532449</t>
  </si>
  <si>
    <t>PQ6394 .A137 1988</t>
  </si>
  <si>
    <t>0                      PQ 6394000A  137         1988</t>
  </si>
  <si>
    <t>Romances / Luis de Góngora ; edición de Antonio Carreño.</t>
  </si>
  <si>
    <t>Góngora y Argote, Luis de, 1561-1627.</t>
  </si>
  <si>
    <t>Madrid : Cátedra, c1988.</t>
  </si>
  <si>
    <t>Letras hispánicas ; 160</t>
  </si>
  <si>
    <t>2003-11-21</t>
  </si>
  <si>
    <t>1994-07-29</t>
  </si>
  <si>
    <t>14053098:spa</t>
  </si>
  <si>
    <t>21978774</t>
  </si>
  <si>
    <t>991001739529702656</t>
  </si>
  <si>
    <t>2269303960002656</t>
  </si>
  <si>
    <t>9788437603568</t>
  </si>
  <si>
    <t>32285001934313</t>
  </si>
  <si>
    <t>893509875</t>
  </si>
  <si>
    <t>PQ6394 .S6 1991</t>
  </si>
  <si>
    <t>0                      PQ 6394000S  6           1991</t>
  </si>
  <si>
    <t>Soledades / Luis de Góngora ; edición de John Beverley.</t>
  </si>
  <si>
    <t>Madrid : Cátedra, c1991.</t>
  </si>
  <si>
    <t>7. ed.</t>
  </si>
  <si>
    <t>Letras hispánicas ; 102</t>
  </si>
  <si>
    <t>1995-02-07</t>
  </si>
  <si>
    <t>15383:spa</t>
  </si>
  <si>
    <t>29693788</t>
  </si>
  <si>
    <t>991002290719702656</t>
  </si>
  <si>
    <t>2254821000002656</t>
  </si>
  <si>
    <t>9788437601991</t>
  </si>
  <si>
    <t>32285001997641</t>
  </si>
  <si>
    <t>893415028</t>
  </si>
  <si>
    <t>PQ6394.P63 A5</t>
  </si>
  <si>
    <t>0                      PQ 6394000P  63                 A  5</t>
  </si>
  <si>
    <t>Góngora, su tiempo y su obra; estudio crítico sobre Polifemo.</t>
  </si>
  <si>
    <t>Aguirre, José Luis.</t>
  </si>
  <si>
    <t>Madrid, Editorial M.A.S., 1960.</t>
  </si>
  <si>
    <t>Colección Estudio y vida</t>
  </si>
  <si>
    <t>287899808:spa</t>
  </si>
  <si>
    <t>1124196</t>
  </si>
  <si>
    <t>991003555869702656</t>
  </si>
  <si>
    <t>2269470420002656</t>
  </si>
  <si>
    <t>32285002518982</t>
  </si>
  <si>
    <t>893518614</t>
  </si>
  <si>
    <t>PQ6395 .A46 1960</t>
  </si>
  <si>
    <t>0                      PQ 6395000A  46          1960</t>
  </si>
  <si>
    <t>Estudios y ensayos gongorinos.</t>
  </si>
  <si>
    <t>Alonso, Dámaso, 1898-1990.</t>
  </si>
  <si>
    <t>Madrid, Editorial Gredos [c1960]</t>
  </si>
  <si>
    <t>Biblioteca románica hispánica. 2. Estudios y ensayos, 18</t>
  </si>
  <si>
    <t>1999-10-29</t>
  </si>
  <si>
    <t>59515466:spa</t>
  </si>
  <si>
    <t>346078</t>
  </si>
  <si>
    <t>991002428869702656</t>
  </si>
  <si>
    <t>2271966720002656</t>
  </si>
  <si>
    <t>32285002519030</t>
  </si>
  <si>
    <t>893892538</t>
  </si>
  <si>
    <t>PQ6397.A8 M5</t>
  </si>
  <si>
    <t>0                      PQ 6397000A  8                  M  5</t>
  </si>
  <si>
    <t>Análisis estilístico de los "Milagros de Nuestra Señora" de Berceo.</t>
  </si>
  <si>
    <t>Gariano, Carmelo.</t>
  </si>
  <si>
    <t>Madrid, Editorial Gredos [1965]</t>
  </si>
  <si>
    <t>2000-03-02</t>
  </si>
  <si>
    <t>5090477060:spa</t>
  </si>
  <si>
    <t>347381</t>
  </si>
  <si>
    <t>991002431749702656</t>
  </si>
  <si>
    <t>2272429540002656</t>
  </si>
  <si>
    <t>32285002519089</t>
  </si>
  <si>
    <t>893716443</t>
  </si>
  <si>
    <t>PQ6397.V5 D8 1984</t>
  </si>
  <si>
    <t>0                      PQ 6397000V  5                  D  8           1984</t>
  </si>
  <si>
    <t>La Vida de San Millán de la Cogolla / Gonzalo de Berceo ; estudio y edición crítica por Brian Dutton.</t>
  </si>
  <si>
    <t>Dutton, Brian.</t>
  </si>
  <si>
    <t>London : Tamesis Books, 1984, c1967.</t>
  </si>
  <si>
    <t>2a ed., corr. y aum.</t>
  </si>
  <si>
    <t>Colección Tamesis. Ser. A, monografias ; 4</t>
  </si>
  <si>
    <t>10278873516:spa</t>
  </si>
  <si>
    <t>11904870</t>
  </si>
  <si>
    <t>991004508359702656</t>
  </si>
  <si>
    <t>2254976790002656</t>
  </si>
  <si>
    <t>9788449973314</t>
  </si>
  <si>
    <t>32285005029656</t>
  </si>
  <si>
    <t>893807151</t>
  </si>
  <si>
    <t>PQ6397.Z5 K4</t>
  </si>
  <si>
    <t>0                      PQ 6397000Z  5                  K  4</t>
  </si>
  <si>
    <t>Gonzalo de Berceo.</t>
  </si>
  <si>
    <t>Keller, John Esten.</t>
  </si>
  <si>
    <t>New York : Twayne Publishers, [1972]</t>
  </si>
  <si>
    <t>Twayne's world authors series, TWAS 187. Spain</t>
  </si>
  <si>
    <t>1991-06-13</t>
  </si>
  <si>
    <t>1504127:eng</t>
  </si>
  <si>
    <t>348308</t>
  </si>
  <si>
    <t>991002434119702656</t>
  </si>
  <si>
    <t>2271180520002656</t>
  </si>
  <si>
    <t>32285000599927</t>
  </si>
  <si>
    <t>893886269</t>
  </si>
  <si>
    <t>PQ6398.G3 O8 1967</t>
  </si>
  <si>
    <t>0                      PQ 6398000G  3                  O  8           1967</t>
  </si>
  <si>
    <t>The science of success and the art of prudence / translated by Lawrence C. Lockley.</t>
  </si>
  <si>
    <t>Gracián y Morales, Baltasar, 1601-1658.</t>
  </si>
  <si>
    <t>[San Jose, Calif. : University of Santa Clara Press, 1967]</t>
  </si>
  <si>
    <t>1997-07-09</t>
  </si>
  <si>
    <t>3192934:eng</t>
  </si>
  <si>
    <t>1058525</t>
  </si>
  <si>
    <t>991002687439702656</t>
  </si>
  <si>
    <t>2271627720002656</t>
  </si>
  <si>
    <t>32285002519162</t>
  </si>
  <si>
    <t>893530327</t>
  </si>
  <si>
    <t>PQ6400.J8 Z88 1995</t>
  </si>
  <si>
    <t>0                      PQ 6400000J  8                  Z  88          1995</t>
  </si>
  <si>
    <t>El verbo iluminado : homenaje de los escritores de Venezuela a San Juan de la Cruz en el IV centenario de su muerte.</t>
  </si>
  <si>
    <t>Caracas : Fondo Editorial "Orlando Araujo," Federaciaon de Asociaciones de Escritores de Venezuela, 1995.</t>
  </si>
  <si>
    <t>2987652038:spa</t>
  </si>
  <si>
    <t>36713350</t>
  </si>
  <si>
    <t>991004336939702656</t>
  </si>
  <si>
    <t>2262322780002656</t>
  </si>
  <si>
    <t>9789802001033</t>
  </si>
  <si>
    <t>32285004928635</t>
  </si>
  <si>
    <t>893712471</t>
  </si>
  <si>
    <t>PQ6401.Z85 A9 1989</t>
  </si>
  <si>
    <t>0                      PQ 6401000Z  85                 A  9           1989</t>
  </si>
  <si>
    <t>Cinco tratados / Juan Manuel ; edición, introducción y notas de Reinaldo Ayerbe-Chaux.</t>
  </si>
  <si>
    <t>Juan Manuel, Infante of Castile, 1282-1347.</t>
  </si>
  <si>
    <t>Madison : Hispanic Seminary of Medieval Studies, 1989.</t>
  </si>
  <si>
    <t>Spanish series ; no. 51</t>
  </si>
  <si>
    <t>292446441:spa</t>
  </si>
  <si>
    <t>20077808</t>
  </si>
  <si>
    <t>991004490099702656</t>
  </si>
  <si>
    <t>2267601940002656</t>
  </si>
  <si>
    <t>9780940639362</t>
  </si>
  <si>
    <t>32285005028781</t>
  </si>
  <si>
    <t>893241502</t>
  </si>
  <si>
    <t>PQ6402 .S8</t>
  </si>
  <si>
    <t>0                      PQ 6402000S  8</t>
  </si>
  <si>
    <t>Don Juan Manuel / by H. Tracy Sturcken.</t>
  </si>
  <si>
    <t>Sturcken, H. Tracy.</t>
  </si>
  <si>
    <t>New York : Twayne Publishers, [1974]</t>
  </si>
  <si>
    <t>Twayne's world authors series, TWAS 303. Spain</t>
  </si>
  <si>
    <t>1612706:eng</t>
  </si>
  <si>
    <t>703208</t>
  </si>
  <si>
    <t>991003165729702656</t>
  </si>
  <si>
    <t>2257412330002656</t>
  </si>
  <si>
    <t>9780805725902</t>
  </si>
  <si>
    <t>32285000630045</t>
  </si>
  <si>
    <t>893434705</t>
  </si>
  <si>
    <t>PQ6409.Z94 H3</t>
  </si>
  <si>
    <t>0                      PQ 6409000Z  94                 H  3</t>
  </si>
  <si>
    <t>Hacia la revalorización de la segunda parte del Lazarillo (1555)</t>
  </si>
  <si>
    <t>Zwez, Richard E.</t>
  </si>
  <si>
    <t>[Valencia] Albatros Ediciones, 1970.</t>
  </si>
  <si>
    <t>2001-11-27</t>
  </si>
  <si>
    <t>1997-09-03</t>
  </si>
  <si>
    <t>1439017:spa</t>
  </si>
  <si>
    <t>369473</t>
  </si>
  <si>
    <t>991002550129702656</t>
  </si>
  <si>
    <t>2265332410002656</t>
  </si>
  <si>
    <t>32285003154373</t>
  </si>
  <si>
    <t>893710419</t>
  </si>
  <si>
    <t>PQ6410.L3 A2 1972</t>
  </si>
  <si>
    <t>0                      PQ 6410000L  3                  A  2           1972</t>
  </si>
  <si>
    <t>La perfecta casada : poesias / Fray Luis de León.</t>
  </si>
  <si>
    <t>León, Luis de, 1527-1591.</t>
  </si>
  <si>
    <t>Madrid (Spain) : J. Perez del Hoyo, 1972.</t>
  </si>
  <si>
    <t>1995-10-29</t>
  </si>
  <si>
    <t>348646704:spa</t>
  </si>
  <si>
    <t>7678284</t>
  </si>
  <si>
    <t>991005148519702656</t>
  </si>
  <si>
    <t>2255945040002656</t>
  </si>
  <si>
    <t>32285000630060</t>
  </si>
  <si>
    <t>893526990</t>
  </si>
  <si>
    <t>PQ6410.L3 H54 1992</t>
  </si>
  <si>
    <t>0                      PQ 6410000L  3                  H  54          1992</t>
  </si>
  <si>
    <t>Poetry and truth in the Spanish works of fray Luis de León / David J. Hildner.</t>
  </si>
  <si>
    <t>Hildner, David Jonathan.</t>
  </si>
  <si>
    <t>London : Tamesis Books ; Rochester, NY : Boydell &amp; Brewer [distributor], 1992.</t>
  </si>
  <si>
    <t>Colección Támesis. Serie A, Monografías ; 151</t>
  </si>
  <si>
    <t>30045290:eng</t>
  </si>
  <si>
    <t>27639504</t>
  </si>
  <si>
    <t>991004490869702656</t>
  </si>
  <si>
    <t>2268787490002656</t>
  </si>
  <si>
    <t>9781855660175</t>
  </si>
  <si>
    <t>32285005029060</t>
  </si>
  <si>
    <t>893331667</t>
  </si>
  <si>
    <t>PQ6412 .M5 1929</t>
  </si>
  <si>
    <t>0                      PQ 6412000M  5           1929</t>
  </si>
  <si>
    <t>Cancionero; prólogo, edición y vocabulario por Augusto Cortina ...</t>
  </si>
  <si>
    <t>Manrique, Jorge, 1440?-1479.</t>
  </si>
  <si>
    <t>Madrid, Ediciones de "La Lectura," 1929.</t>
  </si>
  <si>
    <t>Clásicos castellanos ; 94</t>
  </si>
  <si>
    <t>2000-04-26</t>
  </si>
  <si>
    <t>4923005084:spa</t>
  </si>
  <si>
    <t>2551419</t>
  </si>
  <si>
    <t>991004160929702656</t>
  </si>
  <si>
    <t>2255655100002656</t>
  </si>
  <si>
    <t>32285002519469</t>
  </si>
  <si>
    <t>893775704</t>
  </si>
  <si>
    <t>PQ6412 .M5 1969</t>
  </si>
  <si>
    <t>0                      PQ 6412000M  5           1969</t>
  </si>
  <si>
    <t>Obras completas / Jorge Manrique; prólogo de José García López.</t>
  </si>
  <si>
    <t>Barcelona : Montaner y Simon, 1969.</t>
  </si>
  <si>
    <t>4061459971:spa</t>
  </si>
  <si>
    <t>2509942</t>
  </si>
  <si>
    <t>991004145879702656</t>
  </si>
  <si>
    <t>2262405010002656</t>
  </si>
  <si>
    <t>32285002519477</t>
  </si>
  <si>
    <t>893806721</t>
  </si>
  <si>
    <t>PQ6412.L2 R53 2000</t>
  </si>
  <si>
    <t>0                      PQ 6412000L  2                  R  53          2000</t>
  </si>
  <si>
    <t>Rimado de Palacio / Pero Lopez de Ayala ; edición, introducción y notas de H. Salvador Martínez .</t>
  </si>
  <si>
    <t>López de Ayala, Pedro, 1332-1407.</t>
  </si>
  <si>
    <t>New York : P. Lang, c2000.</t>
  </si>
  <si>
    <t>Ibérica, 1056-5000 ; vol. 35</t>
  </si>
  <si>
    <t>2001-03-13</t>
  </si>
  <si>
    <t>4915148538:spa</t>
  </si>
  <si>
    <t>42823682</t>
  </si>
  <si>
    <t>991003478839702656</t>
  </si>
  <si>
    <t>2255127570002656</t>
  </si>
  <si>
    <t>9780820449166</t>
  </si>
  <si>
    <t>32285004305099</t>
  </si>
  <si>
    <t>893505617</t>
  </si>
  <si>
    <t>PQ6412.L2 R5333 1985</t>
  </si>
  <si>
    <t>0                      PQ 6412000L  2                  R  5333        1985</t>
  </si>
  <si>
    <t>El Rimado de palacio : tradición manuscrita y texto original / José Luis Coy.</t>
  </si>
  <si>
    <t>Coy, José Luis.</t>
  </si>
  <si>
    <t>Madrid : Paraninfo, 1985.</t>
  </si>
  <si>
    <t>Colección filológica</t>
  </si>
  <si>
    <t>1994-11-06</t>
  </si>
  <si>
    <t>348649407:spa</t>
  </si>
  <si>
    <t>13991436</t>
  </si>
  <si>
    <t>991000896509702656</t>
  </si>
  <si>
    <t>2260517460002656</t>
  </si>
  <si>
    <t>9788428313407</t>
  </si>
  <si>
    <t>32285000630078</t>
  </si>
  <si>
    <t>893333872</t>
  </si>
  <si>
    <t>PQ6412.M5 P6</t>
  </si>
  <si>
    <t>0                      PQ 6412000M  5                  P  6</t>
  </si>
  <si>
    <t>Poesías.</t>
  </si>
  <si>
    <t>Manrique, Jorge.</t>
  </si>
  <si>
    <t>Barcelona : Libreria Espanola, [n.d.]</t>
  </si>
  <si>
    <t>Colección diamante</t>
  </si>
  <si>
    <t>1998-01-30</t>
  </si>
  <si>
    <t>3980100369:spa</t>
  </si>
  <si>
    <t>17010657</t>
  </si>
  <si>
    <t>991001176009702656</t>
  </si>
  <si>
    <t>2260829730002656</t>
  </si>
  <si>
    <t>32285003337051</t>
  </si>
  <si>
    <t>893346311</t>
  </si>
  <si>
    <t>PQ6412.M6 S34 1981</t>
  </si>
  <si>
    <t>0                      PQ 6412000M  6                  S  34          1981</t>
  </si>
  <si>
    <t>Jorge Manrique : o tradición y originalidad / Pedro Salinas.</t>
  </si>
  <si>
    <t>Barcelona : Seix Barral, 1981, c1974.</t>
  </si>
  <si>
    <t>Biblioteca breve de bolsillo. Serie mayor ; 19</t>
  </si>
  <si>
    <t>1990-06-13</t>
  </si>
  <si>
    <t>10792873457:spa</t>
  </si>
  <si>
    <t>10984580</t>
  </si>
  <si>
    <t>991000467499702656</t>
  </si>
  <si>
    <t>2260221170002656</t>
  </si>
  <si>
    <t>9788432238192</t>
  </si>
  <si>
    <t>32285000176213</t>
  </si>
  <si>
    <t>893714614</t>
  </si>
  <si>
    <t>PQ6412.M6 S4</t>
  </si>
  <si>
    <t>0                      PQ 6412000M  6                  S  4</t>
  </si>
  <si>
    <t>Personalidad y destino de Jorge Manrique.</t>
  </si>
  <si>
    <t>Serrano de Haro, Antonio.</t>
  </si>
  <si>
    <t>Biblioteca románica hispánica. 2. Estudios y ensayos [93]</t>
  </si>
  <si>
    <t>2036804:spa</t>
  </si>
  <si>
    <t>1125990</t>
  </si>
  <si>
    <t>991003557219702656</t>
  </si>
  <si>
    <t>2268956240002656</t>
  </si>
  <si>
    <t>32285002519485</t>
  </si>
  <si>
    <t>893531294</t>
  </si>
  <si>
    <t>PQ6412.M7 Z65</t>
  </si>
  <si>
    <t>0                      PQ 6412000M  7                  Z  65</t>
  </si>
  <si>
    <t>Alfonso Martínez de Toledo / by E. Michael Gerli.</t>
  </si>
  <si>
    <t>Gerli, E. Michael.</t>
  </si>
  <si>
    <t>Twayne's world authors series ; TWAS 398 : Spain</t>
  </si>
  <si>
    <t>1998-04-10</t>
  </si>
  <si>
    <t>5113099:eng</t>
  </si>
  <si>
    <t>2473563</t>
  </si>
  <si>
    <t>991004132139702656</t>
  </si>
  <si>
    <t>2256303260002656</t>
  </si>
  <si>
    <t>9780805762396</t>
  </si>
  <si>
    <t>32285000630094</t>
  </si>
  <si>
    <t>893693563</t>
  </si>
  <si>
    <t>PQ6413 .M6 1986</t>
  </si>
  <si>
    <t>0                      PQ 6413000M  6           1986</t>
  </si>
  <si>
    <t>Las Coplas de Mingo Revulgo / edición, estudio preliminar y notas de Vivana Brodey.</t>
  </si>
  <si>
    <t>Madison : Hispanic Seminary of Medieval Studies, 1986.</t>
  </si>
  <si>
    <t>Spanish series ; no. 30</t>
  </si>
  <si>
    <t>5534197576:spa</t>
  </si>
  <si>
    <t>15197110</t>
  </si>
  <si>
    <t>991004489739702656</t>
  </si>
  <si>
    <t>2259946740002656</t>
  </si>
  <si>
    <t>9780942260748</t>
  </si>
  <si>
    <t>32285005028708</t>
  </si>
  <si>
    <t>893712661</t>
  </si>
  <si>
    <t>PQ6413.M2 L3 1960</t>
  </si>
  <si>
    <t>0                      PQ 6413000M  2                  L  3           1960</t>
  </si>
  <si>
    <t>El laberinto de Fortuna; o, Las trescientas. Edición prólogo y notas por José Manuel Blecua.</t>
  </si>
  <si>
    <t>Mena, Juan de, 1411-1456.</t>
  </si>
  <si>
    <t>Madrid, Espasa-Calpe, s. a., 1960.</t>
  </si>
  <si>
    <t>Clásicos castellanos ; 119</t>
  </si>
  <si>
    <t>2000-04-25</t>
  </si>
  <si>
    <t>2000-03-21</t>
  </si>
  <si>
    <t>10627727482:spa</t>
  </si>
  <si>
    <t>2551592</t>
  </si>
  <si>
    <t>991004161009702656</t>
  </si>
  <si>
    <t>2255644400002656</t>
  </si>
  <si>
    <t>32285002519501</t>
  </si>
  <si>
    <t>893788352</t>
  </si>
  <si>
    <t>PQ6413.M25 Z8</t>
  </si>
  <si>
    <t>0                      PQ 6413000M  25                 Z  8</t>
  </si>
  <si>
    <t>Fray Iñigo de Mendoza y sus coplas de Vita Christi.</t>
  </si>
  <si>
    <t>Rodríguez-Puértolas, Julio.</t>
  </si>
  <si>
    <t>Bibliotheca románica hispánica. 4. Textos</t>
  </si>
  <si>
    <t>2004-02-09</t>
  </si>
  <si>
    <t>1758851:spa</t>
  </si>
  <si>
    <t>683195</t>
  </si>
  <si>
    <t>991003141899702656</t>
  </si>
  <si>
    <t>2263002950002656</t>
  </si>
  <si>
    <t>32285002519519</t>
  </si>
  <si>
    <t>893780652</t>
  </si>
  <si>
    <t>PQ6415.M8 P64 1990</t>
  </si>
  <si>
    <t>0                      PQ 6415000M  8                  P  64          1990</t>
  </si>
  <si>
    <t>Poesía completa / Antón de Montoro ; prólogo de Brian Dutton ; edición, estudio y notas de Marithelma Costa.</t>
  </si>
  <si>
    <t>Montoro, Antón de, 1404-1480.</t>
  </si>
  <si>
    <t>Cleveland : Cleveland State University ; New York, N.Y. : Distribución, M. Costa, Dept. of Romance Languages, Hunter College, 1990.</t>
  </si>
  <si>
    <t>Colección Cancioneros castellanos ; v. 3</t>
  </si>
  <si>
    <t>352037318:spa</t>
  </si>
  <si>
    <t>23049636</t>
  </si>
  <si>
    <t>991004508199702656</t>
  </si>
  <si>
    <t>2256808670002656</t>
  </si>
  <si>
    <t>32285005029599</t>
  </si>
  <si>
    <t>893788778</t>
  </si>
  <si>
    <t>PQ6421 .A1 1974</t>
  </si>
  <si>
    <t>0                      PQ 6421000A  1           1974</t>
  </si>
  <si>
    <t>Obras completas / Francisco de Quevedo ; edición introducción, bibliografía y notas de José Manuel Blecua.</t>
  </si>
  <si>
    <t>Quevedo, Francisco de, 1580-1645.</t>
  </si>
  <si>
    <t>Barcelona : Planeta, 1974-</t>
  </si>
  <si>
    <t>4a ed.</t>
  </si>
  <si>
    <t>Clásicos Planeta</t>
  </si>
  <si>
    <t>1995-11-06</t>
  </si>
  <si>
    <t>9438475429:spa</t>
  </si>
  <si>
    <t>8944033</t>
  </si>
  <si>
    <t>991000099629702656</t>
  </si>
  <si>
    <t>2259144770002656</t>
  </si>
  <si>
    <t>9788432016097</t>
  </si>
  <si>
    <t>32285000630227</t>
  </si>
  <si>
    <t>893790235</t>
  </si>
  <si>
    <t>PQ6422 .A1 1991</t>
  </si>
  <si>
    <t>0                      PQ 6422000A  1           1991</t>
  </si>
  <si>
    <t>La vida del Buscón llamado Don Pablos / Francisco de Quevedo ; edición de Domingo Ynduráin ; texto fijado por Fernando Lázaro Carreter.</t>
  </si>
  <si>
    <t>12a ed.</t>
  </si>
  <si>
    <t>Letras hispánicas ; 124</t>
  </si>
  <si>
    <t>2003-11-11</t>
  </si>
  <si>
    <t>4915988668:spa</t>
  </si>
  <si>
    <t>26338452</t>
  </si>
  <si>
    <t>991003484259702656</t>
  </si>
  <si>
    <t>2262759520002656</t>
  </si>
  <si>
    <t>9788437602370</t>
  </si>
  <si>
    <t>32285004311964</t>
  </si>
  <si>
    <t>893505625</t>
  </si>
  <si>
    <t>PQ6425.R8 Z68</t>
  </si>
  <si>
    <t>0                      PQ 6425000R  8                  Z  68</t>
  </si>
  <si>
    <t>Juan Rodríguez de la Cámara / by Martin S. Gilderman.</t>
  </si>
  <si>
    <t>Gilderman, Martin S.</t>
  </si>
  <si>
    <t>Twayne's world authors series ; TWAS 423 ; Spain</t>
  </si>
  <si>
    <t>4956865:eng</t>
  </si>
  <si>
    <t>2388471</t>
  </si>
  <si>
    <t>991004108709702656</t>
  </si>
  <si>
    <t>2259323800002656</t>
  </si>
  <si>
    <t>9780805761955</t>
  </si>
  <si>
    <t>32285000630284</t>
  </si>
  <si>
    <t>893263098</t>
  </si>
  <si>
    <t>PQ6428 .G5</t>
  </si>
  <si>
    <t>0                      PQ 6428000G  5</t>
  </si>
  <si>
    <t>The art of La Celestina.</t>
  </si>
  <si>
    <t>Gilman, Stephen.</t>
  </si>
  <si>
    <t>Madison, University of Wisconsin Press, 1956.</t>
  </si>
  <si>
    <t>2004-03-15</t>
  </si>
  <si>
    <t>1997-07-15</t>
  </si>
  <si>
    <t>3901306335:eng</t>
  </si>
  <si>
    <t>345720</t>
  </si>
  <si>
    <t>991002428319702656</t>
  </si>
  <si>
    <t>2272084320002656</t>
  </si>
  <si>
    <t>32285002519691</t>
  </si>
  <si>
    <t>893779798</t>
  </si>
  <si>
    <t>PQ6428 .G52</t>
  </si>
  <si>
    <t>0                      PQ 6428000G  52</t>
  </si>
  <si>
    <t>La Celestina : arte y estructura / Stephen Gilman ; versión española de Margit Frenk de Alatorre.</t>
  </si>
  <si>
    <t>Madrid : Taurus, 1974.</t>
  </si>
  <si>
    <t>Persiles ; 7l</t>
  </si>
  <si>
    <t>2004-12-01</t>
  </si>
  <si>
    <t>1996-10-02</t>
  </si>
  <si>
    <t>3901306335:spa</t>
  </si>
  <si>
    <t>1196676</t>
  </si>
  <si>
    <t>991003614089702656</t>
  </si>
  <si>
    <t>2261740970002656</t>
  </si>
  <si>
    <t>9788430620715</t>
  </si>
  <si>
    <t>32285002322237</t>
  </si>
  <si>
    <t>893793816</t>
  </si>
  <si>
    <t>PQ6428 .L5 1962</t>
  </si>
  <si>
    <t>0                      PQ 6428000L  5           1962</t>
  </si>
  <si>
    <t>La originalidad artística de La celestina.</t>
  </si>
  <si>
    <t>Lida de Malkiel, María Rosa.</t>
  </si>
  <si>
    <t>Buenos Aires, Editorial Universitaria de Buenos Aires [1962]</t>
  </si>
  <si>
    <t>Teoría e investigación</t>
  </si>
  <si>
    <t>2001-10-01</t>
  </si>
  <si>
    <t>365436980:spa</t>
  </si>
  <si>
    <t>1934543</t>
  </si>
  <si>
    <t>991003942049702656</t>
  </si>
  <si>
    <t>2262158930002656</t>
  </si>
  <si>
    <t>32285002519709</t>
  </si>
  <si>
    <t>893519070</t>
  </si>
  <si>
    <t>PQ6428 .L5 1970b</t>
  </si>
  <si>
    <t>0                      PQ 6428000L  5           1970b</t>
  </si>
  <si>
    <t>Buenos Aires] Editorial Universitaria de Buenos Aires [1970]</t>
  </si>
  <si>
    <t>[2. ed</t>
  </si>
  <si>
    <t>2004-03-18</t>
  </si>
  <si>
    <t>308046</t>
  </si>
  <si>
    <t>991002270319702656</t>
  </si>
  <si>
    <t>2266308180002656</t>
  </si>
  <si>
    <t>32285002519717</t>
  </si>
  <si>
    <t>893773412</t>
  </si>
  <si>
    <t>PQ6428 .S3 1965</t>
  </si>
  <si>
    <t>0                      PQ 6428000S  3           1965</t>
  </si>
  <si>
    <t>A theological interpretation of La Celestina / by Nicholas E. Schiel.</t>
  </si>
  <si>
    <t>Schiel, Nicholas Edward, 1924-</t>
  </si>
  <si>
    <t>[s.l.] : [s.n.], 1965.</t>
  </si>
  <si>
    <t>2001-09-17</t>
  </si>
  <si>
    <t>8896823:eng</t>
  </si>
  <si>
    <t>3143561</t>
  </si>
  <si>
    <t>991004356769702656</t>
  </si>
  <si>
    <t>2257664510002656</t>
  </si>
  <si>
    <t>32285003337135</t>
  </si>
  <si>
    <t>893712489</t>
  </si>
  <si>
    <t>PQ6428 .S56 1985</t>
  </si>
  <si>
    <t>0                      PQ 6428000S  56          1985</t>
  </si>
  <si>
    <t>Celestina by Fernando de Rojas : an annotated bibliography of world interest, 1930-1985 / Joseph T. Snow.</t>
  </si>
  <si>
    <t>Snow, Joseph T., 1941-</t>
  </si>
  <si>
    <t>Madison : Hispanic Seminary of Medieval Studies, 1985.</t>
  </si>
  <si>
    <t>Bibliographic series / Hispanic Seminary of Medieval Studies ; no. 6</t>
  </si>
  <si>
    <t>198284443:eng</t>
  </si>
  <si>
    <t>12790492</t>
  </si>
  <si>
    <t>991004522839702656</t>
  </si>
  <si>
    <t>2256097130002656</t>
  </si>
  <si>
    <t>9780942260588</t>
  </si>
  <si>
    <t>32285005048359</t>
  </si>
  <si>
    <t>893904902</t>
  </si>
  <si>
    <t>PQ6430 .L48 1970c</t>
  </si>
  <si>
    <t>0                      PQ 6430000L  48          1970c</t>
  </si>
  <si>
    <t>'Libro de buen amor' studies; edited by G. B. Gybbon-Monypenny.</t>
  </si>
  <si>
    <t>London, Tamesis [c1970]</t>
  </si>
  <si>
    <t>Colección Támesis. Serie A, Monografías ; 12</t>
  </si>
  <si>
    <t>1998-12-01</t>
  </si>
  <si>
    <t>53940647:eng</t>
  </si>
  <si>
    <t>639020</t>
  </si>
  <si>
    <t>991003088619702656</t>
  </si>
  <si>
    <t>2257610920002656</t>
  </si>
  <si>
    <t>9780900411045</t>
  </si>
  <si>
    <t>32285002519816</t>
  </si>
  <si>
    <t>893604421</t>
  </si>
  <si>
    <t>PQ6432 .A6 1985</t>
  </si>
  <si>
    <t>0                      PQ 6432000A  6           1985</t>
  </si>
  <si>
    <t>Los sonetos "al itálico modo" de Iñigo López de Mendoza, marqués de Santillana / edición crítica, introducción y notas de Maxim. P.A.M. Kerkhof y Dirk Tuin.</t>
  </si>
  <si>
    <t>Santillana, Iñigo López de Mendoza, marqués de, 1398-1458.</t>
  </si>
  <si>
    <t>Spanish series ; no. 18</t>
  </si>
  <si>
    <t>2999328109:spa</t>
  </si>
  <si>
    <t>12585745</t>
  </si>
  <si>
    <t>991004490139702656</t>
  </si>
  <si>
    <t>2262943720002656</t>
  </si>
  <si>
    <t>9780942260472</t>
  </si>
  <si>
    <t>32285005028799</t>
  </si>
  <si>
    <t>893500631</t>
  </si>
  <si>
    <t>PQ6434 .C6 1965</t>
  </si>
  <si>
    <t>0                      PQ 6434000C  6           1965</t>
  </si>
  <si>
    <t>El condenado por desconfiado / Tirso del Molina [i.e. G. Téllez] ; ed., estudio y notas por Angel González Palencia.</t>
  </si>
  <si>
    <t>Molina, Tirso de, 1571?-1648.</t>
  </si>
  <si>
    <t>Zaragoza : Editorial Ebro, [c1965]</t>
  </si>
  <si>
    <t>9. ed. ilus.</t>
  </si>
  <si>
    <t>Biblioteca clásica Ebro : Clásicos españoles ; 1</t>
  </si>
  <si>
    <t>1864354846:spa</t>
  </si>
  <si>
    <t>2532017</t>
  </si>
  <si>
    <t>991004508749702656</t>
  </si>
  <si>
    <t>2268530440002656</t>
  </si>
  <si>
    <t>32285005029532</t>
  </si>
  <si>
    <t>893259800</t>
  </si>
  <si>
    <t>PQ6436 .M24 1976</t>
  </si>
  <si>
    <t>0                      PQ 6436000M  24          1976</t>
  </si>
  <si>
    <t>Tirso de Molina : studies in dramatic realism / by I. L. McClelland.</t>
  </si>
  <si>
    <t>McClelland, I. L. (Ivy Lilian)</t>
  </si>
  <si>
    <t>Liverpool studies in Spanish literature ; 3d ser.</t>
  </si>
  <si>
    <t>2000-11-26</t>
  </si>
  <si>
    <t>5912254:eng</t>
  </si>
  <si>
    <t>2388230</t>
  </si>
  <si>
    <t>991004107949702656</t>
  </si>
  <si>
    <t>2259312050002656</t>
  </si>
  <si>
    <t>9780404150334</t>
  </si>
  <si>
    <t>32285000630433</t>
  </si>
  <si>
    <t>893519248</t>
  </si>
  <si>
    <t>PQ6437.T3 Z7</t>
  </si>
  <si>
    <t>0                      PQ 6437000T  3                  Z  7</t>
  </si>
  <si>
    <t>Santa Teresa de Avila / by Helmut A. Hatzfeld.</t>
  </si>
  <si>
    <t>Hatzfeld, Helmut (Helmut Anthony), 1892-1979.</t>
  </si>
  <si>
    <t>Twayne's world authors series, 79. Spain</t>
  </si>
  <si>
    <t>2003-11-14</t>
  </si>
  <si>
    <t>3943355216:eng</t>
  </si>
  <si>
    <t>85357</t>
  </si>
  <si>
    <t>991000515249702656</t>
  </si>
  <si>
    <t>2267100510002656</t>
  </si>
  <si>
    <t>32285000630458</t>
  </si>
  <si>
    <t>893626343</t>
  </si>
  <si>
    <t>PQ6457.D7 T7</t>
  </si>
  <si>
    <t>0                      PQ 6457000D  7                  T  7</t>
  </si>
  <si>
    <t>Experience and artistic expression in Lope de Vega : the making of La Dorotea / [by] Alan S. Trueblood.</t>
  </si>
  <si>
    <t>Trueblood, Alan S.</t>
  </si>
  <si>
    <t>Cambridge : Harvard University Press, 1974.</t>
  </si>
  <si>
    <t>2004-11-18</t>
  </si>
  <si>
    <t>320698202:eng</t>
  </si>
  <si>
    <t>850064</t>
  </si>
  <si>
    <t>991003321939702656</t>
  </si>
  <si>
    <t>2262719660002656</t>
  </si>
  <si>
    <t>9780674276703</t>
  </si>
  <si>
    <t>32285000630482</t>
  </si>
  <si>
    <t>893592415</t>
  </si>
  <si>
    <t>PQ6469 .H3</t>
  </si>
  <si>
    <t>0                      PQ 6469000H  3</t>
  </si>
  <si>
    <t>Lope de Vega / by Francis C. Hayes.</t>
  </si>
  <si>
    <t>Hayes, Francis C. (Francis Clement), 1904-</t>
  </si>
  <si>
    <t>New York : Twayne Publishers, [1967]</t>
  </si>
  <si>
    <t>Twayne's world authors series, 28. Spain</t>
  </si>
  <si>
    <t>1502098:eng</t>
  </si>
  <si>
    <t>383836</t>
  </si>
  <si>
    <t>991002640199702656</t>
  </si>
  <si>
    <t>2260572040002656</t>
  </si>
  <si>
    <t>32285000630516</t>
  </si>
  <si>
    <t>893867494</t>
  </si>
  <si>
    <t>PQ6469 .R318 1969</t>
  </si>
  <si>
    <t>0                      PQ 6469000R  318         1969</t>
  </si>
  <si>
    <t>Vida de Lope de Vega (1562-1635) / [por] Américo Castro [y] Hugo A. Rennert. Notas adicionales de Fernando Lázaro Carreter.</t>
  </si>
  <si>
    <t>Rennert, Hugo Albert, 1858-1927.</t>
  </si>
  <si>
    <t>[Salamanca] Anaya [1969]</t>
  </si>
  <si>
    <t>[2. edición]</t>
  </si>
  <si>
    <t>2864017284:spa</t>
  </si>
  <si>
    <t>781587</t>
  </si>
  <si>
    <t>991003256309702656</t>
  </si>
  <si>
    <t>2260894840002656</t>
  </si>
  <si>
    <t>32285003337325</t>
  </si>
  <si>
    <t>893887293</t>
  </si>
  <si>
    <t>PQ648 .M9 1981</t>
  </si>
  <si>
    <t>0                      PQ 0648000M  9           1981</t>
  </si>
  <si>
    <t>The eighteenth-century French novel : techniques of illusion / by Vivienne Mylne.</t>
  </si>
  <si>
    <t>Mylne, Vivienne.</t>
  </si>
  <si>
    <t>836663302:eng</t>
  </si>
  <si>
    <t>7553454</t>
  </si>
  <si>
    <t>991005125749702656</t>
  </si>
  <si>
    <t>2262759950002656</t>
  </si>
  <si>
    <t>9780521238649</t>
  </si>
  <si>
    <t>32285001251353</t>
  </si>
  <si>
    <t>893902163</t>
  </si>
  <si>
    <t>PQ6490.H7 Y37 1994</t>
  </si>
  <si>
    <t>0                      PQ 6490000H  7                  Y  37          1994</t>
  </si>
  <si>
    <t>Feminism and the honor plays of Lope de Vega / Yvonne Yarbro-Bejarano.</t>
  </si>
  <si>
    <t>Yarbro-Bejarano, Yvonne.</t>
  </si>
  <si>
    <t>West Lafayette, Ind. : Purdue University Press, c1994.</t>
  </si>
  <si>
    <t>inu</t>
  </si>
  <si>
    <t>Purdue studies in Romance literatures ; v. 4</t>
  </si>
  <si>
    <t>31405779:eng</t>
  </si>
  <si>
    <t>29221389</t>
  </si>
  <si>
    <t>991002255509702656</t>
  </si>
  <si>
    <t>2266186940002656</t>
  </si>
  <si>
    <t>9781557530448</t>
  </si>
  <si>
    <t>32285002090065</t>
  </si>
  <si>
    <t>893510509</t>
  </si>
  <si>
    <t>PQ6496 .A54 1986</t>
  </si>
  <si>
    <t>0                      PQ 6496000A  54          1986</t>
  </si>
  <si>
    <t>Lepanto : fact, fiction, and fantasy : with a critical edition of Luis Vélez de Guevara's El águila del agua, a play in three acts / Michael G. Paulson, Tamara Alvarez-Detrell.</t>
  </si>
  <si>
    <t>Paulson, Michael G.</t>
  </si>
  <si>
    <t>Lanham : University Press of America, c1986.</t>
  </si>
  <si>
    <t>1998-11-23</t>
  </si>
  <si>
    <t>226741995:eng</t>
  </si>
  <si>
    <t>13121223</t>
  </si>
  <si>
    <t>991000783479702656</t>
  </si>
  <si>
    <t>2256241180002656</t>
  </si>
  <si>
    <t>9780819152879</t>
  </si>
  <si>
    <t>32285000630524</t>
  </si>
  <si>
    <t>893509108</t>
  </si>
  <si>
    <t>PQ6498.V5 Z63 1970</t>
  </si>
  <si>
    <t>0                      PQ 6498000V  5                  Z  63          1970</t>
  </si>
  <si>
    <t>Horacio en Villegas y en Fray Luis de León / Vittore Bocchetta.</t>
  </si>
  <si>
    <t>Bocchetta, Vittore E., 1918-</t>
  </si>
  <si>
    <t>Madrid : Gredos, [1970]</t>
  </si>
  <si>
    <t>148175146:spa</t>
  </si>
  <si>
    <t>190792</t>
  </si>
  <si>
    <t>991004523589702656</t>
  </si>
  <si>
    <t>2259323350002656</t>
  </si>
  <si>
    <t>32285005048441</t>
  </si>
  <si>
    <t>893442717</t>
  </si>
  <si>
    <t>PQ6509.A2 M3</t>
  </si>
  <si>
    <t>0                      PQ 6509000A  2                  M  3</t>
  </si>
  <si>
    <t>The sea gull / translated from the Spanish and with an introd. by Joan Maclean.</t>
  </si>
  <si>
    <t>Caballero, Fernán, 1796-1877.</t>
  </si>
  <si>
    <t>Woodbury, N.Y. : Barron's Education Series, [1965]</t>
  </si>
  <si>
    <t>1996-02-24</t>
  </si>
  <si>
    <t>3081988:eng</t>
  </si>
  <si>
    <t>1248094</t>
  </si>
  <si>
    <t>991003646419702656</t>
  </si>
  <si>
    <t>2264227070002656</t>
  </si>
  <si>
    <t>32285000630649</t>
  </si>
  <si>
    <t>893592726</t>
  </si>
  <si>
    <t>PQ6512.C226 Z698 1968</t>
  </si>
  <si>
    <t>0                      PQ 6512000C  226                Z  698         1968</t>
  </si>
  <si>
    <t>Manner and mood in Rosalia de Castro : a study of themes and style / por Kathleen K. Kulp.</t>
  </si>
  <si>
    <t>Kulp, Kathleen K.</t>
  </si>
  <si>
    <t>Madrid : J. Porrua Turanzas, 1968.</t>
  </si>
  <si>
    <t>Bibliotheca tenanitla. Libros españoles e hispanoamericanos, 11</t>
  </si>
  <si>
    <t>1388329:eng</t>
  </si>
  <si>
    <t>241869</t>
  </si>
  <si>
    <t>991004523379702656</t>
  </si>
  <si>
    <t>2271704590002656</t>
  </si>
  <si>
    <t>32285005048508</t>
  </si>
  <si>
    <t>893876206</t>
  </si>
  <si>
    <t>PQ6523.F37 C5 1975</t>
  </si>
  <si>
    <t>0                      PQ 6523000F  37                 C  5           1975</t>
  </si>
  <si>
    <t>El Cid Campeador / M. Fernández y González.</t>
  </si>
  <si>
    <t>Fernández y González, Manuel, 1821-1888.</t>
  </si>
  <si>
    <t>Madrid : Tebas, [1975?]</t>
  </si>
  <si>
    <t>La Novela histórica española ; 2</t>
  </si>
  <si>
    <t>1996-09-30</t>
  </si>
  <si>
    <t>1991-06-25</t>
  </si>
  <si>
    <t>355020478:spa</t>
  </si>
  <si>
    <t>2467745</t>
  </si>
  <si>
    <t>991004130469702656</t>
  </si>
  <si>
    <t>2269749370002656</t>
  </si>
  <si>
    <t>9788472730618</t>
  </si>
  <si>
    <t>32285000631720</t>
  </si>
  <si>
    <t>893525691</t>
  </si>
  <si>
    <t>PQ6525 .H37</t>
  </si>
  <si>
    <t>0                      PQ 6525000H  37</t>
  </si>
  <si>
    <t>Gertrudis Gómez de Avellaneda / by Hugh A. Harter.</t>
  </si>
  <si>
    <t>Harter, Hugh A.</t>
  </si>
  <si>
    <t>Boston : Twayne Publishers, [1981]</t>
  </si>
  <si>
    <t>Twayne's world authors series ; TWAS 599 : Spain</t>
  </si>
  <si>
    <t>1998-11-25</t>
  </si>
  <si>
    <t>23852018:eng</t>
  </si>
  <si>
    <t>6762729</t>
  </si>
  <si>
    <t>991005037749702656</t>
  </si>
  <si>
    <t>2262909910002656</t>
  </si>
  <si>
    <t>9780805764413</t>
  </si>
  <si>
    <t>32285000631811</t>
  </si>
  <si>
    <t>893707157</t>
  </si>
  <si>
    <t>PQ653 .M4 1995</t>
  </si>
  <si>
    <t>0                      PQ 0653000M  4           1995</t>
  </si>
  <si>
    <t>Writing in parts : imitation and exchange in nineteenth-century literature / Kevin McLaughlin.</t>
  </si>
  <si>
    <t>McLaughlin, Kevin, 1959-</t>
  </si>
  <si>
    <t>Stanford, Calif. : Stanford University Press, 1995.</t>
  </si>
  <si>
    <t>1999-09-18</t>
  </si>
  <si>
    <t>1996-06-17</t>
  </si>
  <si>
    <t>318778635:eng</t>
  </si>
  <si>
    <t>31376114</t>
  </si>
  <si>
    <t>991002410789702656</t>
  </si>
  <si>
    <t>2254896430002656</t>
  </si>
  <si>
    <t>9780804724111</t>
  </si>
  <si>
    <t>32285002193273</t>
  </si>
  <si>
    <t>893603566</t>
  </si>
  <si>
    <t>PQ653 .S26 1997</t>
  </si>
  <si>
    <t>0                      PQ 0653000S  26          1997</t>
  </si>
  <si>
    <t>Rendering French realism / Lawrence R. Schehr.</t>
  </si>
  <si>
    <t>Schehr, Lawrence R.</t>
  </si>
  <si>
    <t>2003-04-24</t>
  </si>
  <si>
    <t>5481493278:eng</t>
  </si>
  <si>
    <t>35235742</t>
  </si>
  <si>
    <t>991004023279702656</t>
  </si>
  <si>
    <t>2254841900002656</t>
  </si>
  <si>
    <t>9780804727877</t>
  </si>
  <si>
    <t>32285004743539</t>
  </si>
  <si>
    <t>893875595</t>
  </si>
  <si>
    <t>PQ6534.L4 Z72 1951</t>
  </si>
  <si>
    <t>0                      PQ 6534000L  4                  Z  72          1951</t>
  </si>
  <si>
    <t>Vida, obra y pensamiento de Alberto Lista / Hans Juretschke.</t>
  </si>
  <si>
    <t>Juretschke, Hans, 1909-</t>
  </si>
  <si>
    <t>Madrid : Consejo Superior de Investigaciones Científicas, Escuela de Historia Moderna, 1951.</t>
  </si>
  <si>
    <t>1752538:spa</t>
  </si>
  <si>
    <t>585876</t>
  </si>
  <si>
    <t>991003021229702656</t>
  </si>
  <si>
    <t>2269476820002656</t>
  </si>
  <si>
    <t>32285000631878</t>
  </si>
  <si>
    <t>893710969</t>
  </si>
  <si>
    <t>PQ6544 .D6</t>
  </si>
  <si>
    <t>0                      PQ 6544000D  6</t>
  </si>
  <si>
    <t>Leandro Fernández de Moratín / by John Dowling.</t>
  </si>
  <si>
    <t>Dowling, John Clarkson, 1920-2009.</t>
  </si>
  <si>
    <t>New York : Twayne Publishers, [1971]</t>
  </si>
  <si>
    <t>Twayne's world authors series, TWAS 149. Spain</t>
  </si>
  <si>
    <t>1996-01-11</t>
  </si>
  <si>
    <t>1380812:eng</t>
  </si>
  <si>
    <t>239852</t>
  </si>
  <si>
    <t>991001904589702656</t>
  </si>
  <si>
    <t>2257060210002656</t>
  </si>
  <si>
    <t>32285000631936</t>
  </si>
  <si>
    <t>893503787</t>
  </si>
  <si>
    <t>PQ6549.N35 A72 1979</t>
  </si>
  <si>
    <t>0                      PQ 6549000N  35                 A  72          1979</t>
  </si>
  <si>
    <t>Amaya, ó, Los vascos en el siglo VIII / F. Navarro Villoslada.</t>
  </si>
  <si>
    <t>Navarro Villoslada, Francisco, 1818-1895.</t>
  </si>
  <si>
    <t>Madrid : Tebas, 1979.</t>
  </si>
  <si>
    <t>La Novela histórica española ; 23</t>
  </si>
  <si>
    <t>9437934364:spa</t>
  </si>
  <si>
    <t>7078130</t>
  </si>
  <si>
    <t>991005073909702656</t>
  </si>
  <si>
    <t>2265696560002656</t>
  </si>
  <si>
    <t>9788472731042</t>
  </si>
  <si>
    <t>32285000631951</t>
  </si>
  <si>
    <t>893883292</t>
  </si>
  <si>
    <t>PQ6554.P3 A6 1991</t>
  </si>
  <si>
    <t>0                      PQ 6554000P  3                  A  6           1991</t>
  </si>
  <si>
    <t>Antologia / José María de Pereda ; selecciónada por Pablo Beltrán de Heredia.</t>
  </si>
  <si>
    <t>Pereda, José María de, 1833-1906.</t>
  </si>
  <si>
    <t>Santander : Fundación Marcelino Botín, 1991.</t>
  </si>
  <si>
    <t>Publicaciones de la Fundación Marcelino Botín. Serie Literatura ; 2</t>
  </si>
  <si>
    <t>226165700:spa</t>
  </si>
  <si>
    <t>29823702</t>
  </si>
  <si>
    <t>991004509689702656</t>
  </si>
  <si>
    <t>2263805620002656</t>
  </si>
  <si>
    <t>9788487678035</t>
  </si>
  <si>
    <t>32285005044424</t>
  </si>
  <si>
    <t>893519734</t>
  </si>
  <si>
    <t>PQ6555 .L213 1996</t>
  </si>
  <si>
    <t>0                      PQ 6555000L  213         1996</t>
  </si>
  <si>
    <t>That Bringas woman / Benito Pérez Galdós ; translated and edited by Catherine Jagoe ; consultant editor for this volume, Melvina McKendrick.</t>
  </si>
  <si>
    <t>Pérez Galdós, Benito, 1843-1920.</t>
  </si>
  <si>
    <t>London : J.M. Dent ; Rutland, Vermont, USA : C.E. Tuttle, c1996.</t>
  </si>
  <si>
    <t>The Everyman library</t>
  </si>
  <si>
    <t>3749517015:eng</t>
  </si>
  <si>
    <t>35210699</t>
  </si>
  <si>
    <t>991004522259702656</t>
  </si>
  <si>
    <t>2257780320002656</t>
  </si>
  <si>
    <t>9780460876360</t>
  </si>
  <si>
    <t>32285005048193</t>
  </si>
  <si>
    <t>893801047</t>
  </si>
  <si>
    <t>PQ6560.Z5 L64</t>
  </si>
  <si>
    <t>0                      PQ 6560000Z  5                  L  64</t>
  </si>
  <si>
    <t>The Duke of Rivas / by Gabriel Lovett.</t>
  </si>
  <si>
    <t>Lovett, Gabriel H.</t>
  </si>
  <si>
    <t>Twayne's world authors series ; TWAS 452 : Spain</t>
  </si>
  <si>
    <t>1996-01-18</t>
  </si>
  <si>
    <t>6382219:eng</t>
  </si>
  <si>
    <t>2873539</t>
  </si>
  <si>
    <t>991004268119702656</t>
  </si>
  <si>
    <t>2259477200002656</t>
  </si>
  <si>
    <t>9780805762891</t>
  </si>
  <si>
    <t>32285000632124</t>
  </si>
  <si>
    <t>893800798</t>
  </si>
  <si>
    <t>PQ6601.L253 Z7 1971</t>
  </si>
  <si>
    <t>0                      PQ 6601000L  253                Z  7           1971</t>
  </si>
  <si>
    <t>Ensayos sobre literatura social / Gaspar Gomez del la Serna.</t>
  </si>
  <si>
    <t>Gómez de la Serna, Gaspar.</t>
  </si>
  <si>
    <t>Colección Punto omega, 132</t>
  </si>
  <si>
    <t>9349947273:spa</t>
  </si>
  <si>
    <t>574836</t>
  </si>
  <si>
    <t>991004508709702656</t>
  </si>
  <si>
    <t>2257601450002656</t>
  </si>
  <si>
    <t>32285005029490</t>
  </si>
  <si>
    <t>893442692</t>
  </si>
  <si>
    <t>PQ6601.R58 E9 1990</t>
  </si>
  <si>
    <t>0                      PQ 6601000R  58                 E  9           1990</t>
  </si>
  <si>
    <t>La extravagante cruzada de un castrado enamorado / Fernando Arrabal.</t>
  </si>
  <si>
    <t>Arrabal, Fernando.</t>
  </si>
  <si>
    <t>Barcelona : Seix Barral, 1990.</t>
  </si>
  <si>
    <t>Biblioteca breve</t>
  </si>
  <si>
    <t>1993-06-25</t>
  </si>
  <si>
    <t>369950635:spa</t>
  </si>
  <si>
    <t>22306822</t>
  </si>
  <si>
    <t>991001698019702656</t>
  </si>
  <si>
    <t>2263306920002656</t>
  </si>
  <si>
    <t>9788432206160</t>
  </si>
  <si>
    <t>32285000569037</t>
  </si>
  <si>
    <t>893322164</t>
  </si>
  <si>
    <t>PQ6601.R58 P5 1985</t>
  </si>
  <si>
    <t>0                      PQ 6601000R  58                 P  5           1985</t>
  </si>
  <si>
    <t>La piedra iluminada / Fernando Arrabal.</t>
  </si>
  <si>
    <t>Barcelona : Ediciones Destino, 1985.</t>
  </si>
  <si>
    <t>Colección Ancora y delfín ; v. 592</t>
  </si>
  <si>
    <t>1993-07-07</t>
  </si>
  <si>
    <t>11612278:spa</t>
  </si>
  <si>
    <t>13240576</t>
  </si>
  <si>
    <t>991000801239702656</t>
  </si>
  <si>
    <t>2270250260002656</t>
  </si>
  <si>
    <t>9788423314140</t>
  </si>
  <si>
    <t>32285000632280</t>
  </si>
  <si>
    <t>893225317</t>
  </si>
  <si>
    <t>PQ6601.R58 T6 1983</t>
  </si>
  <si>
    <t>0                      PQ 6601000R  58                 T  6           1983</t>
  </si>
  <si>
    <t>La torre herida por el rayo / Fernando Arrabal.</t>
  </si>
  <si>
    <t>Barcelona : Ediciones Destino, 1983.</t>
  </si>
  <si>
    <t>Colección Ancora y delfín ; v. 570</t>
  </si>
  <si>
    <t>1993-07-26</t>
  </si>
  <si>
    <t>345417:spa</t>
  </si>
  <si>
    <t>10229584</t>
  </si>
  <si>
    <t>991000335439702656</t>
  </si>
  <si>
    <t>2264223710002656</t>
  </si>
  <si>
    <t>9788423312405</t>
  </si>
  <si>
    <t>32285000632298</t>
  </si>
  <si>
    <t>893243152</t>
  </si>
  <si>
    <t>PQ6601.U2 C29 1978</t>
  </si>
  <si>
    <t>0                      PQ 6601000U  2                  C  29          1978</t>
  </si>
  <si>
    <t>Campo abierto / [por] Max Aub.</t>
  </si>
  <si>
    <t>Aub, Max, 1903-1972.</t>
  </si>
  <si>
    <t>Madrid : Alfaguara, 1978 printing.</t>
  </si>
  <si>
    <t>His El Laberinto mágico ; 2</t>
  </si>
  <si>
    <t>1994-01-24</t>
  </si>
  <si>
    <t>5439244:spa</t>
  </si>
  <si>
    <t>5805254</t>
  </si>
  <si>
    <t>991004879149702656</t>
  </si>
  <si>
    <t>2261731450002656</t>
  </si>
  <si>
    <t>9788420420158</t>
  </si>
  <si>
    <t>32285000632348</t>
  </si>
  <si>
    <t>893719513</t>
  </si>
  <si>
    <t>PQ6601.U2 C33</t>
  </si>
  <si>
    <t>0                      PQ 6601000U  2                  C  33</t>
  </si>
  <si>
    <t>Campo de sangre / [por] Max Aub.</t>
  </si>
  <si>
    <t>Madrid [etc.] : Alfaguara [etc.], 1979.</t>
  </si>
  <si>
    <t>His El Laberinto mágico ; 3</t>
  </si>
  <si>
    <t>1994-02-21</t>
  </si>
  <si>
    <t>10200756427:spa</t>
  </si>
  <si>
    <t>6089155</t>
  </si>
  <si>
    <t>991004928809702656</t>
  </si>
  <si>
    <t>2259325770002656</t>
  </si>
  <si>
    <t>9788420420172</t>
  </si>
  <si>
    <t>32285000632363</t>
  </si>
  <si>
    <t>893889437</t>
  </si>
  <si>
    <t>PQ6601.Y3 J3 1973</t>
  </si>
  <si>
    <t>0                      PQ 6601000Y  3                  J  3           1973</t>
  </si>
  <si>
    <t>El jardín de las delicias / Francisco Ayala.</t>
  </si>
  <si>
    <t>Ayala, Francisco, 1906-2009.</t>
  </si>
  <si>
    <t>Barcelona : Editorial Seix Barral, [1973, c1971]</t>
  </si>
  <si>
    <t>[3. ed.]</t>
  </si>
  <si>
    <t>Biblioteca breve, 317. Relatos</t>
  </si>
  <si>
    <t>1992-12-22</t>
  </si>
  <si>
    <t>350606415:spa</t>
  </si>
  <si>
    <t>1632916</t>
  </si>
  <si>
    <t>991003847049702656</t>
  </si>
  <si>
    <t>2257945180002656</t>
  </si>
  <si>
    <t>32285000176197</t>
  </si>
  <si>
    <t>893800226</t>
  </si>
  <si>
    <t>PQ6601.Y3 Z678 1972</t>
  </si>
  <si>
    <t>0                      PQ 6601000Y  3                  Z  678         1972</t>
  </si>
  <si>
    <t>Las alusiones literarias en la obra narrativa de Francisco Ayala / Rosario H. Hiriart.</t>
  </si>
  <si>
    <t>Hiriart, Rosario.</t>
  </si>
  <si>
    <t>New York : Eliseo Torres &amp; Sons, c1972.</t>
  </si>
  <si>
    <t>Torres library of literary studies ; 16</t>
  </si>
  <si>
    <t>376138881:spa</t>
  </si>
  <si>
    <t>30767050</t>
  </si>
  <si>
    <t>991004490799702656</t>
  </si>
  <si>
    <t>2257013720002656</t>
  </si>
  <si>
    <t>32285005029094</t>
  </si>
  <si>
    <t>893712662</t>
  </si>
  <si>
    <t>PQ6603.A7 A9 1969</t>
  </si>
  <si>
    <t>0                      PQ 6603000A  7                  A  9           1969</t>
  </si>
  <si>
    <t>El arbol de la ciencia.</t>
  </si>
  <si>
    <t>Baroja, Pío, 1872-1956.</t>
  </si>
  <si>
    <t>Alianza Editorial [c1969]</t>
  </si>
  <si>
    <t>El libro de bolsillo, 50</t>
  </si>
  <si>
    <t>2004-09-28</t>
  </si>
  <si>
    <t>1817556:spa</t>
  </si>
  <si>
    <t>185700</t>
  </si>
  <si>
    <t>991001147849702656</t>
  </si>
  <si>
    <t>2268907550002656</t>
  </si>
  <si>
    <t>32285002941879</t>
  </si>
  <si>
    <t>893231742</t>
  </si>
  <si>
    <t>PQ6603.A7 C2337 1985</t>
  </si>
  <si>
    <t>0                      PQ 6603000A  7                  C  2337        1985</t>
  </si>
  <si>
    <t>Contexto, estructura y sentido de "Camino de perfección" de Pío Baroja / Manuel Sol T.</t>
  </si>
  <si>
    <t>Sol T., Manuel.</t>
  </si>
  <si>
    <t>Xalapa, Ver., Mexico : Centro de Investigaciones Lingüístico-Literarias, Instituto de Investigaciones Humanísticas, Universidad Veracruzana, c1985.</t>
  </si>
  <si>
    <t>8093682:spa</t>
  </si>
  <si>
    <t>14951155</t>
  </si>
  <si>
    <t>991004490629702656</t>
  </si>
  <si>
    <t>2265221130002656</t>
  </si>
  <si>
    <t>9789688340202</t>
  </si>
  <si>
    <t>32285005028898</t>
  </si>
  <si>
    <t>893229422</t>
  </si>
  <si>
    <t>PQ6603.A7 Z63</t>
  </si>
  <si>
    <t>0                      PQ 6603000A  7                  Z  63</t>
  </si>
  <si>
    <t>Pío Baroja / by Beatrice P. Patt.</t>
  </si>
  <si>
    <t>Patt, Beatrice P.</t>
  </si>
  <si>
    <t>Twayne's world authors series, TWAS 146. Spain</t>
  </si>
  <si>
    <t>1991-07-03</t>
  </si>
  <si>
    <t>143605393:eng</t>
  </si>
  <si>
    <t>282672</t>
  </si>
  <si>
    <t>991002195079702656</t>
  </si>
  <si>
    <t>2266358990002656</t>
  </si>
  <si>
    <t>32285000632777</t>
  </si>
  <si>
    <t>893256995</t>
  </si>
  <si>
    <t>PQ6603.L2 E3</t>
  </si>
  <si>
    <t>0                      PQ 6603000L  2                  E  3</t>
  </si>
  <si>
    <t>En busca del Gran Kan / V. Blasco Ibáñez.</t>
  </si>
  <si>
    <t>Blasco Ibáñez, Vicente, 1867-1928.</t>
  </si>
  <si>
    <t>Esplugas de Llobregat (Barcelona) : Plaza &amp; Janes, 1978, c1976.</t>
  </si>
  <si>
    <t>Obra de V. Blasco Ibanẽz</t>
  </si>
  <si>
    <t>1991-06-26</t>
  </si>
  <si>
    <t>3901163161:spa</t>
  </si>
  <si>
    <t>4654133</t>
  </si>
  <si>
    <t>991004698129702656</t>
  </si>
  <si>
    <t>2255996420002656</t>
  </si>
  <si>
    <t>9788401805806</t>
  </si>
  <si>
    <t>32285000632819</t>
  </si>
  <si>
    <t>893229719</t>
  </si>
  <si>
    <t>PQ6603.L2 M3 1998</t>
  </si>
  <si>
    <t>0                      PQ 6603000L  2                  M  3           1998</t>
  </si>
  <si>
    <t>Mare nostrum / Vicente Blasco Ibáñez ; edición de María José Navarro.</t>
  </si>
  <si>
    <t>Madrid : Cátedra, c1998.</t>
  </si>
  <si>
    <t>Letras hispánicas ; 470</t>
  </si>
  <si>
    <t>2000-09-20</t>
  </si>
  <si>
    <t>1513358:spa</t>
  </si>
  <si>
    <t>40162785</t>
  </si>
  <si>
    <t>991003253509702656</t>
  </si>
  <si>
    <t>2260792320002656</t>
  </si>
  <si>
    <t>9788437616520</t>
  </si>
  <si>
    <t>32285003763702</t>
  </si>
  <si>
    <t>893252197</t>
  </si>
  <si>
    <t>PQ6603.U4 Z63</t>
  </si>
  <si>
    <t>0                      PQ 6603000U  4                  Z  63</t>
  </si>
  <si>
    <t>El teatro de Buero Vallejo. Una meditación española.</t>
  </si>
  <si>
    <t>Doménech, Ricardo.</t>
  </si>
  <si>
    <t>Madrid, Gredos [1973]</t>
  </si>
  <si>
    <t>Biblioteca románica hispánica. 2. Estudios y ensayos, 198</t>
  </si>
  <si>
    <t>2001-12-19</t>
  </si>
  <si>
    <t>365314073:spa</t>
  </si>
  <si>
    <t>959362</t>
  </si>
  <si>
    <t>991003417849702656</t>
  </si>
  <si>
    <t>2268769150002656</t>
  </si>
  <si>
    <t>9788424905262</t>
  </si>
  <si>
    <t>32285002942240</t>
  </si>
  <si>
    <t>893686530</t>
  </si>
  <si>
    <t>PQ6603.U4 Z7</t>
  </si>
  <si>
    <t>0                      PQ 6603000U  4                  Z  7</t>
  </si>
  <si>
    <t>Antonio Buero Vallejo / by Martha T. Halsey.</t>
  </si>
  <si>
    <t>Halsey, Martha T.</t>
  </si>
  <si>
    <t>New York : Twayne, [1973]</t>
  </si>
  <si>
    <t>Twayne's world authors series, TWAS 260. Spain</t>
  </si>
  <si>
    <t>1990-04-18</t>
  </si>
  <si>
    <t>1777107:eng</t>
  </si>
  <si>
    <t>688651</t>
  </si>
  <si>
    <t>991003148799702656</t>
  </si>
  <si>
    <t>2272104830002656</t>
  </si>
  <si>
    <t>32285000116714</t>
  </si>
  <si>
    <t>893610769</t>
  </si>
  <si>
    <t>PQ6605.A17 L3 1984</t>
  </si>
  <si>
    <t>0                      PQ 6605000A  17                 L  3           1984</t>
  </si>
  <si>
    <t>El laberinto de fortuna / José Manuel Caballero Bonald.</t>
  </si>
  <si>
    <t>Caballero Bonald, José Manuel, 1926-</t>
  </si>
  <si>
    <t>Barcelona : Laia, 1984.</t>
  </si>
  <si>
    <t>Colección Laia literatura</t>
  </si>
  <si>
    <t>356750818:spa</t>
  </si>
  <si>
    <t>11774124</t>
  </si>
  <si>
    <t>991000587519702656</t>
  </si>
  <si>
    <t>2271448070002656</t>
  </si>
  <si>
    <t>9788472224117</t>
  </si>
  <si>
    <t>32285000568823</t>
  </si>
  <si>
    <t>893231236</t>
  </si>
  <si>
    <t>PQ6605.C254 A17 1988</t>
  </si>
  <si>
    <t>0                      PQ 6605000C  254                A  17          1988</t>
  </si>
  <si>
    <t>Poesía / Félix Casanova de Ayala.</t>
  </si>
  <si>
    <t>Casanova de Ayala, Félix.</t>
  </si>
  <si>
    <t>Islas Canarias : Viceconsejería de Cultura y Deportes del Gobierno de Canarias, 1988.</t>
  </si>
  <si>
    <t>Biblioteca básica canaria ; 36</t>
  </si>
  <si>
    <t>2002-02-25</t>
  </si>
  <si>
    <t>32765509:spa</t>
  </si>
  <si>
    <t>31159423</t>
  </si>
  <si>
    <t>991003749979702656</t>
  </si>
  <si>
    <t>2270031840002656</t>
  </si>
  <si>
    <t>9788450576948</t>
  </si>
  <si>
    <t>32285004457353</t>
  </si>
  <si>
    <t>893240557</t>
  </si>
  <si>
    <t>PQ6605.E44 Z48 1984</t>
  </si>
  <si>
    <t>0                      PQ 6605000E  44                 Z  48          1984</t>
  </si>
  <si>
    <t>La Insólita y gloriosa hazaña del cipote de Archidona.</t>
  </si>
  <si>
    <t>Barcelona : Tusquets Editores, 1984.</t>
  </si>
  <si>
    <t>4a. ed.</t>
  </si>
  <si>
    <t>La Sonrisa vertical ; 1</t>
  </si>
  <si>
    <t>1994-03-11</t>
  </si>
  <si>
    <t>355905771:spa</t>
  </si>
  <si>
    <t>13563453</t>
  </si>
  <si>
    <t>991000846889702656</t>
  </si>
  <si>
    <t>2254762830002656</t>
  </si>
  <si>
    <t>9788472233010</t>
  </si>
  <si>
    <t>32285000636109</t>
  </si>
  <si>
    <t>893702492</t>
  </si>
  <si>
    <t>PQ6605.E44 Z6848 2003</t>
  </si>
  <si>
    <t>0                      PQ 6605000E  44                 Z  6848        2003</t>
  </si>
  <si>
    <t>Cela, el hombre que quiso ganar / Ian Gibson.</t>
  </si>
  <si>
    <t>Gibson, Ian, 1939-</t>
  </si>
  <si>
    <t>Madrid : Aguilar, c2003.</t>
  </si>
  <si>
    <t>835059:spa</t>
  </si>
  <si>
    <t>52819844</t>
  </si>
  <si>
    <t>991004378999702656</t>
  </si>
  <si>
    <t>2268033640002656</t>
  </si>
  <si>
    <t>9788403093560</t>
  </si>
  <si>
    <t>32285005002331</t>
  </si>
  <si>
    <t>893331527</t>
  </si>
  <si>
    <t>PQ6605.R45 B5 1983</t>
  </si>
  <si>
    <t>0                      PQ 6605000R  45                 B  5           1983</t>
  </si>
  <si>
    <t>El bosque transparente : poesía, 1971-1981 / Angel Crespo.</t>
  </si>
  <si>
    <t>Crespo, Angel, 1926-1995.</t>
  </si>
  <si>
    <t>Barcelona : Seix Barral, 1983.</t>
  </si>
  <si>
    <t>Serie mayor</t>
  </si>
  <si>
    <t>1992-08-27</t>
  </si>
  <si>
    <t>1990-05-23</t>
  </si>
  <si>
    <t>428547864:spa</t>
  </si>
  <si>
    <t>10908851</t>
  </si>
  <si>
    <t>991000453079702656</t>
  </si>
  <si>
    <t>2272081160002656</t>
  </si>
  <si>
    <t>9788432238598</t>
  </si>
  <si>
    <t>32285000138221</t>
  </si>
  <si>
    <t>893614184</t>
  </si>
  <si>
    <t>PQ6605.U5 C7 1989</t>
  </si>
  <si>
    <t>0                      PQ 6605000U  5                  C  7           1989</t>
  </si>
  <si>
    <t>Las crónicas del sochantre / Álvaro Cunqueiro.</t>
  </si>
  <si>
    <t>Cunqueiro, Alvaro.</t>
  </si>
  <si>
    <t>Barcelona] : Ediciones Destino, [1989]</t>
  </si>
  <si>
    <t>[4. ed.</t>
  </si>
  <si>
    <t>Ancora y delfín, 277</t>
  </si>
  <si>
    <t>42750360:spa</t>
  </si>
  <si>
    <t>1870575</t>
  </si>
  <si>
    <t>991003920969702656</t>
  </si>
  <si>
    <t>2255850600002656</t>
  </si>
  <si>
    <t>9788423302666</t>
  </si>
  <si>
    <t>32285000570217</t>
  </si>
  <si>
    <t>893234827</t>
  </si>
  <si>
    <t>PQ6607.I238 C8</t>
  </si>
  <si>
    <t>0                      PQ 6607000I  238                C  8</t>
  </si>
  <si>
    <t>Cuentos crueles.</t>
  </si>
  <si>
    <t>Díaz-Plaja, Fernando.</t>
  </si>
  <si>
    <t>Madrid, Alianza Editorial [1971]</t>
  </si>
  <si>
    <t>2005-02-20</t>
  </si>
  <si>
    <t>1667188:spa</t>
  </si>
  <si>
    <t>616061</t>
  </si>
  <si>
    <t>991003058149702656</t>
  </si>
  <si>
    <t>2269419360002656</t>
  </si>
  <si>
    <t>32285002942950</t>
  </si>
  <si>
    <t>893524382</t>
  </si>
  <si>
    <t>PQ6613.A7666 R3 1971</t>
  </si>
  <si>
    <t>0                      PQ 6613000A  7666               R  3           1971</t>
  </si>
  <si>
    <t>El rapto de las sabinas : con el caso del vizcaíno fingido y de las suecas lesbianas, felizmente esclarecido por el mejor policía de España, Manuel González, alias "Plinio", Jefe de la Guardia Municipal de Tomelloso (Ciudad Real) [por] F. García Pavón / Francisco Garcia Pavon.</t>
  </si>
  <si>
    <t>García Pavón, Francisco, 1919-1989.</t>
  </si>
  <si>
    <t>[Barcelona] : Ediciones Destino, [1971]</t>
  </si>
  <si>
    <t>[4. ed.].</t>
  </si>
  <si>
    <t>Ancora y delfín, 327</t>
  </si>
  <si>
    <t>4915583700:spa</t>
  </si>
  <si>
    <t>1543145</t>
  </si>
  <si>
    <t>991004509719702656</t>
  </si>
  <si>
    <t>2262763030002656</t>
  </si>
  <si>
    <t>32285005044614</t>
  </si>
  <si>
    <t>893442696</t>
  </si>
  <si>
    <t>PQ6613.A7668 H57 1995</t>
  </si>
  <si>
    <t>0                      PQ 6613000A  7668               H  57          1995</t>
  </si>
  <si>
    <t>Una historia de amor en Caracas del angel y la bella lesbiana / José María García-Rodríguez.</t>
  </si>
  <si>
    <t>García Rodríguez, José María, 1912-</t>
  </si>
  <si>
    <t>San Juan, Puerto Rico : [s.n.], 1995.</t>
  </si>
  <si>
    <t>Hispanoamericanas ; v. 3</t>
  </si>
  <si>
    <t>1998-02-05</t>
  </si>
  <si>
    <t>1997-08-25</t>
  </si>
  <si>
    <t>40923698:spa</t>
  </si>
  <si>
    <t>36768757</t>
  </si>
  <si>
    <t>991002799749702656</t>
  </si>
  <si>
    <t>2261719540002656</t>
  </si>
  <si>
    <t>32285003181715</t>
  </si>
  <si>
    <t>893805052</t>
  </si>
  <si>
    <t>PQ6613.I8 C57 1983</t>
  </si>
  <si>
    <t>0                      PQ 6613000I  8                  C  57          1983</t>
  </si>
  <si>
    <t>Cita en el cementerio : novela / José María Gironella.</t>
  </si>
  <si>
    <t>Gironella, José María.</t>
  </si>
  <si>
    <t>Barcelona : Planeta, 1983.</t>
  </si>
  <si>
    <t>Colección contemporánea ; 27</t>
  </si>
  <si>
    <t>1998-11-03</t>
  </si>
  <si>
    <t>6981579:spa</t>
  </si>
  <si>
    <t>9934207</t>
  </si>
  <si>
    <t>991000284389702656</t>
  </si>
  <si>
    <t>2263414340002656</t>
  </si>
  <si>
    <t>9788432037573</t>
  </si>
  <si>
    <t>32285000636646</t>
  </si>
  <si>
    <t>893339440</t>
  </si>
  <si>
    <t>PQ6613.O4 T6813 1989</t>
  </si>
  <si>
    <t>0                      PQ 6613000O  4                  T  6813        1989</t>
  </si>
  <si>
    <t>Aphorisms / Ramon Gomez de la Serna ; selected and translated into English from the texts entitled Greguerias, with a critical introduction, by Miguel Gonzalez-Gerth.</t>
  </si>
  <si>
    <t>Gómez de la Serna, Ramón, 1888-1963.</t>
  </si>
  <si>
    <t>Pittsburgh, Pa. : Latin American Literary Review Press, 1989.</t>
  </si>
  <si>
    <t>Discoveries</t>
  </si>
  <si>
    <t>4160261372:eng</t>
  </si>
  <si>
    <t>20055732</t>
  </si>
  <si>
    <t>991004490039702656</t>
  </si>
  <si>
    <t>2272478470002656</t>
  </si>
  <si>
    <t>9780935480429</t>
  </si>
  <si>
    <t>32285005028823</t>
  </si>
  <si>
    <t>893500630</t>
  </si>
  <si>
    <t>PQ6613.O4 Z735 1986</t>
  </si>
  <si>
    <t>0                      PQ 6613000O  4                  Z  735         1986</t>
  </si>
  <si>
    <t>A labyrinth of imagery : Ramón Gómez de la Serna's novelas de la nebulosa / Miguel Gonzalez-Gerth.</t>
  </si>
  <si>
    <t>Gonzalez-Gerth, Miguel.</t>
  </si>
  <si>
    <t>London : Tamesis Books, c1986.</t>
  </si>
  <si>
    <t>Colección Támesis. Serie A, Monografías ; 120</t>
  </si>
  <si>
    <t>365328269:eng</t>
  </si>
  <si>
    <t>16751521</t>
  </si>
  <si>
    <t>991004489489702656</t>
  </si>
  <si>
    <t>2255027880002656</t>
  </si>
  <si>
    <t>9780729302340</t>
  </si>
  <si>
    <t>32285005028591</t>
  </si>
  <si>
    <t>893628186</t>
  </si>
  <si>
    <t>PQ6613.O4 Z95 1996</t>
  </si>
  <si>
    <t>0                      PQ 6613000O  4                  Z  95          1996</t>
  </si>
  <si>
    <t>Ramón y las vanguardias / Francisco Umbral ; praologo: Gonzalo Torrente Ballester.</t>
  </si>
  <si>
    <t>Umbral, Francisco.</t>
  </si>
  <si>
    <t>Madrid : Espasa Calpe, 1996.</t>
  </si>
  <si>
    <t>2a. ed.</t>
  </si>
  <si>
    <t>Colección Austral ; 383</t>
  </si>
  <si>
    <t>5090484354:spa</t>
  </si>
  <si>
    <t>38025665</t>
  </si>
  <si>
    <t>991004345809702656</t>
  </si>
  <si>
    <t>2263629490002656</t>
  </si>
  <si>
    <t>9788423973835</t>
  </si>
  <si>
    <t>32285005002349</t>
  </si>
  <si>
    <t>893687623</t>
  </si>
  <si>
    <t>PQ6613.O79 Z9</t>
  </si>
  <si>
    <t>0                      PQ 6613000O  79                 Z  9</t>
  </si>
  <si>
    <t>Juan Goytisolo.</t>
  </si>
  <si>
    <t>Schwartz, Kessel.</t>
  </si>
  <si>
    <t>New York : Twayne Publishers, [c1970]</t>
  </si>
  <si>
    <t>Twayne's world authors series, TWAS 104. Spain</t>
  </si>
  <si>
    <t>1243980:eng</t>
  </si>
  <si>
    <t>121907</t>
  </si>
  <si>
    <t>991000680919702656</t>
  </si>
  <si>
    <t>2262311460002656</t>
  </si>
  <si>
    <t>32285000636786</t>
  </si>
  <si>
    <t>893796903</t>
  </si>
  <si>
    <t>PQ6613.U5 A736 1974</t>
  </si>
  <si>
    <t>0                      PQ 6613000U  5                  A  736         1974</t>
  </si>
  <si>
    <t>Aire nuestro de Jorge Guillén / Ignacio Prat ; prólogo de José Manuel Blecua.</t>
  </si>
  <si>
    <t>Prat, Ignacio, 1945-</t>
  </si>
  <si>
    <t>Barcelona : Editorial Planeta, [1974]</t>
  </si>
  <si>
    <t>Ensayos Planeta de lingüística y crítica literaria ; 38</t>
  </si>
  <si>
    <t>5608853687:spa</t>
  </si>
  <si>
    <t>1293371</t>
  </si>
  <si>
    <t>991004522369702656</t>
  </si>
  <si>
    <t>2255821280002656</t>
  </si>
  <si>
    <t>9788432076282</t>
  </si>
  <si>
    <t>32285005048128</t>
  </si>
  <si>
    <t>893700347</t>
  </si>
  <si>
    <t>PQ6615.E57 Z61518 1978</t>
  </si>
  <si>
    <t>0                      PQ 6615000E  57                 Z  61518       1978</t>
  </si>
  <si>
    <t>Los temas poe'ticos de Miguel Herna'ndez / por Marie Chevallier ; traduccio'n de Arcadio Pardo.</t>
  </si>
  <si>
    <t>Chevallier, Marie.</t>
  </si>
  <si>
    <t>Madrid : Siglo Veintiuno de Espan~a, 1978.</t>
  </si>
  <si>
    <t>350302771:spa</t>
  </si>
  <si>
    <t>6040530</t>
  </si>
  <si>
    <t>991004311109702656</t>
  </si>
  <si>
    <t>2259313010002656</t>
  </si>
  <si>
    <t>9788432303180</t>
  </si>
  <si>
    <t>32285004909296</t>
  </si>
  <si>
    <t>893263195</t>
  </si>
  <si>
    <t>PQ6619.I4 Z615</t>
  </si>
  <si>
    <t>0                      PQ 6619000I  4                  Z  615</t>
  </si>
  <si>
    <t>Juan Ramón Jiménez / by Donald F. Fogelquist.</t>
  </si>
  <si>
    <t>Fogelquist, Donald F.</t>
  </si>
  <si>
    <t>Twayne's world authors series ; TWAS 379 : Spain</t>
  </si>
  <si>
    <t>1991-07-19</t>
  </si>
  <si>
    <t>3855604824:eng</t>
  </si>
  <si>
    <t>1582840</t>
  </si>
  <si>
    <t>991003829229702656</t>
  </si>
  <si>
    <t>2270794160002656</t>
  </si>
  <si>
    <t>9780805761801</t>
  </si>
  <si>
    <t>32285000676535</t>
  </si>
  <si>
    <t>893240654</t>
  </si>
  <si>
    <t>PQ6619.I4 Z656 1968</t>
  </si>
  <si>
    <t>0                      PQ 6619000I  4                  Z  656         1968</t>
  </si>
  <si>
    <t>El último Juan Ramón Jiménez : así se fueron los ríos / Ricardo Gullón.</t>
  </si>
  <si>
    <t>Madrid : Alfaguara, [1968]</t>
  </si>
  <si>
    <t>1. ed. española.</t>
  </si>
  <si>
    <t>Estudios de literatura contemporánea ; 2</t>
  </si>
  <si>
    <t>160647255:spa</t>
  </si>
  <si>
    <t>279638</t>
  </si>
  <si>
    <t>991004522869702656</t>
  </si>
  <si>
    <t>2261714420002656</t>
  </si>
  <si>
    <t>32285005048326</t>
  </si>
  <si>
    <t>893706532</t>
  </si>
  <si>
    <t>PQ6621.A38 Z7</t>
  </si>
  <si>
    <t>0                      PQ 6621000A  38                 Z  7</t>
  </si>
  <si>
    <t>La novelística de Carmen Laforet.</t>
  </si>
  <si>
    <t>Illanes Adaro, Graciela.</t>
  </si>
  <si>
    <t>[Madrid] Gredos [1971]</t>
  </si>
  <si>
    <t>2004-04-27</t>
  </si>
  <si>
    <t>1997-08-27</t>
  </si>
  <si>
    <t>349264071:spa</t>
  </si>
  <si>
    <t>316230</t>
  </si>
  <si>
    <t>991002297149702656</t>
  </si>
  <si>
    <t>2269563560002656</t>
  </si>
  <si>
    <t>32285002943503</t>
  </si>
  <si>
    <t>893785976</t>
  </si>
  <si>
    <t>PQ6621.A38 Z73</t>
  </si>
  <si>
    <t>0                      PQ 6621000A  38                 Z  73</t>
  </si>
  <si>
    <t>Carmen Laforet / by Roberta Johnson.</t>
  </si>
  <si>
    <t>Johnson, Roberta, 1942-</t>
  </si>
  <si>
    <t>Twayne's world authors series ; TWAS 601 : Spain</t>
  </si>
  <si>
    <t>2004-04-26</t>
  </si>
  <si>
    <t>1991-07-18</t>
  </si>
  <si>
    <t>24374308:eng</t>
  </si>
  <si>
    <t>6788802</t>
  </si>
  <si>
    <t>991005039639702656</t>
  </si>
  <si>
    <t>2263507520002656</t>
  </si>
  <si>
    <t>9780805764437</t>
  </si>
  <si>
    <t>32285000676584</t>
  </si>
  <si>
    <t>893594374</t>
  </si>
  <si>
    <t>PQ6623.A3 H8</t>
  </si>
  <si>
    <t>0                      PQ 6623000A  3                  H  8</t>
  </si>
  <si>
    <t>Humor y pensamiento de Antonio Machado en la metafísica poética [por] Pablo de A. Cobos.</t>
  </si>
  <si>
    <t>Andrés Cobos, Pablo de, 1899-1973.</t>
  </si>
  <si>
    <t>Madrid, Insula, 1963.</t>
  </si>
  <si>
    <t>1328671:spa</t>
  </si>
  <si>
    <t>183308</t>
  </si>
  <si>
    <t>991001096079702656</t>
  </si>
  <si>
    <t>2267685960002656</t>
  </si>
  <si>
    <t>32285002943594</t>
  </si>
  <si>
    <t>893413949</t>
  </si>
  <si>
    <t>PQ6623.A3 Z785 1981</t>
  </si>
  <si>
    <t>0                      PQ 6623000A  3                  Z  785         1981</t>
  </si>
  <si>
    <t>Una España joven en la poesía de Antonio Machado / Michael P. Predmore.</t>
  </si>
  <si>
    <t>Predmore, Michael P.</t>
  </si>
  <si>
    <t>Madrid : Insula, 1981.</t>
  </si>
  <si>
    <t>348024376:spa</t>
  </si>
  <si>
    <t>8473527</t>
  </si>
  <si>
    <t>991004508259702656</t>
  </si>
  <si>
    <t>2259419770002656</t>
  </si>
  <si>
    <t>9788471851390</t>
  </si>
  <si>
    <t>32285005029607</t>
  </si>
  <si>
    <t>893259798</t>
  </si>
  <si>
    <t>PQ6623.A3 Z88 1986</t>
  </si>
  <si>
    <t>0                      PQ 6623000A  3                  Z  88          1986</t>
  </si>
  <si>
    <t>Prosa/poesia "La Tierra de Alvargonzalez" de Antonio Machado : estudio analítico-cuantitativo de las leyendas / Josep M. Sola-Solé.</t>
  </si>
  <si>
    <t>Sola-Solé, Josep M. (Josep María), 1924-2003.</t>
  </si>
  <si>
    <t>Barcelona : Puvill Libros, 1986.</t>
  </si>
  <si>
    <t>Biblioteca universitaria Puvill. Ediciones analítico-cuantitativas ; 3</t>
  </si>
  <si>
    <t>1999-02-27</t>
  </si>
  <si>
    <t>918873775:spa</t>
  </si>
  <si>
    <t>16703948</t>
  </si>
  <si>
    <t>991001134579702656</t>
  </si>
  <si>
    <t>2256171960002656</t>
  </si>
  <si>
    <t>9788485202478</t>
  </si>
  <si>
    <t>32285000676816</t>
  </si>
  <si>
    <t>893413981</t>
  </si>
  <si>
    <t>PQ6623.A34 D8</t>
  </si>
  <si>
    <t>0                      PQ 6623000A  34                 D  8</t>
  </si>
  <si>
    <t>La duquesa de Benamejí. La prima Fernanda. Juan de Mañara.</t>
  </si>
  <si>
    <t>Machado, Manuel, 1874-1947.</t>
  </si>
  <si>
    <t>Buenos Aires, México, Espasa-Calpe argentina, s.a. [1942]</t>
  </si>
  <si>
    <t>Colección Austral ; 260</t>
  </si>
  <si>
    <t>21591625:spa</t>
  </si>
  <si>
    <t>6932297</t>
  </si>
  <si>
    <t>991005062489702656</t>
  </si>
  <si>
    <t>2259341400002656</t>
  </si>
  <si>
    <t>32285002943628</t>
  </si>
  <si>
    <t>893430779</t>
  </si>
  <si>
    <t>PQ6623.A745 T4 1987</t>
  </si>
  <si>
    <t>0                      PQ 6623000A  745                T  4           1987</t>
  </si>
  <si>
    <t>Teniente Bravo / Juan Marsé.</t>
  </si>
  <si>
    <t>Marsé, Juan, 1933-</t>
  </si>
  <si>
    <t>Barcelona : Seix Barral, 1987.</t>
  </si>
  <si>
    <t>1992-03-17</t>
  </si>
  <si>
    <t>1990-06-22</t>
  </si>
  <si>
    <t>11373799:spa</t>
  </si>
  <si>
    <t>16074525</t>
  </si>
  <si>
    <t>991001077159702656</t>
  </si>
  <si>
    <t>2257144350002656</t>
  </si>
  <si>
    <t>9788432205613</t>
  </si>
  <si>
    <t>32285000179977</t>
  </si>
  <si>
    <t>893596168</t>
  </si>
  <si>
    <t>PQ6623.A7657 C8</t>
  </si>
  <si>
    <t>0                      PQ 6623000A  7657               C  8</t>
  </si>
  <si>
    <t>El cuarto de atrás / Carmen Martín Gaite.</t>
  </si>
  <si>
    <t>Martín Gaite, Carmen.</t>
  </si>
  <si>
    <t>Barcelona : Ediciones Destino, 1978.</t>
  </si>
  <si>
    <t>Colección Ancora y delfín ; v. 530</t>
  </si>
  <si>
    <t>2005-07-18</t>
  </si>
  <si>
    <t>1994-11-07</t>
  </si>
  <si>
    <t>19976943:spa</t>
  </si>
  <si>
    <t>4486578</t>
  </si>
  <si>
    <t>991004644269702656</t>
  </si>
  <si>
    <t>2265340960002656</t>
  </si>
  <si>
    <t>9788423309603</t>
  </si>
  <si>
    <t>32285001964898</t>
  </si>
  <si>
    <t>893888993</t>
  </si>
  <si>
    <t>PQ6623.A816 Z597</t>
  </si>
  <si>
    <t>0                      PQ 6623000A  816                Z  597</t>
  </si>
  <si>
    <t>Azorín (José Martínez Ruiz) / by Kathleen M. Glenn.</t>
  </si>
  <si>
    <t>Glenn, Kathleen Mary.</t>
  </si>
  <si>
    <t>Twayne's world authors series ; TWAS 604 : Spain</t>
  </si>
  <si>
    <t>1992-10-20</t>
  </si>
  <si>
    <t>461497:eng</t>
  </si>
  <si>
    <t>6762446</t>
  </si>
  <si>
    <t>991005037029702656</t>
  </si>
  <si>
    <t>2262939110002656</t>
  </si>
  <si>
    <t>9780805764468</t>
  </si>
  <si>
    <t>32285000676923</t>
  </si>
  <si>
    <t>893319924</t>
  </si>
  <si>
    <t>PQ6623.A816 Z63</t>
  </si>
  <si>
    <t>0                      PQ 6623000A  816                Z  63</t>
  </si>
  <si>
    <t>Homenaje a Azorín / edited by Carlos Mellizo.</t>
  </si>
  <si>
    <t>[Laramie] : University of Wyoming, Dept. of Modern and Classical Languages, 1973.</t>
  </si>
  <si>
    <t>wyu</t>
  </si>
  <si>
    <t>1992-11-12</t>
  </si>
  <si>
    <t>5091271087:spa</t>
  </si>
  <si>
    <t>887639</t>
  </si>
  <si>
    <t>991003354649702656</t>
  </si>
  <si>
    <t>2257840670002656</t>
  </si>
  <si>
    <t>32285001363117</t>
  </si>
  <si>
    <t>893899904</t>
  </si>
  <si>
    <t>PQ6623.A816 Z88 1971</t>
  </si>
  <si>
    <t>0                      PQ 6623000A  816                Z  88          1971</t>
  </si>
  <si>
    <t>Azorain / Jose Ma. Valverde.</t>
  </si>
  <si>
    <t>Valverde, José María, 1926-</t>
  </si>
  <si>
    <t>Barcelona : Planeta, [1971]</t>
  </si>
  <si>
    <t>[1st ed.].</t>
  </si>
  <si>
    <t>Ensayos Planeta de lingeuistica y craitica literaria</t>
  </si>
  <si>
    <t>2004-08-02</t>
  </si>
  <si>
    <t>1871970:spa</t>
  </si>
  <si>
    <t>889929</t>
  </si>
  <si>
    <t>991004332999702656</t>
  </si>
  <si>
    <t>2255224870002656</t>
  </si>
  <si>
    <t>32285004925300</t>
  </si>
  <si>
    <t>893901123</t>
  </si>
  <si>
    <t>PQ6623.U34 Z9</t>
  </si>
  <si>
    <t>0                      PQ 6623000U  34                 Z  9</t>
  </si>
  <si>
    <t>Gabriel Celaya / by Sharon Keefe Ugalde.</t>
  </si>
  <si>
    <t>Ugalde, Sharon Keefe.</t>
  </si>
  <si>
    <t>Boston : Twayne Publishers, c1978.</t>
  </si>
  <si>
    <t>Twayne's world authors series ; TWAS 483 : Spain</t>
  </si>
  <si>
    <t>1999-03-14</t>
  </si>
  <si>
    <t>10227689648:eng</t>
  </si>
  <si>
    <t>3516830</t>
  </si>
  <si>
    <t>991004453689702656</t>
  </si>
  <si>
    <t>2272369590002656</t>
  </si>
  <si>
    <t>9780805763249</t>
  </si>
  <si>
    <t>32285000677012</t>
  </si>
  <si>
    <t>893800983</t>
  </si>
  <si>
    <t>PQ6627.R8 M4 1970</t>
  </si>
  <si>
    <t>0                      PQ 6627000R  8                  M  4           1970</t>
  </si>
  <si>
    <t>Meditaciones del Quijote : e Ideas sobre la novela.</t>
  </si>
  <si>
    <t>Ortega y Gasset, José, 1883-1955.</t>
  </si>
  <si>
    <t>Madrid, Revista de Occidente [1970]</t>
  </si>
  <si>
    <t>8. ed. en castellano.</t>
  </si>
  <si>
    <t>Colección El arquero</t>
  </si>
  <si>
    <t>2004-08-05</t>
  </si>
  <si>
    <t>3768441972:spa</t>
  </si>
  <si>
    <t>40322096</t>
  </si>
  <si>
    <t>991004341319702656</t>
  </si>
  <si>
    <t>2271714190002656</t>
  </si>
  <si>
    <t>32285004929039</t>
  </si>
  <si>
    <t>893325246</t>
  </si>
  <si>
    <t>PQ6629.A5 Z665 1995</t>
  </si>
  <si>
    <t>0                      PQ 6629000A  5                  Z  665         1995</t>
  </si>
  <si>
    <t>Spain's forgotten novelist : Armando Palacio Valdés, 1853-1938 / Brian J. Dendle.</t>
  </si>
  <si>
    <t>Dendle, Brian J., 1936-</t>
  </si>
  <si>
    <t>Lewisburg [Pa.] : Bucknell University Press ; London : Associated University Presses, c1995.</t>
  </si>
  <si>
    <t>2004-09-16</t>
  </si>
  <si>
    <t>1995-11-03</t>
  </si>
  <si>
    <t>32746804:eng</t>
  </si>
  <si>
    <t>30814049</t>
  </si>
  <si>
    <t>991002370919702656</t>
  </si>
  <si>
    <t>2266475200002656</t>
  </si>
  <si>
    <t>9780838752944</t>
  </si>
  <si>
    <t>32285002100732</t>
  </si>
  <si>
    <t>893786053</t>
  </si>
  <si>
    <t>PQ6629.E64 Z84</t>
  </si>
  <si>
    <t>0                      PQ 6629000E  64                 Z  84</t>
  </si>
  <si>
    <t>Ramón Pérez de Ayala / by Marguerite C. Rand.</t>
  </si>
  <si>
    <t>Rand, Marguerite C.</t>
  </si>
  <si>
    <t>Twayne's world authors series, TWAS 138: Spain</t>
  </si>
  <si>
    <t>2003-03-30</t>
  </si>
  <si>
    <t>9170877933:eng</t>
  </si>
  <si>
    <t>238594</t>
  </si>
  <si>
    <t>991001887969702656</t>
  </si>
  <si>
    <t>2255412940002656</t>
  </si>
  <si>
    <t>32285000677087</t>
  </si>
  <si>
    <t>893226200</t>
  </si>
  <si>
    <t>PQ6629.R5 S4 1986</t>
  </si>
  <si>
    <t>0                      PQ 6629000R  5                  S  4           1986</t>
  </si>
  <si>
    <t>Secretum / Antonio Prieto.</t>
  </si>
  <si>
    <t>Prieto, Antonio.</t>
  </si>
  <si>
    <t>Barcelona, España : Planeta, 1986.</t>
  </si>
  <si>
    <t>1a ed. en Colección Narrativa.</t>
  </si>
  <si>
    <t>Narrativa ; 82</t>
  </si>
  <si>
    <t>1993-12-04</t>
  </si>
  <si>
    <t>5090516728:spa</t>
  </si>
  <si>
    <t>14238052</t>
  </si>
  <si>
    <t>991000925009702656</t>
  </si>
  <si>
    <t>2264332170002656</t>
  </si>
  <si>
    <t>9788432071843</t>
  </si>
  <si>
    <t>32285000176296</t>
  </si>
  <si>
    <t>893333901</t>
  </si>
  <si>
    <t>PQ6629.R5 T7 1983</t>
  </si>
  <si>
    <t>0                      PQ 6629000R  5                  T  7           1983</t>
  </si>
  <si>
    <t>Tres pisadas de hombre / Antonio Prieto.</t>
  </si>
  <si>
    <t>Barcelona : Planeta, 1983, c1955.</t>
  </si>
  <si>
    <t>2a ed. en Colección Popular.</t>
  </si>
  <si>
    <t>Colección popular</t>
  </si>
  <si>
    <t>5090556411:spa</t>
  </si>
  <si>
    <t>12566747</t>
  </si>
  <si>
    <t>991000708919702656</t>
  </si>
  <si>
    <t>2260589090002656</t>
  </si>
  <si>
    <t>32285000176320</t>
  </si>
  <si>
    <t>893496486</t>
  </si>
  <si>
    <t>PQ6631.U49 E6 1964</t>
  </si>
  <si>
    <t>0                      PQ 6631000U  49                 E  6           1964</t>
  </si>
  <si>
    <t>En vida / Fernando Quinones.</t>
  </si>
  <si>
    <t>Quiñones, Fernando, 1930-1998.</t>
  </si>
  <si>
    <t>Madrid : Ediciones Cultura Hispánica, 1964.</t>
  </si>
  <si>
    <t>Colección poesía de España y América; la encina y el mar, 28</t>
  </si>
  <si>
    <t>372053758:spa</t>
  </si>
  <si>
    <t>2549085</t>
  </si>
  <si>
    <t>991004509139702656</t>
  </si>
  <si>
    <t>2266694350002656</t>
  </si>
  <si>
    <t>32285005029268</t>
  </si>
  <si>
    <t>893876192</t>
  </si>
  <si>
    <t>PQ6633.O37 D31 1998</t>
  </si>
  <si>
    <t>0                      PQ 6633000O  37                 D  31          1998</t>
  </si>
  <si>
    <t>Lady of the dawn : a play in four acts / by Alejandro Casona ; translated by Donald B. Gibbs.</t>
  </si>
  <si>
    <t>Casona, Alejandro, 1903-1965.</t>
  </si>
  <si>
    <t>Rock Hill, South Carolina : Spanish Literature Publications Co., 1998.</t>
  </si>
  <si>
    <t>2003-01-30</t>
  </si>
  <si>
    <t>2001-05-14</t>
  </si>
  <si>
    <t>350163958:eng</t>
  </si>
  <si>
    <t>59128753</t>
  </si>
  <si>
    <t>991003533229702656</t>
  </si>
  <si>
    <t>2263210900002656</t>
  </si>
  <si>
    <t>9780938972297</t>
  </si>
  <si>
    <t>32285003753315</t>
  </si>
  <si>
    <t>893623591</t>
  </si>
  <si>
    <t>PQ6635.A32 Z7 1971</t>
  </si>
  <si>
    <t>0                      PQ 6635000A  32                 Z  7           1971</t>
  </si>
  <si>
    <t>La poesaia de Pedro Salinas / Carlos Feal Deibe.</t>
  </si>
  <si>
    <t>Feal Deibe, Carlos.</t>
  </si>
  <si>
    <t>Madrid : Gredos, [1971]</t>
  </si>
  <si>
    <t>Biblioteca romaanica hispaanica. 2. Estudios y ensayos ; 83</t>
  </si>
  <si>
    <t>349264048:spa</t>
  </si>
  <si>
    <t>3974426</t>
  </si>
  <si>
    <t>991004339499702656</t>
  </si>
  <si>
    <t>2266660840002656</t>
  </si>
  <si>
    <t>32285004929385</t>
  </si>
  <si>
    <t>893788581</t>
  </si>
  <si>
    <t>PQ6635.A32 Z72 2000</t>
  </si>
  <si>
    <t>0                      PQ 6635000A  32                 Z  72          2000</t>
  </si>
  <si>
    <t>Poesaia y narrativa de Pedro Salinas / Carlos Feal Deibe.</t>
  </si>
  <si>
    <t>Madrid : Gredos, 2000.</t>
  </si>
  <si>
    <t>Biblioteca romaanica hispaanica. II, Estudios y ensayos ; 417</t>
  </si>
  <si>
    <t>3856503731:spa</t>
  </si>
  <si>
    <t>43860151</t>
  </si>
  <si>
    <t>991004345789702656</t>
  </si>
  <si>
    <t>2256676130002656</t>
  </si>
  <si>
    <t>9788424922535</t>
  </si>
  <si>
    <t>32285005002372</t>
  </si>
  <si>
    <t>893875989</t>
  </si>
  <si>
    <t>PQ6635.A362 S6 1985</t>
  </si>
  <si>
    <t>0                      PQ 6635000A  362                S  6           1985</t>
  </si>
  <si>
    <t>La sonrisa etrusca / José Luis Sampedro.</t>
  </si>
  <si>
    <t>Sampedro, José Luis, 1917-2013.</t>
  </si>
  <si>
    <t>Madrid : Ediciones Alfaguara, 1985.</t>
  </si>
  <si>
    <t>Literatura Alfaguara ; 165</t>
  </si>
  <si>
    <t>2005-11-21</t>
  </si>
  <si>
    <t>348148849:spa</t>
  </si>
  <si>
    <t>14713096</t>
  </si>
  <si>
    <t>991000708889702656</t>
  </si>
  <si>
    <t>2260505640002656</t>
  </si>
  <si>
    <t>9788420421803</t>
  </si>
  <si>
    <t>32285000677236</t>
  </si>
  <si>
    <t>893225229</t>
  </si>
  <si>
    <t>PQ6635.E65 R4 1978</t>
  </si>
  <si>
    <t>0                      PQ 6635000E  65                 R  4           1978</t>
  </si>
  <si>
    <t>Réquiem por un campesino español / Ramón J. Sender.</t>
  </si>
  <si>
    <t>Sender, Ramón José, 1901-1982.</t>
  </si>
  <si>
    <t>Colección Ancora y delfín ; v. 460</t>
  </si>
  <si>
    <t>1997-09-08</t>
  </si>
  <si>
    <t>134073165:spa</t>
  </si>
  <si>
    <t>5020220</t>
  </si>
  <si>
    <t>991004763879702656</t>
  </si>
  <si>
    <t>2258487510002656</t>
  </si>
  <si>
    <t>9788423309146</t>
  </si>
  <si>
    <t>32285000677277</t>
  </si>
  <si>
    <t>893895459</t>
  </si>
  <si>
    <t>PQ6637.U3 E8 1979</t>
  </si>
  <si>
    <t>0                      PQ 6637000U  3                  E  8           1979</t>
  </si>
  <si>
    <t>Los españoles con el culo al aire / Mariano Tudela.</t>
  </si>
  <si>
    <t>Tudela, Mariano.</t>
  </si>
  <si>
    <t>Madrid : Ediciones Albia, 1979.</t>
  </si>
  <si>
    <t>Albia nova ; 9</t>
  </si>
  <si>
    <t>1996-08-29</t>
  </si>
  <si>
    <t>376203454:spa</t>
  </si>
  <si>
    <t>20217435</t>
  </si>
  <si>
    <t>991004958149702656</t>
  </si>
  <si>
    <t>2271309910002656</t>
  </si>
  <si>
    <t>9788474362091</t>
  </si>
  <si>
    <t>32285000677343</t>
  </si>
  <si>
    <t>893612962</t>
  </si>
  <si>
    <t>PQ6639.N3 Z4</t>
  </si>
  <si>
    <t>0                      PQ 6639000N  3                  Z  4</t>
  </si>
  <si>
    <t>La ontologia de Miguel de Unamumo / [Versión castellana de Cesáreo Goicoechea.</t>
  </si>
  <si>
    <t>Meyer, François, 1912-2004.</t>
  </si>
  <si>
    <t>[Madrid] : Editorial Gredos [1962]</t>
  </si>
  <si>
    <t>Manuales universitarios, 9</t>
  </si>
  <si>
    <t>1999-02-07</t>
  </si>
  <si>
    <t>1997-10-01</t>
  </si>
  <si>
    <t>368028627:spa</t>
  </si>
  <si>
    <t>576347</t>
  </si>
  <si>
    <t>991003008939702656</t>
  </si>
  <si>
    <t>2257267660002656</t>
  </si>
  <si>
    <t>32285003236196</t>
  </si>
  <si>
    <t>893434559</t>
  </si>
  <si>
    <t>PQ6639.N3 Z612 1970</t>
  </si>
  <si>
    <t>0                      PQ 6639000N  3                  Z  612         1970</t>
  </si>
  <si>
    <t>Unamuno y América / Julio Cesar Chaves ; prólogo: Joaquín Ruiz-Giménez.</t>
  </si>
  <si>
    <t>Chaves, Julio César.</t>
  </si>
  <si>
    <t>Madrid : Ediciones Cultura Hispánica, 1970.</t>
  </si>
  <si>
    <t>1428408:spa</t>
  </si>
  <si>
    <t>500404</t>
  </si>
  <si>
    <t>991004490989702656</t>
  </si>
  <si>
    <t>2255324180002656</t>
  </si>
  <si>
    <t>32285005029003</t>
  </si>
  <si>
    <t>893513295</t>
  </si>
  <si>
    <t>PQ6639.N3 Z79</t>
  </si>
  <si>
    <t>0                      PQ 6639000N  3                  Z  79</t>
  </si>
  <si>
    <t>Miguel de Unamuno.</t>
  </si>
  <si>
    <t>Marías, Julián, 1914-2005.</t>
  </si>
  <si>
    <t>Madrid, Espasa-Calpe, s. a., 1943.</t>
  </si>
  <si>
    <t>1943</t>
  </si>
  <si>
    <t>196622259:spa</t>
  </si>
  <si>
    <t>39535802</t>
  </si>
  <si>
    <t>991004735249702656</t>
  </si>
  <si>
    <t>2267461770002656</t>
  </si>
  <si>
    <t>32285003236261</t>
  </si>
  <si>
    <t>893344190</t>
  </si>
  <si>
    <t>PQ6639.N3 Z8758</t>
  </si>
  <si>
    <t>0                      PQ 6639000N  3                  Z  8758</t>
  </si>
  <si>
    <t>Unamuno: creator and creation. Edited by José Rubia Barcia and M. A. Zeitlin.</t>
  </si>
  <si>
    <t>Berkeley, University of California Press, 1967.</t>
  </si>
  <si>
    <t>1499318:eng</t>
  </si>
  <si>
    <t>347325</t>
  </si>
  <si>
    <t>991002431599702656</t>
  </si>
  <si>
    <t>2272430370002656</t>
  </si>
  <si>
    <t>32285003137485</t>
  </si>
  <si>
    <t>893409090</t>
  </si>
  <si>
    <t>PQ6641.A365 A6 1991</t>
  </si>
  <si>
    <t>0                      PQ 6641000A  365                A  6           1991</t>
  </si>
  <si>
    <t>Variaciones sobre el paajaro y la red, precedido de, La piedra y el centro / Josae Angel Valente.</t>
  </si>
  <si>
    <t>Valente, Josae Angel.</t>
  </si>
  <si>
    <t>Barcelona : Tusquets, 1991.</t>
  </si>
  <si>
    <t>Marginales ; 114</t>
  </si>
  <si>
    <t>427287072:spa</t>
  </si>
  <si>
    <t>25663609</t>
  </si>
  <si>
    <t>991004345539702656</t>
  </si>
  <si>
    <t>2267069600002656</t>
  </si>
  <si>
    <t>9788472233898</t>
  </si>
  <si>
    <t>32285004989306</t>
  </si>
  <si>
    <t>893353346</t>
  </si>
  <si>
    <t>PQ6641.A365 F5 1995</t>
  </si>
  <si>
    <t>0                      PQ 6641000A  365                F  5           1995</t>
  </si>
  <si>
    <t>El fin de la edad de plata ; seguido de Nueve enunciaciones / Josae Angel Valente.</t>
  </si>
  <si>
    <t>Barcelona : Tusquets Editores, 1995.</t>
  </si>
  <si>
    <t>Marginales ; 143</t>
  </si>
  <si>
    <t>502735417:spa</t>
  </si>
  <si>
    <t>36671597</t>
  </si>
  <si>
    <t>991004345459702656</t>
  </si>
  <si>
    <t>2262205480002656</t>
  </si>
  <si>
    <t>9788472239265</t>
  </si>
  <si>
    <t>32285004989298</t>
  </si>
  <si>
    <t>893875988</t>
  </si>
  <si>
    <t>PQ6641.A47 L8393 1969</t>
  </si>
  <si>
    <t>0                      PQ 6641000A  47                 L  8393        1969</t>
  </si>
  <si>
    <t>La realidad esperpéntica : (aproximación a Luces de Bohemia) / Alonso Zamora Vicente.</t>
  </si>
  <si>
    <t>Zamora Vicente, Alonso.</t>
  </si>
  <si>
    <t>Madrid : Editorial Gredos, [1969]</t>
  </si>
  <si>
    <t>Biblioteca románica hispánica. 2. Estudios y ensayos, 123</t>
  </si>
  <si>
    <t>9243639862:spa</t>
  </si>
  <si>
    <t>223468</t>
  </si>
  <si>
    <t>991004508459702656</t>
  </si>
  <si>
    <t>2264045400002656</t>
  </si>
  <si>
    <t>32285005029516</t>
  </si>
  <si>
    <t>893700333</t>
  </si>
  <si>
    <t>PQ6641.A47 Z563 1971</t>
  </si>
  <si>
    <t>0                      PQ 6641000A  47                 Z  563         1971</t>
  </si>
  <si>
    <t>Valle-Inclán : introducciaon a su obra / Manuel Bermejo Marcos.</t>
  </si>
  <si>
    <t>Bermejo Marcos, Manuel.</t>
  </si>
  <si>
    <t>Madrid : Anaya, 1971.</t>
  </si>
  <si>
    <t>1561024:spa</t>
  </si>
  <si>
    <t>24830151</t>
  </si>
  <si>
    <t>991004332289702656</t>
  </si>
  <si>
    <t>2254702800002656</t>
  </si>
  <si>
    <t>32285004925292</t>
  </si>
  <si>
    <t>893618537</t>
  </si>
  <si>
    <t>PQ6641.A47 Z57 1987</t>
  </si>
  <si>
    <t>0                      PQ 6641000A  47                 Z  57          1987</t>
  </si>
  <si>
    <t>Visión del esperpento : teoría y práctica en los esperpentos de Valle-Inclán / Rodolfo Cardona y Anthony N. Zahareas.</t>
  </si>
  <si>
    <t>Cardona, Rodolfo, 1924-</t>
  </si>
  <si>
    <t>Madrid : Editorial Castalia, c1987.</t>
  </si>
  <si>
    <t>2a ed. corr. y aumentada.</t>
  </si>
  <si>
    <t>Literatura y sociedad ; 29</t>
  </si>
  <si>
    <t>2005-08-08</t>
  </si>
  <si>
    <t>1723209:spa</t>
  </si>
  <si>
    <t>19707996</t>
  </si>
  <si>
    <t>991004345399702656</t>
  </si>
  <si>
    <t>2264526510002656</t>
  </si>
  <si>
    <t>9788470393945</t>
  </si>
  <si>
    <t>32285005099584</t>
  </si>
  <si>
    <t>893436178</t>
  </si>
  <si>
    <t>PQ6641.A47 Z782 1994</t>
  </si>
  <si>
    <t>0                      PQ 6641000A  47                 Z  782         1994</t>
  </si>
  <si>
    <t>Ramón María del Valle-Inclán : questions of gender / edited by Carol Maier and Roberta L. Salper.</t>
  </si>
  <si>
    <t>Lewisburg [Pa.] : Bucknell University Press ; London : Associated University Presses, c1994.</t>
  </si>
  <si>
    <t>1995-11-02</t>
  </si>
  <si>
    <t>906247100:eng</t>
  </si>
  <si>
    <t>29359941</t>
  </si>
  <si>
    <t>991002264109702656</t>
  </si>
  <si>
    <t>2266516330002656</t>
  </si>
  <si>
    <t>9780838752616</t>
  </si>
  <si>
    <t>32285002100385</t>
  </si>
  <si>
    <t>893226634</t>
  </si>
  <si>
    <t>PQ6651.A223 L5 1996</t>
  </si>
  <si>
    <t>0                      PQ 6651000A  223                L  5           1996</t>
  </si>
  <si>
    <t>Libro de buen folgar / Manolus Abbat, Iulius Agnus Nepote y otros troveros del mester de goliardía ; edición de Julio Borrego Nieto, Manuel María Pérez López.</t>
  </si>
  <si>
    <t>Abbat, Manolus.</t>
  </si>
  <si>
    <t>Salamanca, España : Ediciones Universidad de Salamanca, 1996.</t>
  </si>
  <si>
    <t>Moria ; 1</t>
  </si>
  <si>
    <t>479242702:spa</t>
  </si>
  <si>
    <t>38504120</t>
  </si>
  <si>
    <t>991004508069702656</t>
  </si>
  <si>
    <t>2266794060002656</t>
  </si>
  <si>
    <t>9788474819793</t>
  </si>
  <si>
    <t>32285005029664</t>
  </si>
  <si>
    <t>893599916</t>
  </si>
  <si>
    <t>PQ6652.A787 A83 1999</t>
  </si>
  <si>
    <t>0                      PQ 6652000A  787                A  83          1999</t>
  </si>
  <si>
    <t>Amanecer con hormigas en la boca / Miguel Barroso.</t>
  </si>
  <si>
    <t>Barroso, Miguel A.</t>
  </si>
  <si>
    <t>Madrid : Editorial Debate, 1999.</t>
  </si>
  <si>
    <t>Literatura</t>
  </si>
  <si>
    <t>2000-11-09</t>
  </si>
  <si>
    <t>418123:spa</t>
  </si>
  <si>
    <t>41403031</t>
  </si>
  <si>
    <t>991003340419702656</t>
  </si>
  <si>
    <t>2270435540002656</t>
  </si>
  <si>
    <t>9788483061664</t>
  </si>
  <si>
    <t>32285004265129</t>
  </si>
  <si>
    <t>893410197</t>
  </si>
  <si>
    <t>PQ6652.A82 C6 1979</t>
  </si>
  <si>
    <t>0                      PQ 6652000A  82                 C  6           1979</t>
  </si>
  <si>
    <t>Constitución sobre la tierra / Claudio Bastida.</t>
  </si>
  <si>
    <t>Bastida, Claudio, 1934-</t>
  </si>
  <si>
    <t>Madrid : Heliodoro, [1979]</t>
  </si>
  <si>
    <t>2002-08-27</t>
  </si>
  <si>
    <t>42948891:spa</t>
  </si>
  <si>
    <t>8548624</t>
  </si>
  <si>
    <t>991003870199702656</t>
  </si>
  <si>
    <t>2272651550002656</t>
  </si>
  <si>
    <t>9788485381067</t>
  </si>
  <si>
    <t>32285004644927</t>
  </si>
  <si>
    <t>893617885</t>
  </si>
  <si>
    <t>PQ6652.O56 S46 1985</t>
  </si>
  <si>
    <t>0                      PQ 6652000O  56                 S  46          1985</t>
  </si>
  <si>
    <t>Sensaciones / Gregorio Bonmatí.</t>
  </si>
  <si>
    <t>Bonmatí, Gregorio, 1943-</t>
  </si>
  <si>
    <t>[Venezuela] : Con Textos, [1985]</t>
  </si>
  <si>
    <t>Colección Plural de poesía ; no. 4</t>
  </si>
  <si>
    <t>33445590:spa</t>
  </si>
  <si>
    <t>30994842</t>
  </si>
  <si>
    <t>991003816949702656</t>
  </si>
  <si>
    <t>2258919260002656</t>
  </si>
  <si>
    <t>9789806014046</t>
  </si>
  <si>
    <t>32285004461157</t>
  </si>
  <si>
    <t>893794087</t>
  </si>
  <si>
    <t>PQ6655.T84 B43 2001</t>
  </si>
  <si>
    <t>0                      PQ 6655000T  84                 B  43          2001</t>
  </si>
  <si>
    <t>Beatriz y los cuerpos celestes : una novela rosa / Lucía Etxebarría.</t>
  </si>
  <si>
    <t>Etxebarría, Lucía, 1966-</t>
  </si>
  <si>
    <t>Barcelona : Ediciones Destino, 2001.</t>
  </si>
  <si>
    <t>Booket ; 2004</t>
  </si>
  <si>
    <t>3955982736:spa</t>
  </si>
  <si>
    <t>48647064</t>
  </si>
  <si>
    <t>991003772319702656</t>
  </si>
  <si>
    <t>2255418000002656</t>
  </si>
  <si>
    <t>9788423333172</t>
  </si>
  <si>
    <t>32285004484779</t>
  </si>
  <si>
    <t>893429197</t>
  </si>
  <si>
    <t>PQ6656.E72138 H4713 2004</t>
  </si>
  <si>
    <t>0                      PQ 6656000E  72138              H  4713        2004</t>
  </si>
  <si>
    <t>Blood sisters = Hermanas de sangre / Cristina Fernández Cubas ; translated from the Spanish by Karen Denise Dinicola.</t>
  </si>
  <si>
    <t>Fernández Cubas, Cristina, 1945-</t>
  </si>
  <si>
    <t>New Brunswick, N.J. : Estreno Plays, c2004.</t>
  </si>
  <si>
    <t>Estreno Collection of contemporary Spanish plays ; 26</t>
  </si>
  <si>
    <t>821295:eng</t>
  </si>
  <si>
    <t>56687379</t>
  </si>
  <si>
    <t>991004497409702656</t>
  </si>
  <si>
    <t>2269994350002656</t>
  </si>
  <si>
    <t>9781888463187</t>
  </si>
  <si>
    <t>32285005040679</t>
  </si>
  <si>
    <t>893901292</t>
  </si>
  <si>
    <t>PQ6657.O9 A8432 2000</t>
  </si>
  <si>
    <t>0                      PQ 6657000O  9                  A  8432        2000</t>
  </si>
  <si>
    <t>Approximations to Luis Goytisolo's Antagonía / Pamela J. DeWeese.</t>
  </si>
  <si>
    <t>DeWeese, Pamela J., 1951-</t>
  </si>
  <si>
    <t>Wor(l)ds of change, 1072-334x ; vol. 50</t>
  </si>
  <si>
    <t>33091291:eng</t>
  </si>
  <si>
    <t>43859515</t>
  </si>
  <si>
    <t>991003479019702656</t>
  </si>
  <si>
    <t>2268015750002656</t>
  </si>
  <si>
    <t>9780820450278</t>
  </si>
  <si>
    <t>32285004299987</t>
  </si>
  <si>
    <t>893705256</t>
  </si>
  <si>
    <t>PQ6658.E693 G6 1989</t>
  </si>
  <si>
    <t>0                      PQ 6658000E  693                G  6           1989</t>
  </si>
  <si>
    <t>Golgothá / Ramón Hernández.</t>
  </si>
  <si>
    <t>Hernández, Ramón, 1935-</t>
  </si>
  <si>
    <t>Barcelona : Seix Barral, c1989, 1988.</t>
  </si>
  <si>
    <t>1992-04-20</t>
  </si>
  <si>
    <t>21599964:spa</t>
  </si>
  <si>
    <t>19729450</t>
  </si>
  <si>
    <t>991001492139702656</t>
  </si>
  <si>
    <t>2264249380002656</t>
  </si>
  <si>
    <t>9788432205996</t>
  </si>
  <si>
    <t>32285000677848</t>
  </si>
  <si>
    <t>893696786</t>
  </si>
  <si>
    <t>PQ6658.E76 P54 2000</t>
  </si>
  <si>
    <t>0                      PQ 6658000E  76                 P  54          2000</t>
  </si>
  <si>
    <t>Piedra de sacrificio / Ángela Hernández Núñez.</t>
  </si>
  <si>
    <t>Hernández, Angela.</t>
  </si>
  <si>
    <t>Santo Domingo, República Dominicana : Editorial Alas : Editora Búho 2000.</t>
  </si>
  <si>
    <t>2003-04-01</t>
  </si>
  <si>
    <t>2001-06-13</t>
  </si>
  <si>
    <t>34588221:spa</t>
  </si>
  <si>
    <t>45408616</t>
  </si>
  <si>
    <t>991003546369702656</t>
  </si>
  <si>
    <t>2262901010002656</t>
  </si>
  <si>
    <t>9789768175236</t>
  </si>
  <si>
    <t>32285004327200</t>
  </si>
  <si>
    <t>893262796</t>
  </si>
  <si>
    <t>PQ6663.A7218 T6313 2000</t>
  </si>
  <si>
    <t>0                      PQ 6663000A  7218               T  6313        2000</t>
  </si>
  <si>
    <t>All souls / Javier Marías ; translated by Margaret Jull Costa.</t>
  </si>
  <si>
    <t>Marías, Javier.</t>
  </si>
  <si>
    <t>New York : New Directions, 2000.</t>
  </si>
  <si>
    <t>New Directions classics</t>
  </si>
  <si>
    <t>2001-07-10</t>
  </si>
  <si>
    <t>2001-07-09</t>
  </si>
  <si>
    <t>7704538:eng</t>
  </si>
  <si>
    <t>44461893</t>
  </si>
  <si>
    <t>991003540759702656</t>
  </si>
  <si>
    <t>2267868230002656</t>
  </si>
  <si>
    <t>9780811214537</t>
  </si>
  <si>
    <t>32285004330469</t>
  </si>
  <si>
    <t>893868530</t>
  </si>
  <si>
    <t>PQ6663.A7487 Z73 2000</t>
  </si>
  <si>
    <t>0                      PQ 6663000A  7487               Z  73          2000</t>
  </si>
  <si>
    <t>Manuel Martínez Mediero : deslindes de un teatro de urgencia social / John P. Gabriele.</t>
  </si>
  <si>
    <t>Gabriele, John P.</t>
  </si>
  <si>
    <t>Madrid : Editorial Fundamentos, 2000.</t>
  </si>
  <si>
    <t>Primera ed.</t>
  </si>
  <si>
    <t>Espiral Hispano Americana ; 44</t>
  </si>
  <si>
    <t>475961292:spa</t>
  </si>
  <si>
    <t>60704967</t>
  </si>
  <si>
    <t>991003720579702656</t>
  </si>
  <si>
    <t>2272142480002656</t>
  </si>
  <si>
    <t>9788424508746</t>
  </si>
  <si>
    <t>32285004451430</t>
  </si>
  <si>
    <t>893441630</t>
  </si>
  <si>
    <t>PQ6663.A75185 S3 1972</t>
  </si>
  <si>
    <t>0                      PQ 6663000A  75185              S  3           1972</t>
  </si>
  <si>
    <t>El santuario inmortal / Augusto Martinez Torres.</t>
  </si>
  <si>
    <t>Torres, Augusto M.</t>
  </si>
  <si>
    <t>Barcelona : Seix Barral, 1972.</t>
  </si>
  <si>
    <t>Nueva narrativa hispánica</t>
  </si>
  <si>
    <t>350655370:spa</t>
  </si>
  <si>
    <t>563349</t>
  </si>
  <si>
    <t>991004509789702656</t>
  </si>
  <si>
    <t>2255731650002656</t>
  </si>
  <si>
    <t>32285005044531</t>
  </si>
  <si>
    <t>893430151</t>
  </si>
  <si>
    <t>PQ6663.E54 C5 1986</t>
  </si>
  <si>
    <t>0                      PQ 6663000E  54                 C  5           1986</t>
  </si>
  <si>
    <t>La ciudad de los prodigios / Eduardo Mendoza.</t>
  </si>
  <si>
    <t>Mendoza, Eduardo, 1943-</t>
  </si>
  <si>
    <t>Barcelona : Seix Barral, c1986, 1989 printing.</t>
  </si>
  <si>
    <t>1995-10-02</t>
  </si>
  <si>
    <t>14091380:spa</t>
  </si>
  <si>
    <t>13979360</t>
  </si>
  <si>
    <t>991000895829702656</t>
  </si>
  <si>
    <t>2267432780002656</t>
  </si>
  <si>
    <t>9788432205453</t>
  </si>
  <si>
    <t>32285000138239</t>
  </si>
  <si>
    <t>893522105</t>
  </si>
  <si>
    <t>PQ6663.E54 L3 1990</t>
  </si>
  <si>
    <t>0                      PQ 6663000E  54                 L  3           1990</t>
  </si>
  <si>
    <t>El laberinto de las aceitunas / Eduardo Mendoza.</t>
  </si>
  <si>
    <t>Barcelona : Editorial Seix Barral, 1990, c1982.</t>
  </si>
  <si>
    <t>11a ed.</t>
  </si>
  <si>
    <t>Biblioteca de bolsillo</t>
  </si>
  <si>
    <t>1995-08-25</t>
  </si>
  <si>
    <t>365229722:spa</t>
  </si>
  <si>
    <t>19097045</t>
  </si>
  <si>
    <t>991001635739702656</t>
  </si>
  <si>
    <t>2257818750002656</t>
  </si>
  <si>
    <t>9788432230127</t>
  </si>
  <si>
    <t>32285000205202</t>
  </si>
  <si>
    <t>893897921</t>
  </si>
  <si>
    <t>PQ6663.I68 A6 2000</t>
  </si>
  <si>
    <t>0                      PQ 6663000I  68                 A  6           2000</t>
  </si>
  <si>
    <t>Cuando las mujeres no podían votar ; El crepúsculo del paganismo romano / Alberto Miralles ; [prólogo de María José Ragué-Arias].</t>
  </si>
  <si>
    <t>Miralles, Alberto, 1940-</t>
  </si>
  <si>
    <t>Espiral/teatro</t>
  </si>
  <si>
    <t>2002-02-05</t>
  </si>
  <si>
    <t>320183575:spa</t>
  </si>
  <si>
    <t>45620096</t>
  </si>
  <si>
    <t>991003720479702656</t>
  </si>
  <si>
    <t>2263579360002656</t>
  </si>
  <si>
    <t>9788424508715</t>
  </si>
  <si>
    <t>32285004452602</t>
  </si>
  <si>
    <t>893775070</t>
  </si>
  <si>
    <t>PQ6663.O554 Z64 2000</t>
  </si>
  <si>
    <t>0                      PQ 6663000O  554                Z  64          2000</t>
  </si>
  <si>
    <t>Synergy and subversion in the second stage novels of Rosa Montero / Mary C. Harges.</t>
  </si>
  <si>
    <t>Harges, Mary C., 1951-</t>
  </si>
  <si>
    <t>Nuestra voz ; vol. 6</t>
  </si>
  <si>
    <t>2001-03-14</t>
  </si>
  <si>
    <t>5613491426:eng</t>
  </si>
  <si>
    <t>44133019</t>
  </si>
  <si>
    <t>991003511949702656</t>
  </si>
  <si>
    <t>2270388880002656</t>
  </si>
  <si>
    <t>9780820451114</t>
  </si>
  <si>
    <t>32285004305545</t>
  </si>
  <si>
    <t>893717735</t>
  </si>
  <si>
    <t>PQ6665.R734 F84 1995</t>
  </si>
  <si>
    <t>0                      PQ 6665000R  734                F  84          1995</t>
  </si>
  <si>
    <t>La fuente de la vida / Lourdes Ortiz.</t>
  </si>
  <si>
    <t>Ortiz, Lourdes.</t>
  </si>
  <si>
    <t>Barcelona, España : Planeta, 1995.</t>
  </si>
  <si>
    <t>Autores españoles e hispanoamericanos</t>
  </si>
  <si>
    <t>2005-08-26</t>
  </si>
  <si>
    <t>1996-04-02</t>
  </si>
  <si>
    <t>349936104:spa</t>
  </si>
  <si>
    <t>34202448</t>
  </si>
  <si>
    <t>991002611399702656</t>
  </si>
  <si>
    <t>2267764270002656</t>
  </si>
  <si>
    <t>9788408016229</t>
  </si>
  <si>
    <t>32285002149309</t>
  </si>
  <si>
    <t>893352414</t>
  </si>
  <si>
    <t>PQ6666.A715 A72 1982</t>
  </si>
  <si>
    <t>0                      PQ 6666000A  715                A  72          1982</t>
  </si>
  <si>
    <t>Ahora es preciso morir / Jesús Pardo.</t>
  </si>
  <si>
    <t>Pardo, Jesús.</t>
  </si>
  <si>
    <t>Barcelona : Seix Barral, 1982.</t>
  </si>
  <si>
    <t>2000-01-12</t>
  </si>
  <si>
    <t>1990-06-05</t>
  </si>
  <si>
    <t>38342856:spa</t>
  </si>
  <si>
    <t>9625653</t>
  </si>
  <si>
    <t>991000229489702656</t>
  </si>
  <si>
    <t>2271948670002656</t>
  </si>
  <si>
    <t>9788432245053</t>
  </si>
  <si>
    <t>32285000159037</t>
  </si>
  <si>
    <t>893865217</t>
  </si>
  <si>
    <t>PQ6666.E765 R4513 2004</t>
  </si>
  <si>
    <t>0                      PQ 6666000E  765                R  4513        2004</t>
  </si>
  <si>
    <t>The queen of the South / Arturo Pérez-Reverte ; translated from the Spanish by Andrew Hurley.</t>
  </si>
  <si>
    <t>Pérez-Reverte, Arturo.</t>
  </si>
  <si>
    <t>New York : G.P. Putnam's Sons, c2004.</t>
  </si>
  <si>
    <t>2005-01-31</t>
  </si>
  <si>
    <t>4918657364:eng</t>
  </si>
  <si>
    <t>53231953</t>
  </si>
  <si>
    <t>991004304659702656</t>
  </si>
  <si>
    <t>2263930320002656</t>
  </si>
  <si>
    <t>9780399151859</t>
  </si>
  <si>
    <t>32285005023931</t>
  </si>
  <si>
    <t>893712419</t>
  </si>
  <si>
    <t>PQ6668.I576 P6413 1997</t>
  </si>
  <si>
    <t>0                      PQ 6668000I  576                P  6413        1997</t>
  </si>
  <si>
    <t>Poundemonium / Julián Ríos ; translated by Richard Alan Francis with the author.</t>
  </si>
  <si>
    <t>Ríos, Julián.</t>
  </si>
  <si>
    <t>Normal, IL : Dalkey Archive Press, Illinois State University, 1997.</t>
  </si>
  <si>
    <t>2005-04-05</t>
  </si>
  <si>
    <t>2863552349:eng</t>
  </si>
  <si>
    <t>34475472</t>
  </si>
  <si>
    <t>991004505789702656</t>
  </si>
  <si>
    <t>2262184450002656</t>
  </si>
  <si>
    <t>9781564781383</t>
  </si>
  <si>
    <t>32285005047898</t>
  </si>
  <si>
    <t>893506931</t>
  </si>
  <si>
    <t>PQ6668.O37 A6 1986</t>
  </si>
  <si>
    <t>0                      PQ 6668000O  37                 A  6           1986</t>
  </si>
  <si>
    <t>Muestra gratis / René Rodríguesoriano.</t>
  </si>
  <si>
    <t>Rodríguez Soriano, René, 1950-</t>
  </si>
  <si>
    <t>Santo Domingo, D.N. : R. Rodríguesoriano, 1986.</t>
  </si>
  <si>
    <t>16664196:spa</t>
  </si>
  <si>
    <t>17873060</t>
  </si>
  <si>
    <t>991004339529702656</t>
  </si>
  <si>
    <t>2269489060002656</t>
  </si>
  <si>
    <t>32285004929195</t>
  </si>
  <si>
    <t>893888590</t>
  </si>
  <si>
    <t>PQ6669.A6416 C47 2003</t>
  </si>
  <si>
    <t>0                      PQ 6669000A  6416               C  47          2003</t>
  </si>
  <si>
    <t>The siege of Leningrad : a story without end = El cerco de Leningrado : historia sin final / Josae Sanchis Sinisterra ; translated from the Spanish by Mary-Alice Lessing.</t>
  </si>
  <si>
    <t>Sanchis Sinisterra, Josae.</t>
  </si>
  <si>
    <t>New Brunswick, N.J. : Estreno Plays, 2003.</t>
  </si>
  <si>
    <t>Estreno contemporary Spanish plays ; 24</t>
  </si>
  <si>
    <t>2004-05-19</t>
  </si>
  <si>
    <t>4020261984:eng</t>
  </si>
  <si>
    <t>53052673</t>
  </si>
  <si>
    <t>991004301739702656</t>
  </si>
  <si>
    <t>2267317180002656</t>
  </si>
  <si>
    <t>9781888463163</t>
  </si>
  <si>
    <t>32285004906052</t>
  </si>
  <si>
    <t>893712414</t>
  </si>
  <si>
    <t>PQ6669.A653 G53 1998</t>
  </si>
  <si>
    <t>0                      PQ 6669000A  653                G  53          1998</t>
  </si>
  <si>
    <t>El gladiador de Chueca / Carlos Sanrune.</t>
  </si>
  <si>
    <t>Sanrune, Carlos, 1960-</t>
  </si>
  <si>
    <t>Barcelona : Editorial Laertes, 1998.</t>
  </si>
  <si>
    <t>389252050:spa</t>
  </si>
  <si>
    <t>29705058</t>
  </si>
  <si>
    <t>991003252809702656</t>
  </si>
  <si>
    <t>2260528500002656</t>
  </si>
  <si>
    <t>9788475841861</t>
  </si>
  <si>
    <t>32285004290671</t>
  </si>
  <si>
    <t>893336293</t>
  </si>
  <si>
    <t>PQ6672.A92 G3513 1992</t>
  </si>
  <si>
    <t>0                      PQ 6672000A  92                 G  3513        1992</t>
  </si>
  <si>
    <t>Galíndez / Manuel Vázquez Montalbán ; translated from the Spanish by Carol and Thomas Christensen.</t>
  </si>
  <si>
    <t>Vázquez Montalbán, Manuel.</t>
  </si>
  <si>
    <t>New York : Atheneum ; Toronto : Maxwell Macmillan Canada, 1992.</t>
  </si>
  <si>
    <t>2004-01-24</t>
  </si>
  <si>
    <t>2002-04-29</t>
  </si>
  <si>
    <t>17193518:eng</t>
  </si>
  <si>
    <t>25093247</t>
  </si>
  <si>
    <t>991003773169702656</t>
  </si>
  <si>
    <t>2263121900002656</t>
  </si>
  <si>
    <t>9780689121210</t>
  </si>
  <si>
    <t>32285004484050</t>
  </si>
  <si>
    <t>893598962</t>
  </si>
  <si>
    <t>PQ671 .D37 1982</t>
  </si>
  <si>
    <t>0                      PQ 0671000D  37          1982</t>
  </si>
  <si>
    <t>Realism, reality, and the fictional theory of Alain Robbe-Grillet and Anais Nin / Patricia A. Deduck.</t>
  </si>
  <si>
    <t>Deduck, Patricia A.</t>
  </si>
  <si>
    <t>3856653734:eng</t>
  </si>
  <si>
    <t>8688137</t>
  </si>
  <si>
    <t>991000050639702656</t>
  </si>
  <si>
    <t>2272700140002656</t>
  </si>
  <si>
    <t>9780819127204</t>
  </si>
  <si>
    <t>32285001251379</t>
  </si>
  <si>
    <t>893689363</t>
  </si>
  <si>
    <t>PQ671 .L45 1962</t>
  </si>
  <si>
    <t>0                      PQ 0671000L  45          1962</t>
  </si>
  <si>
    <t>The French new novel : an introduction and a sampler / Laurent Le Sage.</t>
  </si>
  <si>
    <t>University Park : Pennsylvania State University Press, c1962, 1977 printing.</t>
  </si>
  <si>
    <t>891851100:eng</t>
  </si>
  <si>
    <t>1580991</t>
  </si>
  <si>
    <t>991003827599702656</t>
  </si>
  <si>
    <t>2270341140002656</t>
  </si>
  <si>
    <t>32285001251395</t>
  </si>
  <si>
    <t>893900425</t>
  </si>
  <si>
    <t>PQ673 .K4 1986</t>
  </si>
  <si>
    <t>0                      PQ 0673000K  4           1986</t>
  </si>
  <si>
    <t>French existentialist fiction : changing moral perspectives / Terry Keefe.</t>
  </si>
  <si>
    <t>Totowa, N.J. : Barnes &amp; Noble, 1986.</t>
  </si>
  <si>
    <t>1996-05-05</t>
  </si>
  <si>
    <t>6948246:eng</t>
  </si>
  <si>
    <t>13361099</t>
  </si>
  <si>
    <t>991000818279702656</t>
  </si>
  <si>
    <t>2271922510002656</t>
  </si>
  <si>
    <t>9780389206279</t>
  </si>
  <si>
    <t>32285001251429</t>
  </si>
  <si>
    <t>893496586</t>
  </si>
  <si>
    <t>PQ7039.2.N8 N5 1977</t>
  </si>
  <si>
    <t>0                      PQ 7039200N  8                  N  5           1977</t>
  </si>
  <si>
    <t>Ninfas, fábulas y manzanas / Jorge Nunes.</t>
  </si>
  <si>
    <t>Nunes, Jorge, 1941-</t>
  </si>
  <si>
    <t>Caracas : Editorial La Enseñanza Viva, c1977.</t>
  </si>
  <si>
    <t>Colección de bolsillo</t>
  </si>
  <si>
    <t>2998806210:spa</t>
  </si>
  <si>
    <t>5618413</t>
  </si>
  <si>
    <t>991003730329702656</t>
  </si>
  <si>
    <t>2260011140002656</t>
  </si>
  <si>
    <t>32285004452347</t>
  </si>
  <si>
    <t>893499628</t>
  </si>
  <si>
    <t>PQ7070 .G78 2002</t>
  </si>
  <si>
    <t>0                      PQ 7070000G  78          2002</t>
  </si>
  <si>
    <t>Ambassadors of culture : the transamerican origins of Latino writing / Kirsten Silva Gruesz.</t>
  </si>
  <si>
    <t>Gruesz, Kirsten Silva, 1964-</t>
  </si>
  <si>
    <t>Princeton, N.J. : Princeton University Press, c2002.</t>
  </si>
  <si>
    <t>Translation/transnation</t>
  </si>
  <si>
    <t>2004-05-25</t>
  </si>
  <si>
    <t>2002-03-20</t>
  </si>
  <si>
    <t>885414:eng</t>
  </si>
  <si>
    <t>46473812</t>
  </si>
  <si>
    <t>991003743259702656</t>
  </si>
  <si>
    <t>2265861640002656</t>
  </si>
  <si>
    <t>9780691050966</t>
  </si>
  <si>
    <t>32285004463153</t>
  </si>
  <si>
    <t>893441656</t>
  </si>
  <si>
    <t>PQ7078 .C84 1998</t>
  </si>
  <si>
    <t>0                      PQ 7078000C  84          1998</t>
  </si>
  <si>
    <t>Cuentos hispanos de los Estados Unidos / edición de Julián Olivares.</t>
  </si>
  <si>
    <t>Houston, Tex. : Arte Público Press, 1998, c1993.</t>
  </si>
  <si>
    <t>55601770:spa</t>
  </si>
  <si>
    <t>39751910</t>
  </si>
  <si>
    <t>991003453809702656</t>
  </si>
  <si>
    <t>2265956640002656</t>
  </si>
  <si>
    <t>9781558852600</t>
  </si>
  <si>
    <t>32285004296231</t>
  </si>
  <si>
    <t>893793615</t>
  </si>
  <si>
    <t>PQ7079.2.H5 A8 1991</t>
  </si>
  <si>
    <t>0                      PQ 7079200H  5                  A  8           1991</t>
  </si>
  <si>
    <t>Los amigos de Becky / Rolando Hinojosa.</t>
  </si>
  <si>
    <t>Hinojosa, Rolando.</t>
  </si>
  <si>
    <t>Houston, Tex. : Arte Publico Press, 1991.</t>
  </si>
  <si>
    <t>2003-09-24</t>
  </si>
  <si>
    <t>350675843:spa</t>
  </si>
  <si>
    <t>21760349</t>
  </si>
  <si>
    <t>991004025869702656</t>
  </si>
  <si>
    <t>2254701020002656</t>
  </si>
  <si>
    <t>9781558850217</t>
  </si>
  <si>
    <t>32285004785209</t>
  </si>
  <si>
    <t>893240918</t>
  </si>
  <si>
    <t>PQ7079.2.R5 Y2 1995</t>
  </si>
  <si>
    <t>0                      PQ 7079200R  5                  Y  2           1995</t>
  </si>
  <si>
    <t>--y no se lo tragó la tierra / Tomás Rivera.</t>
  </si>
  <si>
    <t>Rivera, Tomás, 1935-1984.</t>
  </si>
  <si>
    <t>Houston : Arte Público Press, 1995, c1987.</t>
  </si>
  <si>
    <t>3rd Arte Público Press ed.</t>
  </si>
  <si>
    <t>2003-05-13</t>
  </si>
  <si>
    <t>354695577:spa</t>
  </si>
  <si>
    <t>33452555</t>
  </si>
  <si>
    <t>991004025929702656</t>
  </si>
  <si>
    <t>2267990580002656</t>
  </si>
  <si>
    <t>9780613179591</t>
  </si>
  <si>
    <t>32285004745906</t>
  </si>
  <si>
    <t>893240919</t>
  </si>
  <si>
    <t>PQ7079.3.G37 G45 2003</t>
  </si>
  <si>
    <t>0                      PQ 7079300G  37                 G  45          2003</t>
  </si>
  <si>
    <t>Génesis si acaso / Angel Garrido.</t>
  </si>
  <si>
    <t>Garrido, Angel, 1949-</t>
  </si>
  <si>
    <t>San Juan, P.R. : Isla Negra Editores, 2003.</t>
  </si>
  <si>
    <t>Colección La montaña de papel</t>
  </si>
  <si>
    <t>2005-09-27</t>
  </si>
  <si>
    <t>13021064:spa</t>
  </si>
  <si>
    <t>53887822</t>
  </si>
  <si>
    <t>991004209039702656</t>
  </si>
  <si>
    <t>2270483360002656</t>
  </si>
  <si>
    <t>9781881715443</t>
  </si>
  <si>
    <t>32285004633771</t>
  </si>
  <si>
    <t>893429786</t>
  </si>
  <si>
    <t>PQ7081 .A5</t>
  </si>
  <si>
    <t>0                      PQ 7081000A  5</t>
  </si>
  <si>
    <t>Spanish American literature : a history / translated from the Spanish by John V. Falconieri.</t>
  </si>
  <si>
    <t>Anderson Imbert, Enrique, 1910-2000.</t>
  </si>
  <si>
    <t>Detroit : Wayne State University Press, 1963.</t>
  </si>
  <si>
    <t>1997-10-29</t>
  </si>
  <si>
    <t>1991-08-12</t>
  </si>
  <si>
    <t>10252516370:eng</t>
  </si>
  <si>
    <t>347235</t>
  </si>
  <si>
    <t>991002431399702656</t>
  </si>
  <si>
    <t>2272335020002656</t>
  </si>
  <si>
    <t>32285000682335</t>
  </si>
  <si>
    <t>893523601</t>
  </si>
  <si>
    <t>PQ7081 .A563 1970</t>
  </si>
  <si>
    <t>0                      PQ 7081000A  563         1970</t>
  </si>
  <si>
    <t>Historia de la literatura hispanoamericana / por Enrique Anderson Imbert.</t>
  </si>
  <si>
    <t>México ; Fondo de Cultura Económica, 1970, c1954.</t>
  </si>
  <si>
    <t>Breviarios del Fondo de Cultura Económica ; 89, 156</t>
  </si>
  <si>
    <t>1996-12-10</t>
  </si>
  <si>
    <t>4512340392:spa</t>
  </si>
  <si>
    <t>5377690</t>
  </si>
  <si>
    <t>991003827349702656</t>
  </si>
  <si>
    <t>2267289670002656</t>
  </si>
  <si>
    <t>32285002205101</t>
  </si>
  <si>
    <t>893435498</t>
  </si>
  <si>
    <t>32285002205119</t>
  </si>
  <si>
    <t>893435497</t>
  </si>
  <si>
    <t>PQ7081 .B345 1983</t>
  </si>
  <si>
    <t>0                      PQ 7081000B  345         1983</t>
  </si>
  <si>
    <t>Literatura de nuestra América : estudios de literatura cubana e hispanoamericana / Emilio Bejel.</t>
  </si>
  <si>
    <t>Bejel, Emilio, 1944-</t>
  </si>
  <si>
    <t>Xalapa, Ver., México : Centro de Investigaciones Lingüístico-Literarias, Instituto de Investigaciones Humanísticas, Universidad Veracruzana, c1983.</t>
  </si>
  <si>
    <t>CILL ; 18</t>
  </si>
  <si>
    <t>1999-03-23</t>
  </si>
  <si>
    <t>1995-10-11</t>
  </si>
  <si>
    <t>472650289:spa</t>
  </si>
  <si>
    <t>10475094</t>
  </si>
  <si>
    <t>991000376849702656</t>
  </si>
  <si>
    <t>2259005220002656</t>
  </si>
  <si>
    <t>9789685900539</t>
  </si>
  <si>
    <t>32285002095809</t>
  </si>
  <si>
    <t>893425629</t>
  </si>
  <si>
    <t>PQ7081 .B347 1988</t>
  </si>
  <si>
    <t>0                      PQ 7081000B  347         1988</t>
  </si>
  <si>
    <t>Historia de la literatura hispanoamericana / Giuseppe Bellini.</t>
  </si>
  <si>
    <t>Bellini, Giuseppe, 1923-2016.</t>
  </si>
  <si>
    <t>Madrid : Castalia, [1988], c1985.</t>
  </si>
  <si>
    <t>2a ed., corr.</t>
  </si>
  <si>
    <t>Literatura y sociedad ; 35</t>
  </si>
  <si>
    <t>1993-10-24</t>
  </si>
  <si>
    <t>5576681:spa</t>
  </si>
  <si>
    <t>20345849</t>
  </si>
  <si>
    <t>991001566169702656</t>
  </si>
  <si>
    <t>2272220770002656</t>
  </si>
  <si>
    <t>9788470394485</t>
  </si>
  <si>
    <t>32285000864214</t>
  </si>
  <si>
    <t>893509687</t>
  </si>
  <si>
    <t>PQ7081 .B347 1997</t>
  </si>
  <si>
    <t>0                      PQ 7081000B  347         1997</t>
  </si>
  <si>
    <t>Nueva historia de la literatura hispanoamericana / Giuseppe Bellini.</t>
  </si>
  <si>
    <t>3. ed., corr. y aum.</t>
  </si>
  <si>
    <t>Literatura y sociedad ; 60</t>
  </si>
  <si>
    <t>2002-07-24</t>
  </si>
  <si>
    <t>2002-07-17</t>
  </si>
  <si>
    <t>3769184827:spa</t>
  </si>
  <si>
    <t>37898024</t>
  </si>
  <si>
    <t>991003836039702656</t>
  </si>
  <si>
    <t>2266665370002656</t>
  </si>
  <si>
    <t>9788470397578</t>
  </si>
  <si>
    <t>32285004498886</t>
  </si>
  <si>
    <t>893806275</t>
  </si>
  <si>
    <t>PQ7081 .C293 1975</t>
  </si>
  <si>
    <t>0                      PQ 7081000C  293         1975</t>
  </si>
  <si>
    <t>El romanticismo en la América hispánica / Emilio Carilla.</t>
  </si>
  <si>
    <t>Carilla, Emilio.</t>
  </si>
  <si>
    <t>Madrid : Editorial Gredos, c1975.</t>
  </si>
  <si>
    <t>3. ed. rev. y ampl.</t>
  </si>
  <si>
    <t>Biblioteca románica hispánica. II, Estudios y ensayos ; 40</t>
  </si>
  <si>
    <t>34522613:spa</t>
  </si>
  <si>
    <t>2066807</t>
  </si>
  <si>
    <t>991003997969702656</t>
  </si>
  <si>
    <t>2261882060002656</t>
  </si>
  <si>
    <t>9788424906245</t>
  </si>
  <si>
    <t>32285002080579</t>
  </si>
  <si>
    <t>893531856</t>
  </si>
  <si>
    <t>32285002080587</t>
  </si>
  <si>
    <t>893506252</t>
  </si>
  <si>
    <t>PQ7081 .C388 1995</t>
  </si>
  <si>
    <t>0                      PQ 7081000C  388         1995</t>
  </si>
  <si>
    <t>Política de la teoría del lenguaje y la poesía en América Latina en el siglo XX / Diógenes Céspedes.</t>
  </si>
  <si>
    <t>Céspedes, Diógenes.</t>
  </si>
  <si>
    <t>Santo Domingo, República Dominicana : Universidad Autónoma de Santo Domingo, Editora Universitaria : Librería La Trinitaria, 1995.</t>
  </si>
  <si>
    <t>Publicaciones de la Universidad Autónoma de Santo Domingo ; vol. 749. Colección Literatura y sociedad ; no. 46</t>
  </si>
  <si>
    <t>1998-02-14</t>
  </si>
  <si>
    <t>37252113:spa</t>
  </si>
  <si>
    <t>33104012</t>
  </si>
  <si>
    <t>991002548749702656</t>
  </si>
  <si>
    <t>2263838060002656</t>
  </si>
  <si>
    <t>9788489527027</t>
  </si>
  <si>
    <t>32285002542743</t>
  </si>
  <si>
    <t>893685468</t>
  </si>
  <si>
    <t>PQ7081 .C6 1928</t>
  </si>
  <si>
    <t>0                      PQ 7081000C  6           1928</t>
  </si>
  <si>
    <t>The literary history of Spanish America, by Alfred Coester ...</t>
  </si>
  <si>
    <t>Coester, Alfred, 1874-1958.</t>
  </si>
  <si>
    <t>New York, The Macmillan Company, 1928.</t>
  </si>
  <si>
    <t>1223063:eng</t>
  </si>
  <si>
    <t>1919733</t>
  </si>
  <si>
    <t>991003937759702656</t>
  </si>
  <si>
    <t>2258112620002656</t>
  </si>
  <si>
    <t>32285003236600</t>
  </si>
  <si>
    <t>893417022</t>
  </si>
  <si>
    <t>PQ7081 .D63 1998</t>
  </si>
  <si>
    <t>0                      PQ 7081000D  63          1998</t>
  </si>
  <si>
    <t>Historia personal del "boom" / José Donoso.</t>
  </si>
  <si>
    <t>Donoso, José, 1924-1996.</t>
  </si>
  <si>
    <t>Providencia, Santiago de Chile : Alfaguara : Aguilar Chilena de Ediciones, c1998.</t>
  </si>
  <si>
    <t>1a ed. en Alfaguara.</t>
  </si>
  <si>
    <t xml:space="preserve">cl </t>
  </si>
  <si>
    <t>Textos de escritos</t>
  </si>
  <si>
    <t>14298462:spa</t>
  </si>
  <si>
    <t>42007938</t>
  </si>
  <si>
    <t>991003772799702656</t>
  </si>
  <si>
    <t>2270628160002656</t>
  </si>
  <si>
    <t>9789562390477</t>
  </si>
  <si>
    <t>32285004484902</t>
  </si>
  <si>
    <t>893592871</t>
  </si>
  <si>
    <t>PQ7081 .F374 1975</t>
  </si>
  <si>
    <t>0                      PQ 7081000F  374         1975</t>
  </si>
  <si>
    <t>Para una teoría de la literatura hispanoamericana y otras aproximaciones / Roberto Fernández Retamar.</t>
  </si>
  <si>
    <t>Fernández Retamar, Roberto.</t>
  </si>
  <si>
    <t>La Habana : Casa de la Américas, 1975.</t>
  </si>
  <si>
    <t xml:space="preserve">cu </t>
  </si>
  <si>
    <t>Cuadernos Casa ; 16</t>
  </si>
  <si>
    <t>3753777900:spa</t>
  </si>
  <si>
    <t>3274111</t>
  </si>
  <si>
    <t>991003724569702656</t>
  </si>
  <si>
    <t>2255960720002656</t>
  </si>
  <si>
    <t>32285004450739</t>
  </si>
  <si>
    <t>893623820</t>
  </si>
  <si>
    <t>PQ7081 .F378 1992</t>
  </si>
  <si>
    <t>0                      PQ 7081000F  378         1992</t>
  </si>
  <si>
    <t>El coloquio de las perras / Rosario Ferré.</t>
  </si>
  <si>
    <t>Ferré, Rosario.</t>
  </si>
  <si>
    <t>México, D.F. : Servicios Especializados y Representaciones en Comercio Exterior ; Silver Spring, Md. : Literal Books, 1992.</t>
  </si>
  <si>
    <t>1. ed., corr. y aum.</t>
  </si>
  <si>
    <t>2002-02-27</t>
  </si>
  <si>
    <t>1996-06-19</t>
  </si>
  <si>
    <t>366638211:spa</t>
  </si>
  <si>
    <t>28391494</t>
  </si>
  <si>
    <t>991002207599702656</t>
  </si>
  <si>
    <t>2266174130002656</t>
  </si>
  <si>
    <t>32285002194982</t>
  </si>
  <si>
    <t>893504127</t>
  </si>
  <si>
    <t>PQ7081 .F58 2000</t>
  </si>
  <si>
    <t>0                      PQ 7081000F  58          2000</t>
  </si>
  <si>
    <t>Crónicas elementales / R.A. Font-Bernard.</t>
  </si>
  <si>
    <t>Font-Bernard, R. A.</t>
  </si>
  <si>
    <t>[Dominican Republic] : Editorial Letra Gráfica, [2000]</t>
  </si>
  <si>
    <t>2002-05-24</t>
  </si>
  <si>
    <t>2001-09-11</t>
  </si>
  <si>
    <t>13320001:spa</t>
  </si>
  <si>
    <t>47772963</t>
  </si>
  <si>
    <t>991003625909702656</t>
  </si>
  <si>
    <t>2259873720002656</t>
  </si>
  <si>
    <t>9789993481706</t>
  </si>
  <si>
    <t>32285004390497</t>
  </si>
  <si>
    <t>893717901</t>
  </si>
  <si>
    <t>PQ7081 .F6431 2001</t>
  </si>
  <si>
    <t>0                      PQ 7081000F  6431        2001</t>
  </si>
  <si>
    <t>Historia de la literatura hispanoamericana : a partir de la independencia / Jean Franco ; [traducción de Carlos Pujol].</t>
  </si>
  <si>
    <t>Franco, Jean, 1924-</t>
  </si>
  <si>
    <t>Barcelona : Ariel, 2001.</t>
  </si>
  <si>
    <t>14a ed.</t>
  </si>
  <si>
    <t>Letras e ideas. Instrumenta</t>
  </si>
  <si>
    <t>1767644:spa</t>
  </si>
  <si>
    <t>44464011</t>
  </si>
  <si>
    <t>991003776529702656</t>
  </si>
  <si>
    <t>2264487630002656</t>
  </si>
  <si>
    <t>9788434483156</t>
  </si>
  <si>
    <t>32285004488481</t>
  </si>
  <si>
    <t>893505980</t>
  </si>
  <si>
    <t>PQ7081 .G54 1988</t>
  </si>
  <si>
    <t>0                      PQ 7081000G  54          1988</t>
  </si>
  <si>
    <t>Historia y crítica de la literatura hispanoamericana / Cedomil Goić.</t>
  </si>
  <si>
    <t>Goić, Cedomil.</t>
  </si>
  <si>
    <t>Barcelona : Editorial Crítica, Grupo Editorial Grijalbo, c1988-c1991.</t>
  </si>
  <si>
    <t>Páginas de filología</t>
  </si>
  <si>
    <t>1999-09-24</t>
  </si>
  <si>
    <t>1993-09-02</t>
  </si>
  <si>
    <t>3980261949:spa</t>
  </si>
  <si>
    <t>18396914</t>
  </si>
  <si>
    <t>991001342709702656</t>
  </si>
  <si>
    <t>2257207930002656</t>
  </si>
  <si>
    <t>9788474233506</t>
  </si>
  <si>
    <t>32285001729689</t>
  </si>
  <si>
    <t>893334260</t>
  </si>
  <si>
    <t>32285001729671</t>
  </si>
  <si>
    <t>893321849</t>
  </si>
  <si>
    <t>PQ7081 .G659 1985</t>
  </si>
  <si>
    <t>0                      PQ 7081000G  659         1985</t>
  </si>
  <si>
    <t>Contribuciaon al estudio de la historiografaia literaria hispanoamericana / Beatriz Gonzaalez Stephan.</t>
  </si>
  <si>
    <t>Gonzaalez Stephan, Beatriz.</t>
  </si>
  <si>
    <t>Caracas : Academia Nacional de la Historia, 1985.</t>
  </si>
  <si>
    <t>Biblioteca de la Academia Nacional de la Historia. Estudios, monografaias y ensayos ; 59</t>
  </si>
  <si>
    <t>7446935:spa</t>
  </si>
  <si>
    <t>13727762</t>
  </si>
  <si>
    <t>991004335699702656</t>
  </si>
  <si>
    <t>2255051610002656</t>
  </si>
  <si>
    <t>32285004928221</t>
  </si>
  <si>
    <t>893712469</t>
  </si>
  <si>
    <t>PQ7081 .H35</t>
  </si>
  <si>
    <t>0                      PQ 7081000H  35</t>
  </si>
  <si>
    <t>Into the mainstream : conversations with Latin-American writers / [by] Luis Harss and Barbara Dohmann.</t>
  </si>
  <si>
    <t>Harss, Luis, 1936-</t>
  </si>
  <si>
    <t>New York : Harper &amp; Row, [1967]</t>
  </si>
  <si>
    <t>1334044:eng</t>
  </si>
  <si>
    <t>224485</t>
  </si>
  <si>
    <t>991001374259702656</t>
  </si>
  <si>
    <t>2264208680002656</t>
  </si>
  <si>
    <t>32285000682392</t>
  </si>
  <si>
    <t>893426556</t>
  </si>
  <si>
    <t>PQ7081 .H357 1954</t>
  </si>
  <si>
    <t>0                      PQ 7081000H  357         1954</t>
  </si>
  <si>
    <t>Breve historia del modernismo / por Max Henraiquez Ureana.</t>
  </si>
  <si>
    <t>Henríquez Ureña, Max, 1885-1968.</t>
  </si>
  <si>
    <t>Maexico : Fondo de Cultura Econaomica, c1954.</t>
  </si>
  <si>
    <t>[1a ed.].</t>
  </si>
  <si>
    <t>Tierra firme</t>
  </si>
  <si>
    <t>228766708:spa</t>
  </si>
  <si>
    <t>15379294</t>
  </si>
  <si>
    <t>991004336459702656</t>
  </si>
  <si>
    <t>2260278900002656</t>
  </si>
  <si>
    <t>9789681600853</t>
  </si>
  <si>
    <t>32285004928338</t>
  </si>
  <si>
    <t>893800868</t>
  </si>
  <si>
    <t>PQ7081 .H57 1992</t>
  </si>
  <si>
    <t>0                      PQ 7081000H  57          1992</t>
  </si>
  <si>
    <t>Historia de la literatura hispanoamericana / Manuel Alvar ... [et al.] ; Luis Iñigo Madrigal, coordinador.</t>
  </si>
  <si>
    <t>4919587495:spa</t>
  </si>
  <si>
    <t>29010346</t>
  </si>
  <si>
    <t>991005417769702656</t>
  </si>
  <si>
    <t>2263934720002656</t>
  </si>
  <si>
    <t>32285002095791</t>
  </si>
  <si>
    <t>893536642</t>
  </si>
  <si>
    <t>PQ7081 .I34 1986</t>
  </si>
  <si>
    <t>0                      PQ 7081000I  34          1986</t>
  </si>
  <si>
    <t>Identidad cultural de Iberoamérica en su literatura / coordinator, Saúl Yurkiévich.</t>
  </si>
  <si>
    <t>Madrid : Alhambra, 1986.</t>
  </si>
  <si>
    <t>Humanidades</t>
  </si>
  <si>
    <t>12210821:spa</t>
  </si>
  <si>
    <t>16665396</t>
  </si>
  <si>
    <t>991001127879702656</t>
  </si>
  <si>
    <t>2265050770002656</t>
  </si>
  <si>
    <t>9788420515236</t>
  </si>
  <si>
    <t>32285002080363</t>
  </si>
  <si>
    <t>893496839</t>
  </si>
  <si>
    <t>PQ7081 .L39 1981</t>
  </si>
  <si>
    <t>0                      PQ 7081000L  39          1981</t>
  </si>
  <si>
    <t>Historia de la literatura hispanoamericana, el siglo XIX (1780-1914) / Raimundo Lazo.</t>
  </si>
  <si>
    <t>Lazo, Raimundo, 1904-1976.</t>
  </si>
  <si>
    <t>México : Editorial Porrúa, 1981.</t>
  </si>
  <si>
    <t>"Sepan cuantos--" ; no. 65</t>
  </si>
  <si>
    <t>10200603618:spa</t>
  </si>
  <si>
    <t>9427040</t>
  </si>
  <si>
    <t>991000193789702656</t>
  </si>
  <si>
    <t>2260800300002656</t>
  </si>
  <si>
    <t>9789684326736</t>
  </si>
  <si>
    <t>32285002080355</t>
  </si>
  <si>
    <t>893701919</t>
  </si>
  <si>
    <t>PQ7081 .L4 1979</t>
  </si>
  <si>
    <t>0                      PQ 7081000L  4           1979</t>
  </si>
  <si>
    <t>El romanticismo : fijación sicológico-social de su concepto; lo romántico en la lírica hispano-americana, del siglo XVI á 1970 / Raimundo Lazo.</t>
  </si>
  <si>
    <t>México : Editorial Porrúa, 1979.</t>
  </si>
  <si>
    <t>"Sepan cuantos--" ; no. 184</t>
  </si>
  <si>
    <t>366082770:spa</t>
  </si>
  <si>
    <t>7032928</t>
  </si>
  <si>
    <t>991005071579702656</t>
  </si>
  <si>
    <t>2257875230002656</t>
  </si>
  <si>
    <t>9789684323674</t>
  </si>
  <si>
    <t>32285002080348</t>
  </si>
  <si>
    <t>893513985</t>
  </si>
  <si>
    <t>PQ7081 .L44 1986</t>
  </si>
  <si>
    <t>0                      PQ 7081000L  44          1986</t>
  </si>
  <si>
    <t>Texturas : ensayos de crítica literaria / Monique J. Lemaître.</t>
  </si>
  <si>
    <t>Lemaître, Monique J.</t>
  </si>
  <si>
    <t>México, D.F. : Editorial Oasis, 1986.</t>
  </si>
  <si>
    <t>Colección Alfonso Reyes ; no. 8</t>
  </si>
  <si>
    <t>1999-02-08</t>
  </si>
  <si>
    <t>1996-06-18</t>
  </si>
  <si>
    <t>320794357:spa</t>
  </si>
  <si>
    <t>15238761</t>
  </si>
  <si>
    <t>991001005869702656</t>
  </si>
  <si>
    <t>2264719400002656</t>
  </si>
  <si>
    <t>9789688730157</t>
  </si>
  <si>
    <t>32285002194164</t>
  </si>
  <si>
    <t>893791075</t>
  </si>
  <si>
    <t>PQ7081 .M28 1991</t>
  </si>
  <si>
    <t>0                      PQ 7081000M  28          1991</t>
  </si>
  <si>
    <t>Manual de literatura hispanoamericana / Felipe B. Pedraza Jiménez, coordinador.</t>
  </si>
  <si>
    <t>Berriozar, Navarra [Spain] : Cénlit Ediciones, 1991-</t>
  </si>
  <si>
    <t>2002-02-24</t>
  </si>
  <si>
    <t>2004-03-25</t>
  </si>
  <si>
    <t>1995-05-03</t>
  </si>
  <si>
    <t>2004-05-05</t>
  </si>
  <si>
    <t>5090566409:spa</t>
  </si>
  <si>
    <t>26857766</t>
  </si>
  <si>
    <t>991002095189702656</t>
  </si>
  <si>
    <t>2266623650002656</t>
  </si>
  <si>
    <t>9788485511242</t>
  </si>
  <si>
    <t>32285002037447</t>
  </si>
  <si>
    <t>893798172</t>
  </si>
  <si>
    <t>2004-03-17</t>
  </si>
  <si>
    <t>327932-3001</t>
  </si>
  <si>
    <t>893792031</t>
  </si>
  <si>
    <t>32285002037454</t>
  </si>
  <si>
    <t>893773214</t>
  </si>
  <si>
    <t>32285004930029</t>
  </si>
  <si>
    <t>893785712</t>
  </si>
  <si>
    <t>32285004930318</t>
  </si>
  <si>
    <t>893785711</t>
  </si>
  <si>
    <t>PQ7081 .M3614 1991</t>
  </si>
  <si>
    <t>0                      PQ 7081000M  3614        1991</t>
  </si>
  <si>
    <t>El barroco literario en Hispanoamérica : ensayos de teoría y crítica / por Alexis Márquez Rodríguez.</t>
  </si>
  <si>
    <t>Márquez Rodríguez, Alexis.</t>
  </si>
  <si>
    <t>Bogotá, Colombia : Tercer Mundo Editores, 1991.</t>
  </si>
  <si>
    <t>434448778:spa</t>
  </si>
  <si>
    <t>27052120</t>
  </si>
  <si>
    <t>991002110719702656</t>
  </si>
  <si>
    <t>2254984340002656</t>
  </si>
  <si>
    <t>9789586013529</t>
  </si>
  <si>
    <t>32285002080314</t>
  </si>
  <si>
    <t>893523210</t>
  </si>
  <si>
    <t>PQ7081 .M617 1979</t>
  </si>
  <si>
    <t>0                      PQ 7081000M  617         1979</t>
  </si>
  <si>
    <t>Escritores latinoamericanos contemporáneos / Guillermo Morón ; [portada, Carlos Tosco].</t>
  </si>
  <si>
    <t>Caracas, Venezuela : Equinoccio, c1979.</t>
  </si>
  <si>
    <t>Colección Parámetros</t>
  </si>
  <si>
    <t>21051302:spa</t>
  </si>
  <si>
    <t>6090724</t>
  </si>
  <si>
    <t>991004335529702656</t>
  </si>
  <si>
    <t>2264544620002656</t>
  </si>
  <si>
    <t>32285004927454</t>
  </si>
  <si>
    <t>893794743</t>
  </si>
  <si>
    <t>PQ7081 .N83 1996</t>
  </si>
  <si>
    <t>0                      PQ 7081000N  83          1996</t>
  </si>
  <si>
    <t>Las voces perdurables : narradores latinoamericanos del medio siglo / [Sergio Nudelstejer].</t>
  </si>
  <si>
    <t>Nudelstejer B., Sergio.</t>
  </si>
  <si>
    <t>México, D.F. : Universidad Nacional Autónoma de México, Coordinación de Difusión Cultural/Dirección de Literatura : Editorial Aldus, 1996.</t>
  </si>
  <si>
    <t>Textos de difusión cultural. Serie diagonal</t>
  </si>
  <si>
    <t>2005-10-13</t>
  </si>
  <si>
    <t>1998-05-21</t>
  </si>
  <si>
    <t>365367918:spa</t>
  </si>
  <si>
    <t>36972587</t>
  </si>
  <si>
    <t>991002814899702656</t>
  </si>
  <si>
    <t>2258446500002656</t>
  </si>
  <si>
    <t>9789683637574</t>
  </si>
  <si>
    <t>32285003411534</t>
  </si>
  <si>
    <t>893698305</t>
  </si>
  <si>
    <t>PQ7081 .O74 1976</t>
  </si>
  <si>
    <t>0                      PQ 7081000O  74          1976</t>
  </si>
  <si>
    <t>Letras hispanoamericanas de nuestro tiempo / por José Ortega ; con un prólogo de Antonio Ferres.</t>
  </si>
  <si>
    <t>Ortega, José, 1933-</t>
  </si>
  <si>
    <t>Madrid : J. Porrúa Turanzas, 1976.</t>
  </si>
  <si>
    <t>Ensayos</t>
  </si>
  <si>
    <t>5080341:spa</t>
  </si>
  <si>
    <t>2425489</t>
  </si>
  <si>
    <t>991004121069702656</t>
  </si>
  <si>
    <t>2264376280002656</t>
  </si>
  <si>
    <t>9788473170611</t>
  </si>
  <si>
    <t>32285002080520</t>
  </si>
  <si>
    <t>893235080</t>
  </si>
  <si>
    <t>PQ7081 .P44 1980</t>
  </si>
  <si>
    <t>0                      PQ 7081000P  44          1980</t>
  </si>
  <si>
    <t>Literatura y sociedad en América Latina / por Françoise Perus.</t>
  </si>
  <si>
    <t>Perus, Françoise.</t>
  </si>
  <si>
    <t>México : Siglo Veintiuno Editores, 1980.</t>
  </si>
  <si>
    <t>3a ed.</t>
  </si>
  <si>
    <t>Sociología y política</t>
  </si>
  <si>
    <t>7243966:spa</t>
  </si>
  <si>
    <t>8706551</t>
  </si>
  <si>
    <t>991004341489702656</t>
  </si>
  <si>
    <t>2258472420002656</t>
  </si>
  <si>
    <t>9789682303036</t>
  </si>
  <si>
    <t>32285004929005</t>
  </si>
  <si>
    <t>893612234</t>
  </si>
  <si>
    <t>PQ7081 .R29 1994</t>
  </si>
  <si>
    <t>0                      PQ 7081000R  29          1994</t>
  </si>
  <si>
    <t>Seis ensayos sobre literatura Latinoamericana / Elías A. Ramos Q.</t>
  </si>
  <si>
    <t>Ramos Q., Elías A.</t>
  </si>
  <si>
    <t>Caracas, Venezuela : Ediciones La Espada Rota, 1994.</t>
  </si>
  <si>
    <t>Colección Estudios latinoamericanos</t>
  </si>
  <si>
    <t>351614043:spa</t>
  </si>
  <si>
    <t>32645052</t>
  </si>
  <si>
    <t>991003765269702656</t>
  </si>
  <si>
    <t>2263108380002656</t>
  </si>
  <si>
    <t>32285004461116</t>
  </si>
  <si>
    <t>893598953</t>
  </si>
  <si>
    <t>PQ7081 .R525 1993</t>
  </si>
  <si>
    <t>0                      PQ 7081000R  525         1993</t>
  </si>
  <si>
    <t>La bausqueda sin fin / Francisco Rivera.</t>
  </si>
  <si>
    <t>Rivera, Francisco, 1933-</t>
  </si>
  <si>
    <t>Caracas, Venezuela : Monte Avila Editores Latinoamericana, 1993.</t>
  </si>
  <si>
    <t>Estudios</t>
  </si>
  <si>
    <t>365542459:spa</t>
  </si>
  <si>
    <t>30016336</t>
  </si>
  <si>
    <t>991004332839702656</t>
  </si>
  <si>
    <t>2261419330002656</t>
  </si>
  <si>
    <t>9789800107195</t>
  </si>
  <si>
    <t>32285004925334</t>
  </si>
  <si>
    <t>893605890</t>
  </si>
  <si>
    <t>PQ7081 .R585 1995</t>
  </si>
  <si>
    <t>0                      PQ 7081000R  585         1995</t>
  </si>
  <si>
    <t>El reflejo perdido / Neveska Rodríguez M.</t>
  </si>
  <si>
    <t>Rodríguez Martínez, Neveska.</t>
  </si>
  <si>
    <t>Mérida, Venezuela : Ediciones de la Casa de Asterion, 1995.</t>
  </si>
  <si>
    <t>2002-07-02</t>
  </si>
  <si>
    <t>2002-07-01</t>
  </si>
  <si>
    <t>45609469:spa</t>
  </si>
  <si>
    <t>37277497</t>
  </si>
  <si>
    <t>991003834949702656</t>
  </si>
  <si>
    <t>2271379920002656</t>
  </si>
  <si>
    <t>9789806361270</t>
  </si>
  <si>
    <t>32285004496138</t>
  </si>
  <si>
    <t>893512415</t>
  </si>
  <si>
    <t>PQ7081 .R617 1968</t>
  </si>
  <si>
    <t>0                      PQ 7081000R  617         1968</t>
  </si>
  <si>
    <t>El arte de narrar : diálogos / Emir Rodriguez Monegal.</t>
  </si>
  <si>
    <t>Rodríguez Monegal, Emir.</t>
  </si>
  <si>
    <t>[Caracas] : Monte Avila Editores, [1968]</t>
  </si>
  <si>
    <t>Colección Prisma</t>
  </si>
  <si>
    <t>365354506:spa</t>
  </si>
  <si>
    <t>399345</t>
  </si>
  <si>
    <t>991003834629702656</t>
  </si>
  <si>
    <t>2258001380002656</t>
  </si>
  <si>
    <t>32285004496179</t>
  </si>
  <si>
    <t>893868933</t>
  </si>
  <si>
    <t>PQ7081 .S33 1968</t>
  </si>
  <si>
    <t>0                      PQ 7081000S  33          1968</t>
  </si>
  <si>
    <t>Gaenesis del modernismo : Martai, Naajera, Silva, Casal / [por] Ivaan A. Schulman.</t>
  </si>
  <si>
    <t>Schulman, Iván A.</t>
  </si>
  <si>
    <t>Maexico : Colegio de Maexico ; [St. Louis, Mo.] : Washington University Press, [1968, c1966]</t>
  </si>
  <si>
    <t>1331719:spa</t>
  </si>
  <si>
    <t>425178</t>
  </si>
  <si>
    <t>991004335959702656</t>
  </si>
  <si>
    <t>2267957820002656</t>
  </si>
  <si>
    <t>32285004928270</t>
  </si>
  <si>
    <t>893628103</t>
  </si>
  <si>
    <t>PQ7081 .S36 1983</t>
  </si>
  <si>
    <t>0                      PQ 7081000S  36          1983</t>
  </si>
  <si>
    <t>Reescrituras / Juan Carlos Santaella.</t>
  </si>
  <si>
    <t>Santaella, Juan Carlos, 1956-</t>
  </si>
  <si>
    <t>Caracas : Academia Nacional de la Historia, 1983.</t>
  </si>
  <si>
    <t>El Libro menor ; 39</t>
  </si>
  <si>
    <t>9254918:spa</t>
  </si>
  <si>
    <t>14698472</t>
  </si>
  <si>
    <t>991004340179702656</t>
  </si>
  <si>
    <t>2259807330002656</t>
  </si>
  <si>
    <t>32285004928932</t>
  </si>
  <si>
    <t>893429940</t>
  </si>
  <si>
    <t>PQ7081 .T63 1960</t>
  </si>
  <si>
    <t>0                      PQ 7081000T  63          1960</t>
  </si>
  <si>
    <t>Temas literarios hispanoamericanos / Mario Torrealba Lossi.</t>
  </si>
  <si>
    <t>Torrealba Lossi, Mario.</t>
  </si>
  <si>
    <t>Caracas : Tip. Vargas, 1960.</t>
  </si>
  <si>
    <t>5067515:spa</t>
  </si>
  <si>
    <t>2470136</t>
  </si>
  <si>
    <t>991004334699702656</t>
  </si>
  <si>
    <t>2256491170002656</t>
  </si>
  <si>
    <t>32285004927850</t>
  </si>
  <si>
    <t>893436164</t>
  </si>
  <si>
    <t>PQ7081 .T73</t>
  </si>
  <si>
    <t>0                      PQ 7081000T  73</t>
  </si>
  <si>
    <t>The epic of Latin American literature / [by] Arturo Torres-Ríoseco.</t>
  </si>
  <si>
    <t>Torres-Rioseco, Arturo, 1897-1971.</t>
  </si>
  <si>
    <t>New York ; London : Oxford University Press, 1942.</t>
  </si>
  <si>
    <t>1999-03-10</t>
  </si>
  <si>
    <t>1994-04-29</t>
  </si>
  <si>
    <t>1341356:eng</t>
  </si>
  <si>
    <t>2546377</t>
  </si>
  <si>
    <t>991004159639702656</t>
  </si>
  <si>
    <t>2270103250002656</t>
  </si>
  <si>
    <t>32285001905057</t>
  </si>
  <si>
    <t>893618323</t>
  </si>
  <si>
    <t>PQ7081 .V3 1969</t>
  </si>
  <si>
    <t>0                      PQ 7081000V  3           1969</t>
  </si>
  <si>
    <t>Literatura hispanoamericana / A. Valbuena Briones.</t>
  </si>
  <si>
    <t>Barcelona, G. Gili, 1969.</t>
  </si>
  <si>
    <t>4a. ed., ampliada.</t>
  </si>
  <si>
    <t>2001-12-10</t>
  </si>
  <si>
    <t>8909746247:eng</t>
  </si>
  <si>
    <t>500763</t>
  </si>
  <si>
    <t>991003693639702656</t>
  </si>
  <si>
    <t>2255208990002656</t>
  </si>
  <si>
    <t>32285004427273</t>
  </si>
  <si>
    <t>893605085</t>
  </si>
  <si>
    <t>PQ7081.A1 D53 1993</t>
  </si>
  <si>
    <t>0                      PQ 7081000A  1                  D  53          1993</t>
  </si>
  <si>
    <t>Diosas, musas y mujeres / V. Acosta ... [et al.].</t>
  </si>
  <si>
    <t>Caracas : Monte Avila Editores Latinoamericana, 1993.</t>
  </si>
  <si>
    <t>Documentos</t>
  </si>
  <si>
    <t>2002-05-16</t>
  </si>
  <si>
    <t>476707198:spa</t>
  </si>
  <si>
    <t>32394903</t>
  </si>
  <si>
    <t>991003811039702656</t>
  </si>
  <si>
    <t>2257056260002656</t>
  </si>
  <si>
    <t>9789800106624</t>
  </si>
  <si>
    <t>32285004489182</t>
  </si>
  <si>
    <t>893617798</t>
  </si>
  <si>
    <t>PQ7081.A1 I524 1987</t>
  </si>
  <si>
    <t>0                      PQ 7081000A  1                  I  524         1987</t>
  </si>
  <si>
    <t>In retrospect : essays on Latin American literature : (in memory of Willis Knapp Jones) / edited by Elizabeth S. Rogers and Timothy J. Rogers.</t>
  </si>
  <si>
    <t>York, S.C. : Spanish Literature Publications Co., 1987.</t>
  </si>
  <si>
    <t>2003-04-16</t>
  </si>
  <si>
    <t>908033677:eng</t>
  </si>
  <si>
    <t>16828368</t>
  </si>
  <si>
    <t>991004027819702656</t>
  </si>
  <si>
    <t>2265334190002656</t>
  </si>
  <si>
    <t>9780938972105</t>
  </si>
  <si>
    <t>32285004742846</t>
  </si>
  <si>
    <t>893900703</t>
  </si>
  <si>
    <t>PQ7081.A1 I53 1987</t>
  </si>
  <si>
    <t>0                      PQ 7081000A  1                  I  53          1987</t>
  </si>
  <si>
    <t>La historia en la literatura iberoamericana : memorias del XXVI Congreso del Instituto Internacional de Literatura Iberoamericana / edición, compilación y prólogo de Raquel Chang-Rodríguez y Gabriella de Beer.</t>
  </si>
  <si>
    <t>Congreso Internacional de Literatura Iberoamericana (26th : 1987 : City College of New York)</t>
  </si>
  <si>
    <t>New York, NY : City College of the City University of New York ; Hanover, NH : Ediciones del Norte, 1989-</t>
  </si>
  <si>
    <t>The Inca Garcilaso series</t>
  </si>
  <si>
    <t>906230753:spa</t>
  </si>
  <si>
    <t>20289697</t>
  </si>
  <si>
    <t>991002078029702656</t>
  </si>
  <si>
    <t>2262461220002656</t>
  </si>
  <si>
    <t>9780910061438</t>
  </si>
  <si>
    <t>32285002095783</t>
  </si>
  <si>
    <t>893590882</t>
  </si>
  <si>
    <t>PQ7081.A1 V3 1977</t>
  </si>
  <si>
    <t>0                      PQ 7081000A  1                  V  3           1977</t>
  </si>
  <si>
    <t>Los Vanguardismos en la América latina / Oscar Collazos.</t>
  </si>
  <si>
    <t>Barcelona : Ediciones Península, 1977, c1970.</t>
  </si>
  <si>
    <t>Ediciones de bolsillo ; 496 : Ciencias humanas : Estética</t>
  </si>
  <si>
    <t>365388955:spa</t>
  </si>
  <si>
    <t>3604663</t>
  </si>
  <si>
    <t>991004340019702656</t>
  </si>
  <si>
    <t>2269187560002656</t>
  </si>
  <si>
    <t>9788429712728</t>
  </si>
  <si>
    <t>32285004929500</t>
  </si>
  <si>
    <t>893718793</t>
  </si>
  <si>
    <t>PQ7082.D7 D387 1993</t>
  </si>
  <si>
    <t>0                      PQ 7082000D  7                  D  387         1993</t>
  </si>
  <si>
    <t>Perfil generacional del teatro Hispanoamericano (1894-1924) : Chile, México, El Río de la Plata / Frank Dauster.</t>
  </si>
  <si>
    <t>Dauster, Frank N.</t>
  </si>
  <si>
    <t>Ottawa : GIROL Books, 1993.</t>
  </si>
  <si>
    <t>onc</t>
  </si>
  <si>
    <t>Colección Telón. Historia ; 1</t>
  </si>
  <si>
    <t>2004-03-30</t>
  </si>
  <si>
    <t>30796197:spa</t>
  </si>
  <si>
    <t>28582150</t>
  </si>
  <si>
    <t>991004264469702656</t>
  </si>
  <si>
    <t>2261477000002656</t>
  </si>
  <si>
    <t>9780919659247</t>
  </si>
  <si>
    <t>32285004898259</t>
  </si>
  <si>
    <t>893628062</t>
  </si>
  <si>
    <t>PQ7082.E8 E27 1973</t>
  </si>
  <si>
    <t>0                      PQ 7082000E  8                  E  27          1973</t>
  </si>
  <si>
    <t>Historia del ensayo hispanoamericano / por Peter G. Earle y Robert G. Mead, Jr.</t>
  </si>
  <si>
    <t>Earle, Peter G.</t>
  </si>
  <si>
    <t>México : Ediciones de Andrea, 1973.</t>
  </si>
  <si>
    <t>Historia literaria de Hispanoamérica ; t. 6</t>
  </si>
  <si>
    <t>1830882:spa</t>
  </si>
  <si>
    <t>863619</t>
  </si>
  <si>
    <t>991004523499702656</t>
  </si>
  <si>
    <t>2264222940002656</t>
  </si>
  <si>
    <t>32285005048466</t>
  </si>
  <si>
    <t>893801050</t>
  </si>
  <si>
    <t>PQ7082.E8 F4 1990</t>
  </si>
  <si>
    <t>0                      PQ 7082000E  8                  F  4           1990</t>
  </si>
  <si>
    <t>Los gaeneros ensayaisticos hispanoamericanos / Teodosio Fernaandez.</t>
  </si>
  <si>
    <t>Fernaandez, Teodosio.</t>
  </si>
  <si>
    <t>Madrid : Taurus, c1990.</t>
  </si>
  <si>
    <t>Historia craitica de la literatura hispaanica ; 35</t>
  </si>
  <si>
    <t>349890916:spa</t>
  </si>
  <si>
    <t>23720841</t>
  </si>
  <si>
    <t>991004336109702656</t>
  </si>
  <si>
    <t>2272210630002656</t>
  </si>
  <si>
    <t>9788430625352</t>
  </si>
  <si>
    <t>32285004928494</t>
  </si>
  <si>
    <t>893706275</t>
  </si>
  <si>
    <t>PQ7082.E8 O95 1991</t>
  </si>
  <si>
    <t>0                      PQ 7082000E  8                  O  95          1991</t>
  </si>
  <si>
    <t>Breve historia del ensayo hispanoamericano / Josae Miguel Oviedo.</t>
  </si>
  <si>
    <t>Oviedo, José Miguel.</t>
  </si>
  <si>
    <t>Madrid : Alianza, c1991.</t>
  </si>
  <si>
    <t>Libro de bolsillo ; 1509</t>
  </si>
  <si>
    <t>26731513:spa</t>
  </si>
  <si>
    <t>24620660</t>
  </si>
  <si>
    <t>991004339989702656</t>
  </si>
  <si>
    <t>2265938650002656</t>
  </si>
  <si>
    <t>9788420605098</t>
  </si>
  <si>
    <t>32285004929492</t>
  </si>
  <si>
    <t>893806950</t>
  </si>
  <si>
    <t>PQ7082.N7 A55 1965</t>
  </si>
  <si>
    <t>0                      PQ 7082000N  7                  A  55          1965</t>
  </si>
  <si>
    <t>Historia de la novela hispanoamericana / por Fernando Alegria.</t>
  </si>
  <si>
    <t>Alegría, Fernando, 1918-2005.</t>
  </si>
  <si>
    <t>México : Ediciones De Andrea, 1965.</t>
  </si>
  <si>
    <t>[2. ed., corr. y muy ampliada]</t>
  </si>
  <si>
    <t>Historia literaria de Hispanoamérica, v. 1</t>
  </si>
  <si>
    <t>149584049:spa</t>
  </si>
  <si>
    <t>2468543</t>
  </si>
  <si>
    <t>991004523079702656</t>
  </si>
  <si>
    <t>2271105620002656</t>
  </si>
  <si>
    <t>32285005048300</t>
  </si>
  <si>
    <t>893519755</t>
  </si>
  <si>
    <t>PQ7082.N7 A578 1994</t>
  </si>
  <si>
    <t>0                      PQ 7082000N  7                  A  578         1994</t>
  </si>
  <si>
    <t>La novela urbana en Latinoamaerica durante los aanos 1945 a 1959 / Maraia Elena D'Alessandro Bello.</t>
  </si>
  <si>
    <t>D'Alessandro Bello, María Elena, 1959-</t>
  </si>
  <si>
    <t>Caracas, Venezuela : Fundaciaon CELARG, [1994]</t>
  </si>
  <si>
    <t>366459562:spa</t>
  </si>
  <si>
    <t>33234146</t>
  </si>
  <si>
    <t>991004333079702656</t>
  </si>
  <si>
    <t>2256720660002656</t>
  </si>
  <si>
    <t>9789806197305</t>
  </si>
  <si>
    <t>32285004925219</t>
  </si>
  <si>
    <t>893500426</t>
  </si>
  <si>
    <t>PQ7082.N7 B3</t>
  </si>
  <si>
    <t>0                      PQ 7082000N  7                  B  3</t>
  </si>
  <si>
    <t>La novela y el cuento en Hispanoamérica.</t>
  </si>
  <si>
    <t>Barbagelata, Hugo D. (Hugo David), 1886-</t>
  </si>
  <si>
    <t>422790075:spa</t>
  </si>
  <si>
    <t>652165</t>
  </si>
  <si>
    <t>991003102819702656</t>
  </si>
  <si>
    <t>2262913040002656</t>
  </si>
  <si>
    <t>32285003236691</t>
  </si>
  <si>
    <t>893434647</t>
  </si>
  <si>
    <t>PQ7082.N7 B64 1987</t>
  </si>
  <si>
    <t>0                      PQ 7082000N  7                  B  64          1987</t>
  </si>
  <si>
    <t>Los poderes de la ficción : para una interpretación de la literatura fantástica / Víctor Bravo.</t>
  </si>
  <si>
    <t>Bravo, Víctor, 1949-</t>
  </si>
  <si>
    <t>Caracas, Venezuela : Monte Avila Editores, 1987.</t>
  </si>
  <si>
    <t>365805884:spa</t>
  </si>
  <si>
    <t>18155175</t>
  </si>
  <si>
    <t>991003724399702656</t>
  </si>
  <si>
    <t>2264154330002656</t>
  </si>
  <si>
    <t>9789800100950</t>
  </si>
  <si>
    <t>32285004450846</t>
  </si>
  <si>
    <t>893699332</t>
  </si>
  <si>
    <t>PQ7082.N7 B64 1988</t>
  </si>
  <si>
    <t>0                      PQ 7082000N  7                  B  64          1988</t>
  </si>
  <si>
    <t>La irrupción y el límite : hacia una reflexión sobre la narrativa fantástica y la naturaleza de la ficción / Víctor Antonio Bravo.</t>
  </si>
  <si>
    <t>México, D.F. : Universidad Autónoma de México, 1988.</t>
  </si>
  <si>
    <t>Biblioteca de letras</t>
  </si>
  <si>
    <t>897814550:spa</t>
  </si>
  <si>
    <t>22792501</t>
  </si>
  <si>
    <t>991001814789702656</t>
  </si>
  <si>
    <t>2272735810002656</t>
  </si>
  <si>
    <t>9789688374160</t>
  </si>
  <si>
    <t>32285002080454</t>
  </si>
  <si>
    <t>893420650</t>
  </si>
  <si>
    <t>PQ7082.N7 B718 1984</t>
  </si>
  <si>
    <t>0                      PQ 7082000N  7                  B  718         1984</t>
  </si>
  <si>
    <t>La novela hispanoamericana del siglo XX : una vista panorámica / John S. Brushwood ; traducción de Raymond L. Williams.</t>
  </si>
  <si>
    <t>Brushwood, John S. (John Stubbs), 1920-2007.</t>
  </si>
  <si>
    <t>México : Fondo de Cultura Económica, 1984.</t>
  </si>
  <si>
    <t>Colección Tierra firme</t>
  </si>
  <si>
    <t>4956987:spa</t>
  </si>
  <si>
    <t>12413391</t>
  </si>
  <si>
    <t>991004338869702656</t>
  </si>
  <si>
    <t>2258728510002656</t>
  </si>
  <si>
    <t>9789681617110</t>
  </si>
  <si>
    <t>32285004929328</t>
  </si>
  <si>
    <t>893235364</t>
  </si>
  <si>
    <t>PQ7082.N7 B86 1990</t>
  </si>
  <si>
    <t>0                      PQ 7082000N  7                  B  86          1990</t>
  </si>
  <si>
    <t>Barroco y América Latina : un itinerario inconcluso / Carmen Bustillo ; prólogo, Alexis Márquez Rodríguez.</t>
  </si>
  <si>
    <t>Bustillo, Carmen.</t>
  </si>
  <si>
    <t>Caracas, Venezuela : Instituto de Altos Estudios de América Latina : Monte Avila Editores, 1990, c1988.</t>
  </si>
  <si>
    <t>1a. ed. en M.A.</t>
  </si>
  <si>
    <t>27156537:spa</t>
  </si>
  <si>
    <t>24339225</t>
  </si>
  <si>
    <t>991003845889702656</t>
  </si>
  <si>
    <t>2267163540002656</t>
  </si>
  <si>
    <t>9789800102893</t>
  </si>
  <si>
    <t>32285004499702</t>
  </si>
  <si>
    <t>893894229</t>
  </si>
  <si>
    <t>PQ7082.N7 B888 1996</t>
  </si>
  <si>
    <t>0                      PQ 7082000N  7                  B  888         1996</t>
  </si>
  <si>
    <t>Barroco y América Latina : un itinerario inconcluso / Carmen Bustillo ; prólogo: Alexis Márquez Rodríguez.</t>
  </si>
  <si>
    <t>Caracas (Venezuela) : Monte Ávila ; Venezuela : Universidad Simón Bolívar, 1996.</t>
  </si>
  <si>
    <t>2a. ed., aumentada.</t>
  </si>
  <si>
    <t>Estudios. Serie Literatura</t>
  </si>
  <si>
    <t>37392297</t>
  </si>
  <si>
    <t>991003765289702656</t>
  </si>
  <si>
    <t>2264869320002656</t>
  </si>
  <si>
    <t>9789800109632</t>
  </si>
  <si>
    <t>32285004461231</t>
  </si>
  <si>
    <t>893234558</t>
  </si>
  <si>
    <t>PQ7082.N7 B89 1995</t>
  </si>
  <si>
    <t>0                      PQ 7082000N  7                  B  89          1995</t>
  </si>
  <si>
    <t>El ente de papel : estudio del personaje en la narrativa latinoamericana / Carmen Bustillo.</t>
  </si>
  <si>
    <t>Caracas : Vadell Hnos., c1995.</t>
  </si>
  <si>
    <t>476871426:spa</t>
  </si>
  <si>
    <t>35298819</t>
  </si>
  <si>
    <t>991003699899702656</t>
  </si>
  <si>
    <t>2260413580002656</t>
  </si>
  <si>
    <t>9789802122011</t>
  </si>
  <si>
    <t>32285004428842</t>
  </si>
  <si>
    <t>893435319</t>
  </si>
  <si>
    <t>PQ7082.N7 C258 1987</t>
  </si>
  <si>
    <t>0                      PQ 7082000N  7                  C  258         1987</t>
  </si>
  <si>
    <t>Historia, ideología y mito en la narrativa hispanoamericana contemporánea / Julio Calviño.</t>
  </si>
  <si>
    <t>Calviño Iglesias, Julio, 1947-</t>
  </si>
  <si>
    <t>Madrid : Ayuso, 1987.</t>
  </si>
  <si>
    <t>2001-11-30</t>
  </si>
  <si>
    <t>17843566:spa</t>
  </si>
  <si>
    <t>18580988</t>
  </si>
  <si>
    <t>991001371719702656</t>
  </si>
  <si>
    <t>2258681180002656</t>
  </si>
  <si>
    <t>9788433602992</t>
  </si>
  <si>
    <t>32285002037546</t>
  </si>
  <si>
    <t>893346445</t>
  </si>
  <si>
    <t>PQ7082.N7 C4618 1983</t>
  </si>
  <si>
    <t>0                      PQ 7082000N  7                  C  4618        1983</t>
  </si>
  <si>
    <t>El realismo maravilloso : forma e ideología en la novela hispanoamericana / Irlemar Chiampi.</t>
  </si>
  <si>
    <t>Chiampi, Irlemar.</t>
  </si>
  <si>
    <t>Caracas : Monte Avila, 1983.</t>
  </si>
  <si>
    <t>2003-02-19</t>
  </si>
  <si>
    <t>427786066:spa</t>
  </si>
  <si>
    <t>10962535</t>
  </si>
  <si>
    <t>991000466159702656</t>
  </si>
  <si>
    <t>2255350400002656</t>
  </si>
  <si>
    <t>32285002080512</t>
  </si>
  <si>
    <t>893496255</t>
  </si>
  <si>
    <t>PQ7082.N7 C58 1967</t>
  </si>
  <si>
    <t>0                      PQ 7082000N  7                  C  58          1967</t>
  </si>
  <si>
    <t>Coloquio sobre la novela hispanoamericana / [por] Ivan A. Schulman [et al.]</t>
  </si>
  <si>
    <t>México : Tezontle, [1967]</t>
  </si>
  <si>
    <t>3855342798:spa</t>
  </si>
  <si>
    <t>1134640</t>
  </si>
  <si>
    <t>991004523459702656</t>
  </si>
  <si>
    <t>2267997610002656</t>
  </si>
  <si>
    <t>32285005048474</t>
  </si>
  <si>
    <t>893253784</t>
  </si>
  <si>
    <t>PQ7082.N7 G27 1987</t>
  </si>
  <si>
    <t>0                      PQ 7082000N  7                  G  27          1987</t>
  </si>
  <si>
    <t>La novela hispanoamericana contemporánea / Marina Gálvez Avero.</t>
  </si>
  <si>
    <t>Gálvez Acero, Marina.</t>
  </si>
  <si>
    <t>Historia crítica de la literatura hispánica ; 33</t>
  </si>
  <si>
    <t>350802032:spa</t>
  </si>
  <si>
    <t>17165153</t>
  </si>
  <si>
    <t>991003699359702656</t>
  </si>
  <si>
    <t>2262464070002656</t>
  </si>
  <si>
    <t>9788430625321</t>
  </si>
  <si>
    <t>32285004428644</t>
  </si>
  <si>
    <t>893246644</t>
  </si>
  <si>
    <t>PQ7082.N7 G685 1992</t>
  </si>
  <si>
    <t>0                      PQ 7082000N  7                  G  685         1992</t>
  </si>
  <si>
    <t>La duda del escorpiaon : la tradiciaon heterodoxa en la narrativa latinoamericana (anaalisis sociolaogico de cinco modelos narrativos) / Beatriz Gonzaalez Stephan.</t>
  </si>
  <si>
    <t>Caracas : Academia Nacional de la Historia, 1992.</t>
  </si>
  <si>
    <t>Biblioteca de la Academia Nacional de la Historia. Estudios, monografaias y ensayos ; 154</t>
  </si>
  <si>
    <t>1808902057:spa</t>
  </si>
  <si>
    <t>28708740</t>
  </si>
  <si>
    <t>991004335769702656</t>
  </si>
  <si>
    <t>2256839530002656</t>
  </si>
  <si>
    <t>9789802227204</t>
  </si>
  <si>
    <t>32285004928189</t>
  </si>
  <si>
    <t>893429933</t>
  </si>
  <si>
    <t>PQ7082.N7 H55 1984</t>
  </si>
  <si>
    <t>0                      PQ 7082000N  7                  H  55          1984</t>
  </si>
  <si>
    <t>Historia y ficción en la narrativa hispanoamericana : coloquio de Yale / compilación y prólogo de Roberto González Echevarría ; Alejo Carpentier ... [et al.].</t>
  </si>
  <si>
    <t>Caracas, Venezuela : Monte Avila Editores, c1984.</t>
  </si>
  <si>
    <t>865187551:spa</t>
  </si>
  <si>
    <t>18562032</t>
  </si>
  <si>
    <t>991001370699702656</t>
  </si>
  <si>
    <t>2272605620002656</t>
  </si>
  <si>
    <t>32285002080488</t>
  </si>
  <si>
    <t>893785060</t>
  </si>
  <si>
    <t>PQ7082.N7 L39 1995</t>
  </si>
  <si>
    <t>0                      PQ 7082000N  7                  L  39          1995</t>
  </si>
  <si>
    <t>La inquietud de la memoria en el caos familiar / María Luisa Lázzaro.</t>
  </si>
  <si>
    <t>Lázzaro, María Luisa, 1950-</t>
  </si>
  <si>
    <t>[Mérida, Venezuela?] : Consejo de Desarrollo Científico, Humanístico y Tecnológico de la Universidad de los Andes ; Fondo Editorial "La Escarcha Azul", 1995.</t>
  </si>
  <si>
    <t>Colección "Latido a profundidad"</t>
  </si>
  <si>
    <t>2002-11-04</t>
  </si>
  <si>
    <t>437474629:spa</t>
  </si>
  <si>
    <t>50623822</t>
  </si>
  <si>
    <t>991003932409702656</t>
  </si>
  <si>
    <t>2272742800002656</t>
  </si>
  <si>
    <t>9789802924653</t>
  </si>
  <si>
    <t>32285004630603</t>
  </si>
  <si>
    <t>893627894</t>
  </si>
  <si>
    <t>PQ7082.N7 M28 1983</t>
  </si>
  <si>
    <t>0                      PQ 7082000N  7                  M  28          1983</t>
  </si>
  <si>
    <t>Lo bello/lo feo / Antonieta Madrid.</t>
  </si>
  <si>
    <t>Madrid, Antonieta.</t>
  </si>
  <si>
    <t>El Libro menor ; 43</t>
  </si>
  <si>
    <t>2001-10-25</t>
  </si>
  <si>
    <t>2001-10-24</t>
  </si>
  <si>
    <t>4482363:spa</t>
  </si>
  <si>
    <t>11574688</t>
  </si>
  <si>
    <t>991003660119702656</t>
  </si>
  <si>
    <t>2265068540002656</t>
  </si>
  <si>
    <t>32285004415336</t>
  </si>
  <si>
    <t>893787600</t>
  </si>
  <si>
    <t>PQ7082.N7 M34 1989</t>
  </si>
  <si>
    <t>0                      PQ 7082000N  7                  M  34          1989</t>
  </si>
  <si>
    <t>Journeys through the labyrinth : Latin American fiction in the twentieth century / Gerald Martin.</t>
  </si>
  <si>
    <t>Martin, Gerald, 1944-</t>
  </si>
  <si>
    <t>London ; New York : Verso, 1989.</t>
  </si>
  <si>
    <t>Critical studies in Latin American culture</t>
  </si>
  <si>
    <t>2000-09-14</t>
  </si>
  <si>
    <t>1990-06-29</t>
  </si>
  <si>
    <t>808482025:eng</t>
  </si>
  <si>
    <t>20132537</t>
  </si>
  <si>
    <t>991001542209702656</t>
  </si>
  <si>
    <t>2262224320002656</t>
  </si>
  <si>
    <t>9780860919520</t>
  </si>
  <si>
    <t>32285000206614</t>
  </si>
  <si>
    <t>893328195</t>
  </si>
  <si>
    <t>PQ7082.N7 M378 1990</t>
  </si>
  <si>
    <t>0                      PQ 7082000N  7                  M  378         1990</t>
  </si>
  <si>
    <t>Algunas técnicas narrativas de la novela latinoamericana contemporánea / Dante Medina.</t>
  </si>
  <si>
    <t>Medina, Dante.</t>
  </si>
  <si>
    <t>[Guadalajara] : Editorial Universidad de Guadalajara, c1990.</t>
  </si>
  <si>
    <t>Colección del Centro de Estudios Literarios</t>
  </si>
  <si>
    <t>1994-02-07</t>
  </si>
  <si>
    <t>1994-01-20</t>
  </si>
  <si>
    <t>28400637:spa</t>
  </si>
  <si>
    <t>25246286</t>
  </si>
  <si>
    <t>991001987329702656</t>
  </si>
  <si>
    <t>2256367580002656</t>
  </si>
  <si>
    <t>9789688951934</t>
  </si>
  <si>
    <t>32285001832814</t>
  </si>
  <si>
    <t>893516758</t>
  </si>
  <si>
    <t>PQ7082.N7 M6 1976</t>
  </si>
  <si>
    <t>0                      PQ 7082000N  7                  M  6           1976</t>
  </si>
  <si>
    <t>De la barbarie a la imaginación / Rafael Humberto Moreno-Durán.</t>
  </si>
  <si>
    <t>Moreno-Durán, R. H., 1946-</t>
  </si>
  <si>
    <t>Barcelona : Tusquets, c1976.</t>
  </si>
  <si>
    <t>Cuadernos ínfimos ; 67</t>
  </si>
  <si>
    <t>2002-03-05</t>
  </si>
  <si>
    <t>9380917770:spa</t>
  </si>
  <si>
    <t>2203298</t>
  </si>
  <si>
    <t>991003757529702656</t>
  </si>
  <si>
    <t>2259174660002656</t>
  </si>
  <si>
    <t>9788472235670</t>
  </si>
  <si>
    <t>32285004459557</t>
  </si>
  <si>
    <t>893781359</t>
  </si>
  <si>
    <t>PQ7082.N7 O68 1984</t>
  </si>
  <si>
    <t>0                      PQ 7082000N  7                  O  68          1984</t>
  </si>
  <si>
    <t>La estética neobarroca en la narrativa hispanoamericana / José Ortega.</t>
  </si>
  <si>
    <t>Madrid : J. Porrúa Turanzas, [1984]</t>
  </si>
  <si>
    <t>429765239:spa</t>
  </si>
  <si>
    <t>21442802</t>
  </si>
  <si>
    <t>991001691369702656</t>
  </si>
  <si>
    <t>2254813130002656</t>
  </si>
  <si>
    <t>9788473171441</t>
  </si>
  <si>
    <t>32285002080439</t>
  </si>
  <si>
    <t>893621558</t>
  </si>
  <si>
    <t>PQ7082.N7 O7 1968</t>
  </si>
  <si>
    <t>0                      PQ 7082000N  7                  O  7           1968</t>
  </si>
  <si>
    <t>La contemplación y la fiesta : ensayos sobre la nueva novela latinoamericana / Julio Ortega.</t>
  </si>
  <si>
    <t>Ortega, Julio, 1942-</t>
  </si>
  <si>
    <t>Lima : Editorial Universitaria, [1968]</t>
  </si>
  <si>
    <t>2281216466:spa</t>
  </si>
  <si>
    <t>834321</t>
  </si>
  <si>
    <t>991003834859702656</t>
  </si>
  <si>
    <t>2267243470002656</t>
  </si>
  <si>
    <t>32285004495809</t>
  </si>
  <si>
    <t>893525280</t>
  </si>
  <si>
    <t>PQ7082.N7 P3 1987</t>
  </si>
  <si>
    <t>0                      PQ 7082000N  7                  P  3           1987</t>
  </si>
  <si>
    <t>Narrativa de la dictadura y crítica literaria / Carlos Pacheco.</t>
  </si>
  <si>
    <t>Pacheco, Carlos, 1948-2015.</t>
  </si>
  <si>
    <t>[Caracas, Venezuela] : Fundación Centro de Estudios Latinoamericanos Rómulo Gallegos, c1987.</t>
  </si>
  <si>
    <t>Colección La Alborada</t>
  </si>
  <si>
    <t>21504860:spa</t>
  </si>
  <si>
    <t>20517239</t>
  </si>
  <si>
    <t>991004332629702656</t>
  </si>
  <si>
    <t>2268266630002656</t>
  </si>
  <si>
    <t>32285004925243</t>
  </si>
  <si>
    <t>893506721</t>
  </si>
  <si>
    <t>PQ7082.N7 P4 1977</t>
  </si>
  <si>
    <t>0                      PQ 7082000N  7                  P  4           1977</t>
  </si>
  <si>
    <t>Historia craitica de la novela hispanoamericana / Galo Renae Paerez.</t>
  </si>
  <si>
    <t>Paerez, Galo Renae.</t>
  </si>
  <si>
    <t>Bogotaa : Cairculo de Lectores, [1977?]</t>
  </si>
  <si>
    <t>3856894415:spa</t>
  </si>
  <si>
    <t>4590335</t>
  </si>
  <si>
    <t>991004333309702656</t>
  </si>
  <si>
    <t>2262621170002656</t>
  </si>
  <si>
    <t>32285004925268</t>
  </si>
  <si>
    <t>893532276</t>
  </si>
  <si>
    <t>PQ7082.N7 R3 1972</t>
  </si>
  <si>
    <t>0                      PQ 7082000N  7                  R  3           1972</t>
  </si>
  <si>
    <t>Diez problemas para el novelista latinoamericano / Angel Rama.</t>
  </si>
  <si>
    <t>Rama, Angel.</t>
  </si>
  <si>
    <t>[Caracas : Síntesis Dosmil, 1972]</t>
  </si>
  <si>
    <t>Colección Manos libres</t>
  </si>
  <si>
    <t>1747122:spa</t>
  </si>
  <si>
    <t>792740</t>
  </si>
  <si>
    <t>991004337219702656</t>
  </si>
  <si>
    <t>2262434860002656</t>
  </si>
  <si>
    <t>32285004928056</t>
  </si>
  <si>
    <t>893423681</t>
  </si>
  <si>
    <t>PQ7082.N7 R33 1995</t>
  </si>
  <si>
    <t>0                      PQ 7082000N  7                  R  33          1995</t>
  </si>
  <si>
    <t>Realismo maravilloso o realismo mágico? : ontología de la realidad o fenomenología de la percepción / Elizabeth Raab R.</t>
  </si>
  <si>
    <t>Raab R., Elizabeth.</t>
  </si>
  <si>
    <t>[Caracas] : Universidad Pedagógica Experimental Libertador, Instituto Pedagógico de Caracas, Subdirección de Extensión, Departamento de Castellano, Literatura y Latín, [1995?]</t>
  </si>
  <si>
    <t>2005-02-24</t>
  </si>
  <si>
    <t>6357942:spa</t>
  </si>
  <si>
    <t>50623834</t>
  </si>
  <si>
    <t>991003932209702656</t>
  </si>
  <si>
    <t>2272766190002656</t>
  </si>
  <si>
    <t>9789802810345</t>
  </si>
  <si>
    <t>32285004630652</t>
  </si>
  <si>
    <t>893718249</t>
  </si>
  <si>
    <t>PQ7082.N7 R35 1978</t>
  </si>
  <si>
    <t>0                      PQ 7082000N  7                  R  35          1978</t>
  </si>
  <si>
    <t>Tiempo y narraciaon : enfoques de la temporalidad en Borges, Carpentier, Cortaazar y Garcaia Maarquez / Pedro Ramairez Molas.</t>
  </si>
  <si>
    <t>Ramairez Molas, Pedro.</t>
  </si>
  <si>
    <t>Madrid : Gredos, c1978.</t>
  </si>
  <si>
    <t>Biblioteca romaanica hispaanica : 2, Estudios y ensayos ; 276</t>
  </si>
  <si>
    <t>291583337:spa</t>
  </si>
  <si>
    <t>4569029</t>
  </si>
  <si>
    <t>991004335089702656</t>
  </si>
  <si>
    <t>2255579370002656</t>
  </si>
  <si>
    <t>9788424907617</t>
  </si>
  <si>
    <t>32285004927561</t>
  </si>
  <si>
    <t>893599715</t>
  </si>
  <si>
    <t>PQ7082.N7 R48 1985</t>
  </si>
  <si>
    <t>0                      PQ 7082000N  7                  R  48          1985</t>
  </si>
  <si>
    <t>Realismo mágico y conciencia mítica en América Latina : textos y contextos / Graciela N. Ricci Della Grisa.</t>
  </si>
  <si>
    <t>Ricci Della Grisa, Graciela N.</t>
  </si>
  <si>
    <t>Buenos Aires, Argentina : F. García Cambeiro, c1985.</t>
  </si>
  <si>
    <t>Colección Estudios latinoamericanos ; 30</t>
  </si>
  <si>
    <t>1996-10-09</t>
  </si>
  <si>
    <t>9249391756:spa</t>
  </si>
  <si>
    <t>12634499</t>
  </si>
  <si>
    <t>991000716409702656</t>
  </si>
  <si>
    <t>2258278400002656</t>
  </si>
  <si>
    <t>9789506430047</t>
  </si>
  <si>
    <t>32285002037702</t>
  </si>
  <si>
    <t>893696088</t>
  </si>
  <si>
    <t>PQ7082.N7 S59 1988</t>
  </si>
  <si>
    <t>0                      PQ 7082000N  7                  S  59          1988</t>
  </si>
  <si>
    <t>La historia en la novela hispanoamericana moderna / por Raymond D. Souza.</t>
  </si>
  <si>
    <t>Souza, Raymond D., 1936-</t>
  </si>
  <si>
    <t>Bogotá, Colombia : Tercer Mundo Editores, 1988.</t>
  </si>
  <si>
    <t>139590855:spa</t>
  </si>
  <si>
    <t>19028265</t>
  </si>
  <si>
    <t>991001426259702656</t>
  </si>
  <si>
    <t>2268500120002656</t>
  </si>
  <si>
    <t>9789586011921</t>
  </si>
  <si>
    <t>32285002080496</t>
  </si>
  <si>
    <t>893522570</t>
  </si>
  <si>
    <t>PQ7082.N7 U8 1974</t>
  </si>
  <si>
    <t>0                      PQ 7082000N  7                  U  8           1974</t>
  </si>
  <si>
    <t>Breve historia de la novela hispanoamericana / Arturo Uslar-Pietri.</t>
  </si>
  <si>
    <t>Uslar Pietri, Arturo, 1906-2001.</t>
  </si>
  <si>
    <t>Madrid : Mediterraaneo, 1974.</t>
  </si>
  <si>
    <t>Colección de bolsillo EDIME ; 79</t>
  </si>
  <si>
    <t>63097641:spa</t>
  </si>
  <si>
    <t>1722906</t>
  </si>
  <si>
    <t>991004336999702656</t>
  </si>
  <si>
    <t>2272714030002656</t>
  </si>
  <si>
    <t>9788471561480</t>
  </si>
  <si>
    <t>32285004928684</t>
  </si>
  <si>
    <t>893788576</t>
  </si>
  <si>
    <t>PQ7082.N7 W55 1995</t>
  </si>
  <si>
    <t>0                      PQ 7082000N  7                  W  55          1995</t>
  </si>
  <si>
    <t>The postmodern novel in Latin America : politics, culture, and the crisis of truth / Raymond Leslie Williams.</t>
  </si>
  <si>
    <t>Williams, Raymond L.</t>
  </si>
  <si>
    <t>New York : St. Martin's Press, 1995.</t>
  </si>
  <si>
    <t>2001-04-09</t>
  </si>
  <si>
    <t>1995-12-27</t>
  </si>
  <si>
    <t>20680776:eng</t>
  </si>
  <si>
    <t>32237034</t>
  </si>
  <si>
    <t>991002475519702656</t>
  </si>
  <si>
    <t>2267966120002656</t>
  </si>
  <si>
    <t>9780312120818</t>
  </si>
  <si>
    <t>32285002112869</t>
  </si>
  <si>
    <t>893898791</t>
  </si>
  <si>
    <t>PQ7082.P7 B83 1985</t>
  </si>
  <si>
    <t>0                      PQ 7082000P  7                  B  83          1985</t>
  </si>
  <si>
    <t>Poesía hispanoamericana de vanguardia : procedimientos de interpretación textual / Raúl Bueno.</t>
  </si>
  <si>
    <t>Bueno, Raúl, 1944-</t>
  </si>
  <si>
    <t>Lima : Latinoamericana Editores, c1985.</t>
  </si>
  <si>
    <t>198287521:spa</t>
  </si>
  <si>
    <t>12899050</t>
  </si>
  <si>
    <t>991000748859702656</t>
  </si>
  <si>
    <t>2266887550002656</t>
  </si>
  <si>
    <t>32285002080322</t>
  </si>
  <si>
    <t>893432258</t>
  </si>
  <si>
    <t>PQ7082.P7 C48 1989</t>
  </si>
  <si>
    <t>0                      PQ 7082000P  7                  C  48          1989</t>
  </si>
  <si>
    <t>Leyendo América Latina : poesía, ficción, cultura / J.G. Cobo Borda.</t>
  </si>
  <si>
    <t>El Libro menor ; 144</t>
  </si>
  <si>
    <t>24047738:spa</t>
  </si>
  <si>
    <t>22660791</t>
  </si>
  <si>
    <t>991004338229702656</t>
  </si>
  <si>
    <t>2260025070002656</t>
  </si>
  <si>
    <t>32285004929963</t>
  </si>
  <si>
    <t>893599720</t>
  </si>
  <si>
    <t>PQ7082.P7 S34 1996</t>
  </si>
  <si>
    <t>0                      PQ 7082000P  7                  S  34          1996</t>
  </si>
  <si>
    <t>De la imaginación poética : conversaciones con Gonzalo Rojas, Olga Orozco, Alvaro Mutis y José Kozer / Jacobo Sefamí.</t>
  </si>
  <si>
    <t>Sefamí, Jacobo, 1957-</t>
  </si>
  <si>
    <t>Caracas, Venezuela : Monte Avila Editores, 1996.</t>
  </si>
  <si>
    <t>Colección Documentos. Serie documental</t>
  </si>
  <si>
    <t>2001-12-12</t>
  </si>
  <si>
    <t>2001-12-11</t>
  </si>
  <si>
    <t>365515612:spa</t>
  </si>
  <si>
    <t>36029911</t>
  </si>
  <si>
    <t>991003694989702656</t>
  </si>
  <si>
    <t>2263912960002656</t>
  </si>
  <si>
    <t>9789800108147</t>
  </si>
  <si>
    <t>32285004427794</t>
  </si>
  <si>
    <t>893693042</t>
  </si>
  <si>
    <t>PQ7082.P7 S87 1985</t>
  </si>
  <si>
    <t>0                      PQ 7082000P  7                  S  87          1985</t>
  </si>
  <si>
    <t>La máscara, la transparencia / Guillermo Sucre.</t>
  </si>
  <si>
    <t>Sucre, Guillermo.</t>
  </si>
  <si>
    <t>México : Fondo de Cultura Económica, 1985.</t>
  </si>
  <si>
    <t>1999-11-22</t>
  </si>
  <si>
    <t>350920371:spa</t>
  </si>
  <si>
    <t>14347647</t>
  </si>
  <si>
    <t>991000933719702656</t>
  </si>
  <si>
    <t>2259472130002656</t>
  </si>
  <si>
    <t>9789681620172</t>
  </si>
  <si>
    <t>32285001832764</t>
  </si>
  <si>
    <t>893340019</t>
  </si>
  <si>
    <t>PQ7082.P7 Y8 1984</t>
  </si>
  <si>
    <t>0                      PQ 7082000P  7                  Y  8           1984</t>
  </si>
  <si>
    <t>Fundadores de la nueva poesía latinoamericana : Vallejo, Huidobro, Borges, Girondo, Neruda, Paz, Lezama Lima / Saúl Yurkievich.</t>
  </si>
  <si>
    <t>Yurkiévich, Saúl.</t>
  </si>
  <si>
    <t>Barcelona : Ariel, 1984.</t>
  </si>
  <si>
    <t>1a ed. aum. en "Letras e ideas".</t>
  </si>
  <si>
    <t>Letras e ideas. Studia</t>
  </si>
  <si>
    <t>1389440:spa</t>
  </si>
  <si>
    <t>11382955</t>
  </si>
  <si>
    <t>991000528889702656</t>
  </si>
  <si>
    <t>2270027770002656</t>
  </si>
  <si>
    <t>9788434483736</t>
  </si>
  <si>
    <t>32285002080256</t>
  </si>
  <si>
    <t>893695913</t>
  </si>
  <si>
    <t>PQ7082.P76 R62 1997</t>
  </si>
  <si>
    <t>0                      PQ 7082000P  76                 R  62          1997</t>
  </si>
  <si>
    <t>El enfoque documental en la narrativa hispanoamericana : estudio taxonómico / Julio Rodríguez-Luis.</t>
  </si>
  <si>
    <t>Rodríguez-Luis, Julio.</t>
  </si>
  <si>
    <t>México, D.F. : Fondo de Cultura Económica, 1997.</t>
  </si>
  <si>
    <t>Sección de obras de lengua y estudios literarios</t>
  </si>
  <si>
    <t>2000-09-05</t>
  </si>
  <si>
    <t>365071145:spa</t>
  </si>
  <si>
    <t>39334089</t>
  </si>
  <si>
    <t>991003252239702656</t>
  </si>
  <si>
    <t>2265511300002656</t>
  </si>
  <si>
    <t>9789681650780</t>
  </si>
  <si>
    <t>32285003760021</t>
  </si>
  <si>
    <t>893246179</t>
  </si>
  <si>
    <t>PQ7083 .I5</t>
  </si>
  <si>
    <t>0                      PQ 7083000I  5</t>
  </si>
  <si>
    <t>An anthology of Spanish American literature, prepared under the auspices of the Instituto internacional de literatura iberoamericana by a committee consisting of E. Herman Hespelt, chairman and editor, Irving A. Leonard, John T. Reid, John A. Crow [and] John E. Englekirk.</t>
  </si>
  <si>
    <t>International Institute of Ibero-American Literature.</t>
  </si>
  <si>
    <t>New York, F.S. Crofts &amp; Company, 1946.</t>
  </si>
  <si>
    <t>1998-09-25</t>
  </si>
  <si>
    <t>548952:spa</t>
  </si>
  <si>
    <t>347193</t>
  </si>
  <si>
    <t>991002431309702656</t>
  </si>
  <si>
    <t>2272350490002656</t>
  </si>
  <si>
    <t>32285003236741</t>
  </si>
  <si>
    <t>893257283</t>
  </si>
  <si>
    <t>PQ7084 .A4865 1987</t>
  </si>
  <si>
    <t>0                      PQ 7084000A  4865        1987</t>
  </si>
  <si>
    <t>Antología de la poesía hispanoamericana actual / selección, prólogo y notas de Julio Ortega.</t>
  </si>
  <si>
    <t>México, D.F. : Siglo Veintiuno Editores, 1987.</t>
  </si>
  <si>
    <t>La Creación literaria</t>
  </si>
  <si>
    <t>56132690:spa</t>
  </si>
  <si>
    <t>16861599</t>
  </si>
  <si>
    <t>991001156459702656</t>
  </si>
  <si>
    <t>2270289370002656</t>
  </si>
  <si>
    <t>9789682314032</t>
  </si>
  <si>
    <t>32285001361962</t>
  </si>
  <si>
    <t>893407900</t>
  </si>
  <si>
    <t>PQ7084 .A58 1983</t>
  </si>
  <si>
    <t>0                      PQ 7084000A  58          1983</t>
  </si>
  <si>
    <t>Antología de la rosa / Antonio M. Diaz.</t>
  </si>
  <si>
    <t>Mérida, Venezuela : [s.n.], 1983.</t>
  </si>
  <si>
    <t>2003-01-21</t>
  </si>
  <si>
    <t>2003-01-14</t>
  </si>
  <si>
    <t>8382006:spa</t>
  </si>
  <si>
    <t>51337392</t>
  </si>
  <si>
    <t>991003972149702656</t>
  </si>
  <si>
    <t>2257212180002656</t>
  </si>
  <si>
    <t>32285004631296</t>
  </si>
  <si>
    <t>893705851</t>
  </si>
  <si>
    <t>PQ7084 .B6 1929</t>
  </si>
  <si>
    <t>0                      PQ 7084000B  6           1929</t>
  </si>
  <si>
    <t>Some Spanish-American poets / translated by Alice Stone Blackwell ; with an introduction and notes by Isaac Goldberg.</t>
  </si>
  <si>
    <t>Blackwell, Alice Stone, 1857-1950 translator.</t>
  </si>
  <si>
    <t>Philadelphia : University of Pennsylvania Press, c1929.</t>
  </si>
  <si>
    <t>1994-11-13</t>
  </si>
  <si>
    <t>1994-06-30</t>
  </si>
  <si>
    <t>484379:eng</t>
  </si>
  <si>
    <t>4275069</t>
  </si>
  <si>
    <t>991004618209702656</t>
  </si>
  <si>
    <t>2255040260002656</t>
  </si>
  <si>
    <t>32285001935799</t>
  </si>
  <si>
    <t>893712818</t>
  </si>
  <si>
    <t>PQ7084 .C54 2000</t>
  </si>
  <si>
    <t>0                      PQ 7084000C  54          2000</t>
  </si>
  <si>
    <t>Los cien grandes poemas de España y America / Julio Ortega, comp.</t>
  </si>
  <si>
    <t>México, D.F. : Siglo XXI ; Madrid : Siglo veintiuno de españa, 2000.</t>
  </si>
  <si>
    <t>34404958:spa</t>
  </si>
  <si>
    <t>44727286</t>
  </si>
  <si>
    <t>991003721069702656</t>
  </si>
  <si>
    <t>2255590230002656</t>
  </si>
  <si>
    <t>9789682322136</t>
  </si>
  <si>
    <t>32285004451570</t>
  </si>
  <si>
    <t>893336846</t>
  </si>
  <si>
    <t>PQ7084 .C58</t>
  </si>
  <si>
    <t>0                      PQ 7084000C  58</t>
  </si>
  <si>
    <t>An anthology of the modernista movement in Spanish America / compiled and edited by Alfred Coester.</t>
  </si>
  <si>
    <t>Coester, Alfred, 1874-1958 compiler.</t>
  </si>
  <si>
    <t>Boston, New York [etc.] Ginn and Company [c1924]</t>
  </si>
  <si>
    <t>1924</t>
  </si>
  <si>
    <t>1998-03-20</t>
  </si>
  <si>
    <t>1302229:spa</t>
  </si>
  <si>
    <t>1151736</t>
  </si>
  <si>
    <t>991003574719702656</t>
  </si>
  <si>
    <t>2268024340002656</t>
  </si>
  <si>
    <t>32285003365003</t>
  </si>
  <si>
    <t>893617481</t>
  </si>
  <si>
    <t>PQ7084 .C745O5</t>
  </si>
  <si>
    <t>0                      PQ 7084000C  745                O  5</t>
  </si>
  <si>
    <t>Once grandes poetisas américohispanas / [por] Carmen Conde. --</t>
  </si>
  <si>
    <t>Conde, Carmen, 1907-1996, compiler.</t>
  </si>
  <si>
    <t>Madrid : Ediciones Cultura Hispanica, 1967.</t>
  </si>
  <si>
    <t>La Encina y el mar, Colección Poesía de España y América, 34</t>
  </si>
  <si>
    <t>1998-03-22</t>
  </si>
  <si>
    <t>1405023:spa</t>
  </si>
  <si>
    <t>322685</t>
  </si>
  <si>
    <t>991002333769702656</t>
  </si>
  <si>
    <t>2257094500002656</t>
  </si>
  <si>
    <t>32285000682509</t>
  </si>
  <si>
    <t>893421221</t>
  </si>
  <si>
    <t>PQ7084 .M77 1985</t>
  </si>
  <si>
    <t>0                      PQ 7084000M  77          1985</t>
  </si>
  <si>
    <t>Muestra de poesía hispanoamericana del siglo XX / [compilada por] José Antonio Escalona-Escalona ; investigación, estudio, selección, prólogo, bibliografía e índices por el autor de la misma, a la que complementan veintiséis notas valorativas e informativas de igual número de escritores de hispanoamérica.</t>
  </si>
  <si>
    <t>Caracas, Venezuela : Biblioteca Ayacucho, [1985]</t>
  </si>
  <si>
    <t>2002-05-23</t>
  </si>
  <si>
    <t>10677801907:spa</t>
  </si>
  <si>
    <t>15136064</t>
  </si>
  <si>
    <t>991003813649702656</t>
  </si>
  <si>
    <t>2263888720002656</t>
  </si>
  <si>
    <t>32285004490073</t>
  </si>
  <si>
    <t>893531616</t>
  </si>
  <si>
    <t>PQ7084 .P545 1979</t>
  </si>
  <si>
    <t>0                      PQ 7084000P  545         1979</t>
  </si>
  <si>
    <t>Poesía de la Independencia / compilación, prólogo, notas y cronología, Emilio Carilla ; [traducciones, Ida Vitale].</t>
  </si>
  <si>
    <t>Caracas, Venezuela : Biblioteca Ayacucho, [1979]</t>
  </si>
  <si>
    <t>Biblioteca Ayacucho ; 59</t>
  </si>
  <si>
    <t>2001-11-19</t>
  </si>
  <si>
    <t>53801822:spa</t>
  </si>
  <si>
    <t>7179193</t>
  </si>
  <si>
    <t>991003681849702656</t>
  </si>
  <si>
    <t>2267190490002656</t>
  </si>
  <si>
    <t>9788466000208</t>
  </si>
  <si>
    <t>32285004412424</t>
  </si>
  <si>
    <t>893422832</t>
  </si>
  <si>
    <t>PQ7084 .P5485 1993</t>
  </si>
  <si>
    <t>0                      PQ 7084000P  5485        1993</t>
  </si>
  <si>
    <t>Poesía hispanoamericana : territorio actual / selección d Julio Ortega.</t>
  </si>
  <si>
    <t>Caracas, Venezuela : Pequeña Venecia, 1993.</t>
  </si>
  <si>
    <t>1856694844:spa</t>
  </si>
  <si>
    <t>29342331</t>
  </si>
  <si>
    <t>991003757969702656</t>
  </si>
  <si>
    <t>2265125770002656</t>
  </si>
  <si>
    <t>9789806315167</t>
  </si>
  <si>
    <t>32285004459656</t>
  </si>
  <si>
    <t>893881508</t>
  </si>
  <si>
    <t>PQ7084 .P555 1988</t>
  </si>
  <si>
    <t>0                      PQ 7084000P  555         1988</t>
  </si>
  <si>
    <t>Poesía feminista del mundo hispánico (desde la edad media hasta la actualidad) : antología crítica / Angel Flores y Kate Flores.</t>
  </si>
  <si>
    <t>[México] : Siglo Veintiuno Editores, 1988.</t>
  </si>
  <si>
    <t>1991-12-16</t>
  </si>
  <si>
    <t>905996986:spa</t>
  </si>
  <si>
    <t>19289355</t>
  </si>
  <si>
    <t>991001446839702656</t>
  </si>
  <si>
    <t>2255111550002656</t>
  </si>
  <si>
    <t>9789682312793</t>
  </si>
  <si>
    <t>32285000860725</t>
  </si>
  <si>
    <t>893696755</t>
  </si>
  <si>
    <t>PQ7085 .E83 1998</t>
  </si>
  <si>
    <t>0                      PQ 7085000E  83          1998</t>
  </si>
  <si>
    <t>Esas malditas mujeres : antología de cuentistas latinoamericanas / selección y prólogo, Angélica Gorodischer.</t>
  </si>
  <si>
    <t>Rosario, Argentina : Ameghino Editora, 1998.</t>
  </si>
  <si>
    <t>2005-05-19</t>
  </si>
  <si>
    <t>891192250:spa</t>
  </si>
  <si>
    <t>41635971</t>
  </si>
  <si>
    <t>991003254179702656</t>
  </si>
  <si>
    <t>2260984140002656</t>
  </si>
  <si>
    <t>9789879216514</t>
  </si>
  <si>
    <t>32285003763496</t>
  </si>
  <si>
    <t>893227867</t>
  </si>
  <si>
    <t>PQ7087.E5 A57 1982</t>
  </si>
  <si>
    <t>0                      PQ 7087000E  5                  A  57          1982</t>
  </si>
  <si>
    <t>Anti-Yankee feelings in Latin America : an anthology of Latin American writings from colonial to modern times in their historical perspective / by F. Toscano, James Hiester.</t>
  </si>
  <si>
    <t>1992-10-19</t>
  </si>
  <si>
    <t>909185719:eng</t>
  </si>
  <si>
    <t>8587778</t>
  </si>
  <si>
    <t>991000024089702656</t>
  </si>
  <si>
    <t>2259564520002656</t>
  </si>
  <si>
    <t>9780819121462</t>
  </si>
  <si>
    <t>32285000682525</t>
  </si>
  <si>
    <t>893783885</t>
  </si>
  <si>
    <t>PQ7087.E5 N49 1992</t>
  </si>
  <si>
    <t>0                      PQ 7087000E  5                  N  49          1992</t>
  </si>
  <si>
    <t>New tales of mystery and crime from Latin America / edited and translated by Amelia Simpson.</t>
  </si>
  <si>
    <t>Rutherford : Fairleigh Dickinson University Press ; London : Associated University Presses, c1992.</t>
  </si>
  <si>
    <t>1998-11-16</t>
  </si>
  <si>
    <t>1995-09-10</t>
  </si>
  <si>
    <t>26117768:eng</t>
  </si>
  <si>
    <t>24214491</t>
  </si>
  <si>
    <t>991001917579702656</t>
  </si>
  <si>
    <t>2271256280002656</t>
  </si>
  <si>
    <t>9780838634530</t>
  </si>
  <si>
    <t>32285002092939</t>
  </si>
  <si>
    <t>893703450</t>
  </si>
  <si>
    <t>PQ7087.E5 N84 1999</t>
  </si>
  <si>
    <t>0                      PQ 7087000E  5                  N  84          1999</t>
  </si>
  <si>
    <t>Nueva poesía latinoamericana / prólogo y selección Miguel Ángel Zapata.</t>
  </si>
  <si>
    <t>México : Universidad Nacional Autónoma de México : Universidad Veracruzana, 1999.</t>
  </si>
  <si>
    <t>Antologías literarias del siglo XX ; 3</t>
  </si>
  <si>
    <t>56549569:spa</t>
  </si>
  <si>
    <t>44131218</t>
  </si>
  <si>
    <t>991003255249702656</t>
  </si>
  <si>
    <t>2269474160002656</t>
  </si>
  <si>
    <t>9789683669650</t>
  </si>
  <si>
    <t>32285003760054</t>
  </si>
  <si>
    <t>893434807</t>
  </si>
  <si>
    <t>PQ7087.E5 W65 1988</t>
  </si>
  <si>
    <t>0                      PQ 7087000E  5                  W  65          1988</t>
  </si>
  <si>
    <t>Woman who has sprouted wings : poems by contemporary Latin American women poets / edited by Mary Crow.</t>
  </si>
  <si>
    <t>Pittsburgh, Pa. : Latin American Literary Review Press, 1987, c1988.</t>
  </si>
  <si>
    <t>2nd. ed.</t>
  </si>
  <si>
    <t>899387309:eng</t>
  </si>
  <si>
    <t>18223043</t>
  </si>
  <si>
    <t>991003764269702656</t>
  </si>
  <si>
    <t>2260956990002656</t>
  </si>
  <si>
    <t>9780935480351</t>
  </si>
  <si>
    <t>32285004461389</t>
  </si>
  <si>
    <t>893353024</t>
  </si>
  <si>
    <t>PQ7111 .C438 1995</t>
  </si>
  <si>
    <t>0                      PQ 7111000C  438         1995</t>
  </si>
  <si>
    <t>Literatura mexicana y latinoamericana / Laura Martha Chávez.</t>
  </si>
  <si>
    <t>Chávez, Laura Martha.</t>
  </si>
  <si>
    <t>México, D.F. : Editorial Trillas, 1995.</t>
  </si>
  <si>
    <t>1997-10-03</t>
  </si>
  <si>
    <t>1996-09-12</t>
  </si>
  <si>
    <t>39685995:spa</t>
  </si>
  <si>
    <t>35209641</t>
  </si>
  <si>
    <t>991002696959702656</t>
  </si>
  <si>
    <t>2270860040002656</t>
  </si>
  <si>
    <t>9789682451843</t>
  </si>
  <si>
    <t>32285002318003</t>
  </si>
  <si>
    <t>893523937</t>
  </si>
  <si>
    <t>PQ7111 .G62 1968</t>
  </si>
  <si>
    <t>0                      PQ 7111000G  62          1968</t>
  </si>
  <si>
    <t>History of Mexican literature. Translated by Gusta Barfield Nance and Florence Johnson Dunstan.</t>
  </si>
  <si>
    <t>González Peña, Carlos, 1885-1955.</t>
  </si>
  <si>
    <t>Dallas, Southern Methodist University Press [1968]</t>
  </si>
  <si>
    <t>3d ed. [rev. and enl.]</t>
  </si>
  <si>
    <t>1998-11-19</t>
  </si>
  <si>
    <t>2528672:eng</t>
  </si>
  <si>
    <t>443272</t>
  </si>
  <si>
    <t>991002790809702656</t>
  </si>
  <si>
    <t>2264559920002656</t>
  </si>
  <si>
    <t>32285003236832</t>
  </si>
  <si>
    <t>893792918</t>
  </si>
  <si>
    <t>PQ7111 .H57 1996</t>
  </si>
  <si>
    <t>0                      PQ 7111000H  57          1996</t>
  </si>
  <si>
    <t>Historia de la literatura mexicana : desde sus orígines hasta nuestros días / coordinadores, Beatriz Garza Cuarón, Georges Baudot.</t>
  </si>
  <si>
    <t>México, D.F. : Siglo Veintiuno Editores, 1996-</t>
  </si>
  <si>
    <t>2000-08-25</t>
  </si>
  <si>
    <t>1998-09-03</t>
  </si>
  <si>
    <t>4918086489:spa</t>
  </si>
  <si>
    <t>36704181</t>
  </si>
  <si>
    <t>991005426139702656</t>
  </si>
  <si>
    <t>2261302520002656</t>
  </si>
  <si>
    <t>9789682320460</t>
  </si>
  <si>
    <t>32285003465654</t>
  </si>
  <si>
    <t>893533840</t>
  </si>
  <si>
    <t>PQ7114 .P5 1974</t>
  </si>
  <si>
    <t>0                      PQ 7114000P  5           1974</t>
  </si>
  <si>
    <t>Cinco estudios sobre literatura mexicana moderna / Allen W. Phillips.</t>
  </si>
  <si>
    <t>Phillips, Allen W., 1922-2011.</t>
  </si>
  <si>
    <t>México : Secretaría de Educación Pública, 1974.</t>
  </si>
  <si>
    <t>SepSetentas ; 133</t>
  </si>
  <si>
    <t>2037248:spa</t>
  </si>
  <si>
    <t>1076539</t>
  </si>
  <si>
    <t>991004508799702656</t>
  </si>
  <si>
    <t>2257351260002656</t>
  </si>
  <si>
    <t>32285005029482</t>
  </si>
  <si>
    <t>893801030</t>
  </si>
  <si>
    <t>PQ7127 .P66 2000</t>
  </si>
  <si>
    <t>0                      PQ 7127000P  66          2000</t>
  </si>
  <si>
    <t>Las siete cabritas / Elena Poniatowska.</t>
  </si>
  <si>
    <t>Poniatowska, Elena.</t>
  </si>
  <si>
    <t>México, D.F. : Ediciones Era, 2000.</t>
  </si>
  <si>
    <t>Biblioteca Era</t>
  </si>
  <si>
    <t>2002-12-05</t>
  </si>
  <si>
    <t>352994523:spa</t>
  </si>
  <si>
    <t>45723952</t>
  </si>
  <si>
    <t>991003926009702656</t>
  </si>
  <si>
    <t>2271838300002656</t>
  </si>
  <si>
    <t>9789684114982</t>
  </si>
  <si>
    <t>32285004668819</t>
  </si>
  <si>
    <t>893531779</t>
  </si>
  <si>
    <t>PQ7151 .C37 2001</t>
  </si>
  <si>
    <t>0                      PQ 7151000C  37          2001</t>
  </si>
  <si>
    <t>Diccionario crítico de las letras mexicanas en el siglo XIX / Emmanuel Carballo ; con la colaboración de Jesús Gómez Morán y Norma Elizabeth Salazar Hernández.</t>
  </si>
  <si>
    <t>Carballo, Emmanuel.</t>
  </si>
  <si>
    <t>Mexico, D.F. : Océano : CONACULTA, c2001.</t>
  </si>
  <si>
    <t>Intemporales</t>
  </si>
  <si>
    <t>2003-02-25</t>
  </si>
  <si>
    <t>38844270:spa</t>
  </si>
  <si>
    <t>49522869</t>
  </si>
  <si>
    <t>991003924999702656</t>
  </si>
  <si>
    <t>2270723060002656</t>
  </si>
  <si>
    <t>9789701872680</t>
  </si>
  <si>
    <t>32285004697065</t>
  </si>
  <si>
    <t>893718240</t>
  </si>
  <si>
    <t>PQ7161 .X5 1962</t>
  </si>
  <si>
    <t>0                      PQ 7161000X  5           1962</t>
  </si>
  <si>
    <t>Poetas de México y Espanã : ensayos / por Ramon Xirau.</t>
  </si>
  <si>
    <t>Xirau, Ramón.</t>
  </si>
  <si>
    <t>Madrid : J. Porrúa Turanzas, 1962.</t>
  </si>
  <si>
    <t>Bibliotheca Tenanitla; libros españoles e hispanoamericanos, 4</t>
  </si>
  <si>
    <t>2483705:spa</t>
  </si>
  <si>
    <t>1591341</t>
  </si>
  <si>
    <t>991004523769702656</t>
  </si>
  <si>
    <t>2267000070002656</t>
  </si>
  <si>
    <t>32285005048367</t>
  </si>
  <si>
    <t>893411647</t>
  </si>
  <si>
    <t>PQ7197 .I2</t>
  </si>
  <si>
    <t>0                      PQ 7197000I  2</t>
  </si>
  <si>
    <t>Bibliografía de novelistas mexicanos; ensayo biográfico, bibliográfico y crítico [por] Juan B. Iguíniz.</t>
  </si>
  <si>
    <t>Iguíniz, Juan B., 1881-1972.</t>
  </si>
  <si>
    <t>New York, B. Franklin [1970]</t>
  </si>
  <si>
    <t>Burt Franklin bibliography &amp; reference series, 397. Essays in literature and criticism, 110</t>
  </si>
  <si>
    <t>55484336:spa</t>
  </si>
  <si>
    <t>511031</t>
  </si>
  <si>
    <t>991002889799702656</t>
  </si>
  <si>
    <t>2263969150002656</t>
  </si>
  <si>
    <t>9780833717993</t>
  </si>
  <si>
    <t>32285003236873</t>
  </si>
  <si>
    <t>893685915</t>
  </si>
  <si>
    <t>PQ7203 .D415 1986</t>
  </si>
  <si>
    <t>0                      PQ 7203000D  415         1986</t>
  </si>
  <si>
    <t>La novela de la Revolución Mexicana / Adalbert Dessau ; traducción de Juan José Utrilla.</t>
  </si>
  <si>
    <t>Dessau, Adalbert.</t>
  </si>
  <si>
    <t>México, D.F. : Fondo de Cultura Económica, c1986.</t>
  </si>
  <si>
    <t>1a ed. en español.</t>
  </si>
  <si>
    <t>362390193:spa</t>
  </si>
  <si>
    <t>15606936</t>
  </si>
  <si>
    <t>991001044639702656</t>
  </si>
  <si>
    <t>2269114410002656</t>
  </si>
  <si>
    <t>9789681605421</t>
  </si>
  <si>
    <t>32285002080371</t>
  </si>
  <si>
    <t>893255960</t>
  </si>
  <si>
    <t>PQ7251 .D67 2001</t>
  </si>
  <si>
    <t>0                      PQ 7251000D  67          2001</t>
  </si>
  <si>
    <t>Dos siglos de poesía mexicana : del XIX al fin del milenio : una antología / selección, prólogo y notas de Juan Domingo Argüelles.</t>
  </si>
  <si>
    <t>México, D.F. : Océano, c2001.</t>
  </si>
  <si>
    <t>36961008:spa</t>
  </si>
  <si>
    <t>47633061</t>
  </si>
  <si>
    <t>991003772349702656</t>
  </si>
  <si>
    <t>2270295850002656</t>
  </si>
  <si>
    <t>9789706514882</t>
  </si>
  <si>
    <t>32285004484878</t>
  </si>
  <si>
    <t>893441713</t>
  </si>
  <si>
    <t>PQ7257 .A57 1999</t>
  </si>
  <si>
    <t>0                      PQ 7257000A  57          1999</t>
  </si>
  <si>
    <t>Antología del modernismo, 1884-1921 : tomos I y II en un volumen / introducción, selección y notas, José Emilio Pacheco.</t>
  </si>
  <si>
    <t>México : Universidad Nacional Autónoma de México ; Era, 1999.</t>
  </si>
  <si>
    <t>Biblioteca del estudiante universitario ; 90-91</t>
  </si>
  <si>
    <t>2005-02-07</t>
  </si>
  <si>
    <t>5534173621:spa</t>
  </si>
  <si>
    <t>52405721</t>
  </si>
  <si>
    <t>991003772419702656</t>
  </si>
  <si>
    <t>2261023070002656</t>
  </si>
  <si>
    <t>9789683661562</t>
  </si>
  <si>
    <t>32285004484746</t>
  </si>
  <si>
    <t>893592870</t>
  </si>
  <si>
    <t>PQ7258 .A63 1977</t>
  </si>
  <si>
    <t>0                      PQ 7258000A  63          1977</t>
  </si>
  <si>
    <t>Antología de la poesía mexicana moderna / seleccion, introduccion, comentarios y notas de Andrew P. Debicki.</t>
  </si>
  <si>
    <t>London : Tamesis, 1977.</t>
  </si>
  <si>
    <t>Colección Támesis. Serie B, Textos ; 20</t>
  </si>
  <si>
    <t>1995-06-05</t>
  </si>
  <si>
    <t>1992-02-01</t>
  </si>
  <si>
    <t>53661354:spa</t>
  </si>
  <si>
    <t>4001856</t>
  </si>
  <si>
    <t>991004561279702656</t>
  </si>
  <si>
    <t>2268759710002656</t>
  </si>
  <si>
    <t>9780729300285</t>
  </si>
  <si>
    <t>32285000868074</t>
  </si>
  <si>
    <t>893719087</t>
  </si>
  <si>
    <t>PQ7258 .A7</t>
  </si>
  <si>
    <t>0                      PQ 7258000A  7</t>
  </si>
  <si>
    <t>Antología de los 50 [i.e. cincuenta] poetas contemporáneos de México.</t>
  </si>
  <si>
    <t>Arellano, Jesús, editor.</t>
  </si>
  <si>
    <t>2004-04-01</t>
  </si>
  <si>
    <t>1808186231:spa</t>
  </si>
  <si>
    <t>6318594</t>
  </si>
  <si>
    <t>991004962609702656</t>
  </si>
  <si>
    <t>2261581770002656</t>
  </si>
  <si>
    <t>32285003236923</t>
  </si>
  <si>
    <t>893319830</t>
  </si>
  <si>
    <t>PQ7276.2.W65 L8 1996</t>
  </si>
  <si>
    <t>0                      PQ 7276200W  65                 L  8           1996</t>
  </si>
  <si>
    <t>La luna de miel según Eva / Beatriz Escalante ... [et al.] ; compilación, Beatriz Escalante ; fotografías, Gabriela Bautista.</t>
  </si>
  <si>
    <t>México, D.F. : Selector, 1996.</t>
  </si>
  <si>
    <t>Colección Aura</t>
  </si>
  <si>
    <t>2000-03-06</t>
  </si>
  <si>
    <t>1998-08-06</t>
  </si>
  <si>
    <t>40962880:spa</t>
  </si>
  <si>
    <t>35825491</t>
  </si>
  <si>
    <t>991002731289702656</t>
  </si>
  <si>
    <t>2261677950002656</t>
  </si>
  <si>
    <t>9789684039155</t>
  </si>
  <si>
    <t>32285003450201</t>
  </si>
  <si>
    <t>893239425</t>
  </si>
  <si>
    <t>PQ7291.C52 C553 1999</t>
  </si>
  <si>
    <t>0                      PQ 7291000C  52                 C  553         1999</t>
  </si>
  <si>
    <t>Chiapas : dimensión social de la narrativa / Oscar Wong.</t>
  </si>
  <si>
    <t>Col. del Valle, México : Edamex, c1999.</t>
  </si>
  <si>
    <t>918651086:spa</t>
  </si>
  <si>
    <t>41870977</t>
  </si>
  <si>
    <t>991003255099702656</t>
  </si>
  <si>
    <t>2264033670002656</t>
  </si>
  <si>
    <t>9789706610409</t>
  </si>
  <si>
    <t>32285004264106</t>
  </si>
  <si>
    <t>893336297</t>
  </si>
  <si>
    <t>PQ7296.J6 Z624 1982</t>
  </si>
  <si>
    <t>0                      PQ 7296000J  6                  Z  624         1982</t>
  </si>
  <si>
    <t>Sor Juana y el "Primero sueño" / Octavio Castro López.</t>
  </si>
  <si>
    <t>Castro López, Octavio.</t>
  </si>
  <si>
    <t>Xalapa, Ver., Mexico : Universidad Veracruzana, 1982.</t>
  </si>
  <si>
    <t>Cuadernos del centro ; 12</t>
  </si>
  <si>
    <t>19674057:spa</t>
  </si>
  <si>
    <t>9764682</t>
  </si>
  <si>
    <t>991004508629702656</t>
  </si>
  <si>
    <t>2261326900002656</t>
  </si>
  <si>
    <t>9789685900188</t>
  </si>
  <si>
    <t>32285005029128</t>
  </si>
  <si>
    <t>893411630</t>
  </si>
  <si>
    <t>PQ7297.A1 C63</t>
  </si>
  <si>
    <t>0                      PQ 7297000A  1                  C  63</t>
  </si>
  <si>
    <t>"With his pistol in his hand," a border ballad and its hero.</t>
  </si>
  <si>
    <t>Paredes, Américo, 1915-1999.</t>
  </si>
  <si>
    <t>Austin, University of Texas Press [1958]</t>
  </si>
  <si>
    <t>1998-10-05</t>
  </si>
  <si>
    <t>371161:eng</t>
  </si>
  <si>
    <t>291971</t>
  </si>
  <si>
    <t>991002226929702656</t>
  </si>
  <si>
    <t>2268119190002656</t>
  </si>
  <si>
    <t>32285003236998</t>
  </si>
  <si>
    <t>893257037</t>
  </si>
  <si>
    <t>PQ7297.A6 Z2 1999</t>
  </si>
  <si>
    <t>0                      PQ 7297000A  6                  Z  2           1999</t>
  </si>
  <si>
    <t>El Zarco / Ignacio Manuel Altamirano ; prólogo de Carlos Monsiváis.</t>
  </si>
  <si>
    <t>Altamirano, Ignacio Manuel, 1834-1893.</t>
  </si>
  <si>
    <t>México, D.F. : Océano, c1999.</t>
  </si>
  <si>
    <t>Biblioteca clásica y contemporánea (Editorio Océano de México)</t>
  </si>
  <si>
    <t>2003-02-04</t>
  </si>
  <si>
    <t>198264438:spa</t>
  </si>
  <si>
    <t>41647939</t>
  </si>
  <si>
    <t>991003925029702656</t>
  </si>
  <si>
    <t>2261167120002656</t>
  </si>
  <si>
    <t>9789706512222</t>
  </si>
  <si>
    <t>32285004696968</t>
  </si>
  <si>
    <t>893331000</t>
  </si>
  <si>
    <t>PQ7297.A8365 A62 1998</t>
  </si>
  <si>
    <t>0                      PQ 7297000A  8365               A  62          1998</t>
  </si>
  <si>
    <t>1492 : vida y tiempos de Juan Cabezón de Castilla / Homero Aridjis.</t>
  </si>
  <si>
    <t>Aridjis, Homero.</t>
  </si>
  <si>
    <t>Mexico : Consejo Nacional Para la Cultura y los Artes : Fondo de Cultura Economica, c1998.</t>
  </si>
  <si>
    <t>2001-03-21</t>
  </si>
  <si>
    <t>27303324:spa</t>
  </si>
  <si>
    <t>43848353</t>
  </si>
  <si>
    <t>991003516929702656</t>
  </si>
  <si>
    <t>2267811250002656</t>
  </si>
  <si>
    <t>9789681655341</t>
  </si>
  <si>
    <t>32285004306451</t>
  </si>
  <si>
    <t>893711433</t>
  </si>
  <si>
    <t>PQ7297.A8365 P6 1997</t>
  </si>
  <si>
    <t>0                      PQ 7297000A  8365               P  6           1997</t>
  </si>
  <si>
    <t>El poeta niño / Homero Aridjis.</t>
  </si>
  <si>
    <t>México : Fondo de Cultura Económica, 1997, c1971.</t>
  </si>
  <si>
    <t>350383414:spa</t>
  </si>
  <si>
    <t>11460169</t>
  </si>
  <si>
    <t>991003516959702656</t>
  </si>
  <si>
    <t>2270865760002656</t>
  </si>
  <si>
    <t>9789681616557</t>
  </si>
  <si>
    <t>32285004306469</t>
  </si>
  <si>
    <t>893342646</t>
  </si>
  <si>
    <t>PQ7297.A8365 T54 1997</t>
  </si>
  <si>
    <t>0                      PQ 7297000A  8365               T  54          1997</t>
  </si>
  <si>
    <t>Tiempo de ángeles / Homero Aridjis.</t>
  </si>
  <si>
    <t>1999-11-16</t>
  </si>
  <si>
    <t>35889169:spa</t>
  </si>
  <si>
    <t>37681197</t>
  </si>
  <si>
    <t>991002859279702656</t>
  </si>
  <si>
    <t>2269791690002656</t>
  </si>
  <si>
    <t>9789681650285</t>
  </si>
  <si>
    <t>32285003465456</t>
  </si>
  <si>
    <t>893710767</t>
  </si>
  <si>
    <t>PQ7297.A853 A14 1995</t>
  </si>
  <si>
    <t>0                      PQ 7297000A  853                A  14          1995</t>
  </si>
  <si>
    <t>Obras / Juan José Arreola ; antología y prólogo de Saúl Yurkievich.</t>
  </si>
  <si>
    <t>Arreola, Juan José.</t>
  </si>
  <si>
    <t>México, D.F. : Fondo de Cultura Económica, 1995.</t>
  </si>
  <si>
    <t>Colección Tierra Firma</t>
  </si>
  <si>
    <t>2002-05-05</t>
  </si>
  <si>
    <t>2864335193:spa</t>
  </si>
  <si>
    <t>34680823</t>
  </si>
  <si>
    <t>991002651999702656</t>
  </si>
  <si>
    <t>2263934980002656</t>
  </si>
  <si>
    <t>9789681646660</t>
  </si>
  <si>
    <t>32285002614914</t>
  </si>
  <si>
    <t>893445286</t>
  </si>
  <si>
    <t>PQ7297.C66 C3 1997</t>
  </si>
  <si>
    <t>0                      PQ 7297000C  66                 C  3           1997</t>
  </si>
  <si>
    <t>Cantos de la tierra prometida / Juan Cotto.</t>
  </si>
  <si>
    <t>Cotto, Juan, 1900-1938.</t>
  </si>
  <si>
    <t>San Salvador : Dirección de Publicaciones e Impresos Consejo Nacional para la Cultura y el Arte Concultura, 1997.</t>
  </si>
  <si>
    <t>Biblioteca básica de literatura salvadoreña ; v. 13</t>
  </si>
  <si>
    <t>42157571:spa</t>
  </si>
  <si>
    <t>39728064</t>
  </si>
  <si>
    <t>991003670089702656</t>
  </si>
  <si>
    <t>2269023110002656</t>
  </si>
  <si>
    <t>32285004419064</t>
  </si>
  <si>
    <t>893505849</t>
  </si>
  <si>
    <t>PQ7297.D837 E88 1989</t>
  </si>
  <si>
    <t>0                      PQ 7297000D  837                E  88          1989</t>
  </si>
  <si>
    <t>Las estaciones del silencio / Luis Horacio Durán.</t>
  </si>
  <si>
    <t>Durán, Luis Horacio.</t>
  </si>
  <si>
    <t>Monterrey, Nuevo León, México : Ediciones Castillo, 1989.</t>
  </si>
  <si>
    <t>475929624:spa</t>
  </si>
  <si>
    <t>22243876</t>
  </si>
  <si>
    <t>991003673889702656</t>
  </si>
  <si>
    <t>2269916600002656</t>
  </si>
  <si>
    <t>9789686635188</t>
  </si>
  <si>
    <t>32285004419395</t>
  </si>
  <si>
    <t>893348987</t>
  </si>
  <si>
    <t>PQ7297.F37 P32 1952</t>
  </si>
  <si>
    <t>0                      PQ 7297000F  37                 P  32          1952</t>
  </si>
  <si>
    <t>El Periquillo Sarniento / José Joaquín Fernandez de Lizardi ; edited by Erwin K. Mapes and Frances M. López-Morillas.</t>
  </si>
  <si>
    <t>Fernández de Lizardi, José Joaquín, 1776-1827.</t>
  </si>
  <si>
    <t>New York : Appleton-Century-Crofts, 1952.</t>
  </si>
  <si>
    <t>1997-12-03</t>
  </si>
  <si>
    <t>1122355:spa</t>
  </si>
  <si>
    <t>223295</t>
  </si>
  <si>
    <t>991001370019702656</t>
  </si>
  <si>
    <t>2262362370002656</t>
  </si>
  <si>
    <t>32285003237228</t>
  </si>
  <si>
    <t>893534525</t>
  </si>
  <si>
    <t>PQ7297.F37 Q8 1967</t>
  </si>
  <si>
    <t>0                      PQ 7297000F  37                 Q  8           1967</t>
  </si>
  <si>
    <t>La Quijotita y su prima. Introd. de María del Carmen Ruiz Castañeda.</t>
  </si>
  <si>
    <t>México, Editorial Porrúa, 1967.</t>
  </si>
  <si>
    <t>Colección Sepan cuantos, 71</t>
  </si>
  <si>
    <t>367456941:spa</t>
  </si>
  <si>
    <t>311059</t>
  </si>
  <si>
    <t>991002283539702656</t>
  </si>
  <si>
    <t>2272476430002656</t>
  </si>
  <si>
    <t>32285003237236</t>
  </si>
  <si>
    <t>893879719</t>
  </si>
  <si>
    <t>PQ7297.F37 V5 1959</t>
  </si>
  <si>
    <t>0                      PQ 7297000F  37                 V  5           1959</t>
  </si>
  <si>
    <t>Don Catrín de la Fachenda, y Noches tristes y día alegre. Ed. y prólogo de Jefferson Rea Spell.</t>
  </si>
  <si>
    <t>México, Editorial Porrúa, 1959.</t>
  </si>
  <si>
    <t>Colección de escritores mexicanos ; 81</t>
  </si>
  <si>
    <t>1505956:spa</t>
  </si>
  <si>
    <t>348707</t>
  </si>
  <si>
    <t>991002435319702656</t>
  </si>
  <si>
    <t>2271068730002656</t>
  </si>
  <si>
    <t>32285003237244</t>
  </si>
  <si>
    <t>893903893</t>
  </si>
  <si>
    <t>PQ7297.F793 A85 1980</t>
  </si>
  <si>
    <t>0                      PQ 7297000F  793                A  85          1980</t>
  </si>
  <si>
    <t>Aura / Carlos Fuentes.</t>
  </si>
  <si>
    <t>Fuentes, Carlos.</t>
  </si>
  <si>
    <t>México : Biblioteca Era, 1980.</t>
  </si>
  <si>
    <t>17a ed.</t>
  </si>
  <si>
    <t>Biblioteca Era. Narrativa</t>
  </si>
  <si>
    <t>1997-01-30</t>
  </si>
  <si>
    <t>450908:spa</t>
  </si>
  <si>
    <t>9127244</t>
  </si>
  <si>
    <t>991000134119702656</t>
  </si>
  <si>
    <t>2266584940002656</t>
  </si>
  <si>
    <t>32285000682665</t>
  </si>
  <si>
    <t>893406963</t>
  </si>
  <si>
    <t>PQ7297.G3 S26 1998</t>
  </si>
  <si>
    <t>0                      PQ 7297000G  3                  S  26          1998</t>
  </si>
  <si>
    <t>Santa / Federico Gamboa.</t>
  </si>
  <si>
    <t>Gamboa, Federico, 1864-1939.</t>
  </si>
  <si>
    <t>México, D.F. : Oceano, c1998.</t>
  </si>
  <si>
    <t>3695422:spa</t>
  </si>
  <si>
    <t>49608159</t>
  </si>
  <si>
    <t>991003924909702656</t>
  </si>
  <si>
    <t>2258962080002656</t>
  </si>
  <si>
    <t>9789706512116</t>
  </si>
  <si>
    <t>32285004696992</t>
  </si>
  <si>
    <t>893693327</t>
  </si>
  <si>
    <t>PQ7297.G8 A15 1958</t>
  </si>
  <si>
    <t>0                      PQ 7297000G  8                  A  15          1958</t>
  </si>
  <si>
    <t>Cuentos completos y otras narraciones. Prólogo, edición y notas de E.K. Mapes. Estudio preliminar de Francisco González Guerrero.</t>
  </si>
  <si>
    <t>Gutiérrez Nájera, Manuel, 1859-1895.</t>
  </si>
  <si>
    <t>México, Fondo de Cultura Económica [1958]</t>
  </si>
  <si>
    <t>Biblioteca americana [35] Serie de literatura moderna; vida y ficción</t>
  </si>
  <si>
    <t>2001-11-04</t>
  </si>
  <si>
    <t>209096256:spa</t>
  </si>
  <si>
    <t>355814</t>
  </si>
  <si>
    <t>991002460439702656</t>
  </si>
  <si>
    <t>2264732750002656</t>
  </si>
  <si>
    <t>32285003237350</t>
  </si>
  <si>
    <t>893616143</t>
  </si>
  <si>
    <t>PQ7297.G8 A6 1988</t>
  </si>
  <si>
    <t>0                      PQ 7297000G  8                  A  6           1988</t>
  </si>
  <si>
    <t>Narraciones escogidas / Manuel Gutiérrez Nájera ; seleción y prólogo de Mirta Yáñez.</t>
  </si>
  <si>
    <t>Ciudad de La Habana : Editorial Arte y Literatura, 1988.</t>
  </si>
  <si>
    <t>197581971:spa</t>
  </si>
  <si>
    <t>23747995</t>
  </si>
  <si>
    <t>991003757549702656</t>
  </si>
  <si>
    <t>2266457550002656</t>
  </si>
  <si>
    <t>32285004459854</t>
  </si>
  <si>
    <t>893627753</t>
  </si>
  <si>
    <t>PQ7297.M62 C83 1996</t>
  </si>
  <si>
    <t>0                      PQ 7297000M  62                 C  83          1996</t>
  </si>
  <si>
    <t>Cuentos, fábulas y Lo demás es silencio / Monterroso ; [prólogo por José-Miguel Ullán].</t>
  </si>
  <si>
    <t>Monterroso, Augusto.</t>
  </si>
  <si>
    <t>México, D.F. : Alfaguara, 1996.</t>
  </si>
  <si>
    <t>144998461:spa</t>
  </si>
  <si>
    <t>34927440</t>
  </si>
  <si>
    <t>991003772219702656</t>
  </si>
  <si>
    <t>2257030930002656</t>
  </si>
  <si>
    <t>9789681902506</t>
  </si>
  <si>
    <t>32285004484688</t>
  </si>
  <si>
    <t>893718049</t>
  </si>
  <si>
    <t>PQ7297.M62 R44 1995</t>
  </si>
  <si>
    <t>0                      PQ 7297000M  62                 R  44          1995</t>
  </si>
  <si>
    <t>Refracción : Augusto Monterroso ante la crítica / selección y prólogo de Will H. Corral.</t>
  </si>
  <si>
    <t>México, D.F. : Coordinación de Difusión Cultural, Dirección de Literatura, Universidad Nacional Autónoma de México : Ediciones Era, 1995.</t>
  </si>
  <si>
    <t>39985697:spa</t>
  </si>
  <si>
    <t>34290287</t>
  </si>
  <si>
    <t>991003772709702656</t>
  </si>
  <si>
    <t>2257087710002656</t>
  </si>
  <si>
    <t>9789684113787</t>
  </si>
  <si>
    <t>32285004484811</t>
  </si>
  <si>
    <t>893330765</t>
  </si>
  <si>
    <t>PQ7297.M62 S56 1994</t>
  </si>
  <si>
    <t>0                      PQ 7297000M  62                 S  56          1994</t>
  </si>
  <si>
    <t>Sinfonía concluida y otros cuentos / Augusto Monterroso ; prólogo, Alberto Barrera.</t>
  </si>
  <si>
    <t>Caracas, Venezuela : Monte Avila Editores Latinoamericana, 1994.</t>
  </si>
  <si>
    <t>Continentes</t>
  </si>
  <si>
    <t>2003-05-14</t>
  </si>
  <si>
    <t>28086529:spa</t>
  </si>
  <si>
    <t>31018593</t>
  </si>
  <si>
    <t>991004054069702656</t>
  </si>
  <si>
    <t>2269331910002656</t>
  </si>
  <si>
    <t>9789800107553</t>
  </si>
  <si>
    <t>32285004632393</t>
  </si>
  <si>
    <t>893624289</t>
  </si>
  <si>
    <t>PQ7297.M62 Z63 1985</t>
  </si>
  <si>
    <t>0                      PQ 7297000M  62                 Z  63          1985</t>
  </si>
  <si>
    <t>Lector, sociedad y género en Monterroso / Wilfrido H. Corral.</t>
  </si>
  <si>
    <t>Corral, Wilfrido H. (Wilfrido Howard)</t>
  </si>
  <si>
    <t>México : Centro de Investigaciones Lingüístico-Literarias , Instituto de Investigaciones Humanísticas, Universidad Veracruzana, 1985.</t>
  </si>
  <si>
    <t>16161293:spa</t>
  </si>
  <si>
    <t>17296833</t>
  </si>
  <si>
    <t>991004491039702656</t>
  </si>
  <si>
    <t>2267928140002656</t>
  </si>
  <si>
    <t>9789688340196</t>
  </si>
  <si>
    <t>32285005029011</t>
  </si>
  <si>
    <t>893331668</t>
  </si>
  <si>
    <t>PQ7297.P285 Z54 1978</t>
  </si>
  <si>
    <t>0                      PQ 7297000P  285                Z  54          1978</t>
  </si>
  <si>
    <t>La divina pareja : historia y mito : valoración e interpretación de la obra ensayística de Octavio Paz / Jorge Aguilar Mora.</t>
  </si>
  <si>
    <t>Aguilar Mora, Jorge.</t>
  </si>
  <si>
    <t>México : Ediciones Era, 1978.</t>
  </si>
  <si>
    <t>Biblioteca Era. Serie Claves</t>
  </si>
  <si>
    <t>1998-04-22</t>
  </si>
  <si>
    <t>889420246:spa</t>
  </si>
  <si>
    <t>4860667</t>
  </si>
  <si>
    <t>991004737689702656</t>
  </si>
  <si>
    <t>2262415680002656</t>
  </si>
  <si>
    <t>32285002194180</t>
  </si>
  <si>
    <t>893876521</t>
  </si>
  <si>
    <t>PQ7297.P285 Z76 1998</t>
  </si>
  <si>
    <t>0                      PQ 7297000P  285                Z  76          1998</t>
  </si>
  <si>
    <t>Octavio Paz : las palabras del árbol / Elena Poniatowska.</t>
  </si>
  <si>
    <t>Barcelona : Plaza Janés ; [New York] : Distributed by B.D.D., 1998.</t>
  </si>
  <si>
    <t>1998-11-04</t>
  </si>
  <si>
    <t>24117147:spa</t>
  </si>
  <si>
    <t>39949862</t>
  </si>
  <si>
    <t>991002977529702656</t>
  </si>
  <si>
    <t>2268551460002656</t>
  </si>
  <si>
    <t>9780553060850</t>
  </si>
  <si>
    <t>32285003485421</t>
  </si>
  <si>
    <t>893867947</t>
  </si>
  <si>
    <t>PQ7297.P285 Z883 1994</t>
  </si>
  <si>
    <t>0                      PQ 7297000P  285                Z  883         1994</t>
  </si>
  <si>
    <t>Octavio Paz en sus "Obras completas" / autores Adolfo Castañón ... [ et al.].</t>
  </si>
  <si>
    <t>Carretera Picacho-Ajusco, México : Consejo Nacional Para La Cultura y Las Artes : Fondo de Cultura Económica, 1994.</t>
  </si>
  <si>
    <t>Cuadernos de La Gaceta ; 88</t>
  </si>
  <si>
    <t>2002-01-27</t>
  </si>
  <si>
    <t>39234523:spa</t>
  </si>
  <si>
    <t>34313645</t>
  </si>
  <si>
    <t>991002617039702656</t>
  </si>
  <si>
    <t>2260086250002656</t>
  </si>
  <si>
    <t>9789681644987</t>
  </si>
  <si>
    <t>32285002609468</t>
  </si>
  <si>
    <t>893239285</t>
  </si>
  <si>
    <t>PQ7297.P285 Z918 1976</t>
  </si>
  <si>
    <t>0                      PQ 7297000P  285                Z  918         1976</t>
  </si>
  <si>
    <t>Las estaciones poaeticas de Octavio Paz / por Rachel Phillips ; [traducciaon de Tomas Segovia].</t>
  </si>
  <si>
    <t>Phillips, Rachel.</t>
  </si>
  <si>
    <t>Maexico : Fondo de Cultura Econaomica, c1976.</t>
  </si>
  <si>
    <t>1. ed. en espaanol.</t>
  </si>
  <si>
    <t>Breviarios del Fondo de Cultura Econaomica ; 257</t>
  </si>
  <si>
    <t>1809040:spa</t>
  </si>
  <si>
    <t>40776032</t>
  </si>
  <si>
    <t>991004339639702656</t>
  </si>
  <si>
    <t>2258955980002656</t>
  </si>
  <si>
    <t>9788437500843</t>
  </si>
  <si>
    <t>32285004929229</t>
  </si>
  <si>
    <t>893417508</t>
  </si>
  <si>
    <t>PQ7297.P63 T5613 1996</t>
  </si>
  <si>
    <t>0                      PQ 7297000P  63                 T  5613        1996</t>
  </si>
  <si>
    <t>Tinisima / Elena Poniatowska ; translated by Katherine Silver.</t>
  </si>
  <si>
    <t>New York : Farrar, Straus, Giroux, 1996.</t>
  </si>
  <si>
    <t>2004-09-22</t>
  </si>
  <si>
    <t>1997-04-15</t>
  </si>
  <si>
    <t>594741:eng</t>
  </si>
  <si>
    <t>34321535</t>
  </si>
  <si>
    <t>991002619339702656</t>
  </si>
  <si>
    <t>2257068740002656</t>
  </si>
  <si>
    <t>9780374277857</t>
  </si>
  <si>
    <t>32285002497427</t>
  </si>
  <si>
    <t>893510980</t>
  </si>
  <si>
    <t>PQ7297.R2 B6 2000</t>
  </si>
  <si>
    <t>0                      PQ 7297000R  2                  B  6           2000</t>
  </si>
  <si>
    <t>La bola / Emilio Rabasa, prólogo de Carlos Monsiváia.</t>
  </si>
  <si>
    <t>Rabasa, Emilio, 1856-1930.</t>
  </si>
  <si>
    <t>Mexico : Editorial Oceano, c2000.</t>
  </si>
  <si>
    <t>Biblioteca clásica y contemporánea</t>
  </si>
  <si>
    <t>4039912306:spa</t>
  </si>
  <si>
    <t>49946652</t>
  </si>
  <si>
    <t>991003924939702656</t>
  </si>
  <si>
    <t>2270679180002656</t>
  </si>
  <si>
    <t>9789706512642</t>
  </si>
  <si>
    <t>32285004696976</t>
  </si>
  <si>
    <t>893711948</t>
  </si>
  <si>
    <t>PQ7297.R386 D6</t>
  </si>
  <si>
    <t>0                      PQ 7297000R  386                D  6</t>
  </si>
  <si>
    <t>Los dos caminos / Alfonso Reyes.</t>
  </si>
  <si>
    <t>Reyes, Alfonso, 1889-1959.</t>
  </si>
  <si>
    <t>Madrid : [s.n.], 1923.</t>
  </si>
  <si>
    <t>Simpatías y diferencias ; 4</t>
  </si>
  <si>
    <t>1997-11-16</t>
  </si>
  <si>
    <t>10227008510:spa</t>
  </si>
  <si>
    <t>3560848</t>
  </si>
  <si>
    <t>991004464569702656</t>
  </si>
  <si>
    <t>2267809530002656</t>
  </si>
  <si>
    <t>32285003237574</t>
  </si>
  <si>
    <t>893888739</t>
  </si>
  <si>
    <t>PQ7297.R74 A6 1992</t>
  </si>
  <si>
    <t>0                      PQ 7297000R  74                 A  6           1992</t>
  </si>
  <si>
    <t>Cuentos completos / Francisco Rojas González.</t>
  </si>
  <si>
    <t>Rojas González, Francisco, 1903-1951.</t>
  </si>
  <si>
    <t>México : Fondo de Cultura Económica, 1992.</t>
  </si>
  <si>
    <t>3a reimpresión.</t>
  </si>
  <si>
    <t>Colección popular ; 158</t>
  </si>
  <si>
    <t>1998-09-29</t>
  </si>
  <si>
    <t>6930223:spa</t>
  </si>
  <si>
    <t>29772772</t>
  </si>
  <si>
    <t>991002295099702656</t>
  </si>
  <si>
    <t>2256025570002656</t>
  </si>
  <si>
    <t>9789681609849</t>
  </si>
  <si>
    <t>32285002614807</t>
  </si>
  <si>
    <t>893347331</t>
  </si>
  <si>
    <t>PQ7297.S438 A6 1996</t>
  </si>
  <si>
    <t>0                      PQ 7297000S  438                A  6           1996</t>
  </si>
  <si>
    <t>Partición = Partition / by Tomás Segovia ; translated from the Spanish by Myra S. Gann.</t>
  </si>
  <si>
    <t>Segovia, Tomás.</t>
  </si>
  <si>
    <t>York, S.C. : Spanish Literature Publications Co., 1996.</t>
  </si>
  <si>
    <t>9407631:spa</t>
  </si>
  <si>
    <t>37274117</t>
  </si>
  <si>
    <t>991004027859702656</t>
  </si>
  <si>
    <t>2272223570002656</t>
  </si>
  <si>
    <t>9780938972273</t>
  </si>
  <si>
    <t>32285004742754</t>
  </si>
  <si>
    <t>893806563</t>
  </si>
  <si>
    <t>PQ7297.S64 S6 1973</t>
  </si>
  <si>
    <t>0                      PQ 7297000S  64                 S  6           1973</t>
  </si>
  <si>
    <t>Spiks : stories / by Pedro Juan Soto. Translated and with an introduction by Victoria Ortiz.</t>
  </si>
  <si>
    <t>Soto, Pedro Juan.</t>
  </si>
  <si>
    <t>New York : Monthly Review Press, [1973]</t>
  </si>
  <si>
    <t>510048:eng</t>
  </si>
  <si>
    <t>704792</t>
  </si>
  <si>
    <t>991004311149702656</t>
  </si>
  <si>
    <t>2259214220002656</t>
  </si>
  <si>
    <t>9780853453314</t>
  </si>
  <si>
    <t>32285004909403</t>
  </si>
  <si>
    <t>893532246</t>
  </si>
  <si>
    <t>PQ7297.U85 T4</t>
  </si>
  <si>
    <t>0                      PQ 7297000U  85                 T  4</t>
  </si>
  <si>
    <t>Teatro completo.</t>
  </si>
  <si>
    <t>Usigli, Rodolfo, 1905-1979.</t>
  </si>
  <si>
    <t>México] Fondo de Cultura Económica [1963-66]</t>
  </si>
  <si>
    <t>[1. ed.</t>
  </si>
  <si>
    <t>Letras mexicanas</t>
  </si>
  <si>
    <t>2003-04-27</t>
  </si>
  <si>
    <t>2002-06-17</t>
  </si>
  <si>
    <t>3373435892:spa</t>
  </si>
  <si>
    <t>352026</t>
  </si>
  <si>
    <t>991002447859702656</t>
  </si>
  <si>
    <t>2265279150002656</t>
  </si>
  <si>
    <t>32285003237640</t>
  </si>
  <si>
    <t>893415209</t>
  </si>
  <si>
    <t>32285004484944</t>
  </si>
  <si>
    <t>893445166</t>
  </si>
  <si>
    <t>32285004494588</t>
  </si>
  <si>
    <t>893445167</t>
  </si>
  <si>
    <t>2003-04-02</t>
  </si>
  <si>
    <t>32285003237657</t>
  </si>
  <si>
    <t>893445168</t>
  </si>
  <si>
    <t>PQ7298 .B46 1987</t>
  </si>
  <si>
    <t>0                      PQ 7298000B  46          1987</t>
  </si>
  <si>
    <t>El agua envenenada / Fernando Benítez.</t>
  </si>
  <si>
    <t>Benítez, Fernando, 1912-2000.</t>
  </si>
  <si>
    <t>México : Fondo de Cultura Económica, 1987.</t>
  </si>
  <si>
    <t>Colección popular ; 27</t>
  </si>
  <si>
    <t>2001-10-02</t>
  </si>
  <si>
    <t>466897:spa</t>
  </si>
  <si>
    <t>29393375</t>
  </si>
  <si>
    <t>991002266759702656</t>
  </si>
  <si>
    <t>2272420900002656</t>
  </si>
  <si>
    <t>9789681606350</t>
  </si>
  <si>
    <t>32285003450102</t>
  </si>
  <si>
    <t>893322735</t>
  </si>
  <si>
    <t>PQ7298.13.A3841 D613 1991</t>
  </si>
  <si>
    <t>0                      PQ 7298130A  3841               D  613         1991</t>
  </si>
  <si>
    <t>The two mujeres / by Sara Levi Calderón ; translated by Gina Kaufer.</t>
  </si>
  <si>
    <t>Calderón, Sara Levi, 1942-</t>
  </si>
  <si>
    <t>San Francisco : Aunt Lute Books, c1991.</t>
  </si>
  <si>
    <t>1998-02-04</t>
  </si>
  <si>
    <t>1996-06-12</t>
  </si>
  <si>
    <t>25159883:eng</t>
  </si>
  <si>
    <t>23941176</t>
  </si>
  <si>
    <t>991001895579702656</t>
  </si>
  <si>
    <t>2270023950002656</t>
  </si>
  <si>
    <t>9781879960008</t>
  </si>
  <si>
    <t>32285002191764</t>
  </si>
  <si>
    <t>893439517</t>
  </si>
  <si>
    <t>PQ7298.13.A398 M84 1965</t>
  </si>
  <si>
    <t>0                      PQ 7298130A  398                M  84          1965</t>
  </si>
  <si>
    <t>Muerte por agua; [novela] / Julieta Campos.</t>
  </si>
  <si>
    <t>Campos, Julieta.</t>
  </si>
  <si>
    <t>México : Fondo de Cultura Económica, c1965</t>
  </si>
  <si>
    <t>1. ed., 3a imp.</t>
  </si>
  <si>
    <t>Colección popular (Fondo de Cultura Económica (Mexico)) ; 74</t>
  </si>
  <si>
    <t>316083188:spa</t>
  </si>
  <si>
    <t>34341213</t>
  </si>
  <si>
    <t>991003481709702656</t>
  </si>
  <si>
    <t>2268046070002656</t>
  </si>
  <si>
    <t>9789681644703</t>
  </si>
  <si>
    <t>32285004311949</t>
  </si>
  <si>
    <t>893511987</t>
  </si>
  <si>
    <t>PQ7298.13.A63 M4 1986</t>
  </si>
  <si>
    <t>0                      PQ 7298130A  63                 M  4           1986</t>
  </si>
  <si>
    <t>Medina del Mar Caribe : seminovela / Eduardo Capó Bonnafous.</t>
  </si>
  <si>
    <t>Capó Bonnafous, Eduardo.</t>
  </si>
  <si>
    <t>Santo Domingo : Sociedad Dominicana de Bibliófilos, 1986.</t>
  </si>
  <si>
    <t>Colección de cultura dominicana ; 59</t>
  </si>
  <si>
    <t>2001-06-11</t>
  </si>
  <si>
    <t>21703353:spa</t>
  </si>
  <si>
    <t>19834232</t>
  </si>
  <si>
    <t>991003556689702656</t>
  </si>
  <si>
    <t>2261861570002656</t>
  </si>
  <si>
    <t>32285004326459</t>
  </si>
  <si>
    <t>893692839</t>
  </si>
  <si>
    <t>PQ7298.15 .C6 1968</t>
  </si>
  <si>
    <t>0                      PQ 7298150C  6           1968</t>
  </si>
  <si>
    <t>Contra el campo del rey : poemas / Lubio Cardozo.</t>
  </si>
  <si>
    <t>Cardozo, Lubio.</t>
  </si>
  <si>
    <t>Merida : Euroamerica Impresores, 1968.</t>
  </si>
  <si>
    <t>196209935:spa</t>
  </si>
  <si>
    <t>17307391</t>
  </si>
  <si>
    <t>991003847149702656</t>
  </si>
  <si>
    <t>2266267160002656</t>
  </si>
  <si>
    <t>32285004640123</t>
  </si>
  <si>
    <t>893623979</t>
  </si>
  <si>
    <t>PQ7298.15.S638 E77 1999</t>
  </si>
  <si>
    <t>0                      PQ 7298150S  638                E  77          1999</t>
  </si>
  <si>
    <t>Estrellita marinera : una fábula de nuestro tiempo / Laura Esquivel ; ilustraciones de Francisco Meléndez.</t>
  </si>
  <si>
    <t>Esquivel, Laura, 1950-</t>
  </si>
  <si>
    <t>Madrid : Ollero y Ramos, 1999.</t>
  </si>
  <si>
    <t>56384340:spa</t>
  </si>
  <si>
    <t>42862853</t>
  </si>
  <si>
    <t>991003253919702656</t>
  </si>
  <si>
    <t>2263996650002656</t>
  </si>
  <si>
    <t>9788478951369</t>
  </si>
  <si>
    <t>32285003763603</t>
  </si>
  <si>
    <t>893799527</t>
  </si>
  <si>
    <t>PQ7298.15.S638 T3613 2001</t>
  </si>
  <si>
    <t>0                      PQ 7298150S  638                T  3613        2001</t>
  </si>
  <si>
    <t>Tan veloz como el deseo / Laura Esquivel.</t>
  </si>
  <si>
    <t>New York : Anchor Books, c2001.</t>
  </si>
  <si>
    <t>2001-11-01</t>
  </si>
  <si>
    <t>2001-10-31</t>
  </si>
  <si>
    <t>837231:spa</t>
  </si>
  <si>
    <t>47958888</t>
  </si>
  <si>
    <t>991003642239702656</t>
  </si>
  <si>
    <t>2257990070002656</t>
  </si>
  <si>
    <t>9780385721639</t>
  </si>
  <si>
    <t>32285004417043</t>
  </si>
  <si>
    <t>893705455</t>
  </si>
  <si>
    <t>PQ7298.17.A7 A6 1997</t>
  </si>
  <si>
    <t>0                      PQ 7298170A  7                  A  6           1997</t>
  </si>
  <si>
    <t>Novelas breves / García Ponce.</t>
  </si>
  <si>
    <t>García Ponce, Juan.</t>
  </si>
  <si>
    <t>México, D.F. : Aguilar, Altea, Taurus, Alfaguara, c1997.</t>
  </si>
  <si>
    <t>2002-05-13</t>
  </si>
  <si>
    <t>229354862:spa</t>
  </si>
  <si>
    <t>37547079</t>
  </si>
  <si>
    <t>991003805819702656</t>
  </si>
  <si>
    <t>2264112350002656</t>
  </si>
  <si>
    <t>9789681903411</t>
  </si>
  <si>
    <t>32285004487640</t>
  </si>
  <si>
    <t>893499740</t>
  </si>
  <si>
    <t>PQ7298.17.U66 Q8 1997</t>
  </si>
  <si>
    <t>0                      PQ 7298170U  66                 Q  8           1997</t>
  </si>
  <si>
    <t>Quizás no entendí : [novela] / Gerardo Guiza Lemus.</t>
  </si>
  <si>
    <t>Guiza Lemus, Gerardo, 1957-</t>
  </si>
  <si>
    <t>México, D.F. : Distribuciones Fontamara, 1997.</t>
  </si>
  <si>
    <t>Fontamara, Colección ; 209</t>
  </si>
  <si>
    <t>2000-09-30</t>
  </si>
  <si>
    <t>5091192010:spa</t>
  </si>
  <si>
    <t>38986983</t>
  </si>
  <si>
    <t>991003252889702656</t>
  </si>
  <si>
    <t>2264924130002656</t>
  </si>
  <si>
    <t>9789684762985</t>
  </si>
  <si>
    <t>32285003763660</t>
  </si>
  <si>
    <t>893240013</t>
  </si>
  <si>
    <t>PQ7298.23.A77 A87 1995</t>
  </si>
  <si>
    <t>0                      PQ 7298230A  77                 A  87          1995</t>
  </si>
  <si>
    <t>Arráncame la vida / Angeles Mastretta.</t>
  </si>
  <si>
    <t>Mastretta, Ángeles, 1949-</t>
  </si>
  <si>
    <t>México, D.F. : Cal y Arena, 1995.</t>
  </si>
  <si>
    <t>32 ed.</t>
  </si>
  <si>
    <t>1998-09-24</t>
  </si>
  <si>
    <t>135230:spa</t>
  </si>
  <si>
    <t>32981175</t>
  </si>
  <si>
    <t>991002538509702656</t>
  </si>
  <si>
    <t>2270636260002656</t>
  </si>
  <si>
    <t>9789684930667</t>
  </si>
  <si>
    <t>32285002194776</t>
  </si>
  <si>
    <t>893892687</t>
  </si>
  <si>
    <t>PQ7298.23.E29 A84 1997</t>
  </si>
  <si>
    <t>0                      PQ 7298230E  29                 A  84          1997</t>
  </si>
  <si>
    <t>Aposento vacío : [historias de soledad] / Víctor Manuel Medina Cervantes.</t>
  </si>
  <si>
    <t>Medina Cervantes, Víctor Manuel, 1963-</t>
  </si>
  <si>
    <t>México, D.F. : Hoja Casa Editorial, c1997.</t>
  </si>
  <si>
    <t>Sentido contrario</t>
  </si>
  <si>
    <t>2001-01-17</t>
  </si>
  <si>
    <t>42347350:spa</t>
  </si>
  <si>
    <t>38841072</t>
  </si>
  <si>
    <t>991003252859702656</t>
  </si>
  <si>
    <t>2255649470002656</t>
  </si>
  <si>
    <t>9789686565621</t>
  </si>
  <si>
    <t>32285004290200</t>
  </si>
  <si>
    <t>893809899</t>
  </si>
  <si>
    <t>PQ7298.26.A25 A85 1999</t>
  </si>
  <si>
    <t>0                      PQ 7298260A  25                 A  85          1999</t>
  </si>
  <si>
    <t>La arena errante : poemas, 1992-1998 / José Emilio Pacheco.</t>
  </si>
  <si>
    <t>Pacheco, José Emilio.</t>
  </si>
  <si>
    <t>México, D.F. : Ediciones Era, 1999.</t>
  </si>
  <si>
    <t>2004-01-15</t>
  </si>
  <si>
    <t>391025152:spa</t>
  </si>
  <si>
    <t>43335872</t>
  </si>
  <si>
    <t>991003255199702656</t>
  </si>
  <si>
    <t>2270467720002656</t>
  </si>
  <si>
    <t>9789684114630</t>
  </si>
  <si>
    <t>32285003763553</t>
  </si>
  <si>
    <t>893499113</t>
  </si>
  <si>
    <t>PQ7298.26.A25 B3 1981</t>
  </si>
  <si>
    <t>0                      PQ 7298260A  25                 B  3           1981</t>
  </si>
  <si>
    <t>Las batallas en el desierto / José Emilio Pacheco.</t>
  </si>
  <si>
    <t>México, D.F. : Ediciones Era, 1981</t>
  </si>
  <si>
    <t>350488181:spa</t>
  </si>
  <si>
    <t>7801574</t>
  </si>
  <si>
    <t>991005162899702656</t>
  </si>
  <si>
    <t>2257956010002656</t>
  </si>
  <si>
    <t>9789684110526</t>
  </si>
  <si>
    <t>32285002193992</t>
  </si>
  <si>
    <t>893350840</t>
  </si>
  <si>
    <t>PQ7298.26.A25 I8 1985</t>
  </si>
  <si>
    <t>0                      PQ 7298260A  25                 I  8           1985</t>
  </si>
  <si>
    <t>Islas a la deriva : poemas, 1973-1975 / Josae Emilio Pacheco.</t>
  </si>
  <si>
    <t>Pacheco, Josae Emilio.</t>
  </si>
  <si>
    <t>Maexico : Ediciones Era, 1985.</t>
  </si>
  <si>
    <t>4494935944:spa</t>
  </si>
  <si>
    <t>17937966</t>
  </si>
  <si>
    <t>991004333209702656</t>
  </si>
  <si>
    <t>2268582230002656</t>
  </si>
  <si>
    <t>9789684111356</t>
  </si>
  <si>
    <t>32285004925383</t>
  </si>
  <si>
    <t>893775898</t>
  </si>
  <si>
    <t>PQ7298.26.A25 S55 1994</t>
  </si>
  <si>
    <t>0                      PQ 7298260A  25                 S  55          1994</t>
  </si>
  <si>
    <t>El silencio de la luna : poemas 1985-1993 / José Emilio Pacheco.</t>
  </si>
  <si>
    <t>México, D.F. : Ediciones Era, 1994.</t>
  </si>
  <si>
    <t>2004-07-08</t>
  </si>
  <si>
    <t>1997-03-05</t>
  </si>
  <si>
    <t>10278481713:spa</t>
  </si>
  <si>
    <t>31360632</t>
  </si>
  <si>
    <t>991002409109702656</t>
  </si>
  <si>
    <t>2261982180002656</t>
  </si>
  <si>
    <t>9789684113664</t>
  </si>
  <si>
    <t>32285002440096</t>
  </si>
  <si>
    <t>893322902</t>
  </si>
  <si>
    <t>PQ7298.26.A25 Z74 1993</t>
  </si>
  <si>
    <t>0                      PQ 7298260A  25                 Z  74          1993</t>
  </si>
  <si>
    <t>La hoguera y el viento : José Emilio Pacheco ante la crítica / selección y prólogo de Hugo J. Verani.</t>
  </si>
  <si>
    <t>México, D.F. : Coordinación de Difusión Cultural, Dirección de Literatura, Universidad Nacional Autónoma de México : Ediciones Era, 1993.</t>
  </si>
  <si>
    <t>1. ed., corr. y aum. en Biblioteca Era.</t>
  </si>
  <si>
    <t>2004-06-03</t>
  </si>
  <si>
    <t>320193316:spa</t>
  </si>
  <si>
    <t>30702031</t>
  </si>
  <si>
    <t>991003772739702656</t>
  </si>
  <si>
    <t>2262115910002656</t>
  </si>
  <si>
    <t>9789684113541</t>
  </si>
  <si>
    <t>32285004484829</t>
  </si>
  <si>
    <t>893324462</t>
  </si>
  <si>
    <t>PQ7298.26.A285 A4713 2003</t>
  </si>
  <si>
    <t>0                      PQ 7298260A  285                A  4713        2003</t>
  </si>
  <si>
    <t>Shadow without a name / Ignacio Padilla ; translated by Peter Bush and Anne McLean.</t>
  </si>
  <si>
    <t>Padilla, Ignacio, 1968-2016.</t>
  </si>
  <si>
    <t>New York : Farrar, Straus and Giroux, 2003.</t>
  </si>
  <si>
    <t>2003-07-24</t>
  </si>
  <si>
    <t>676445:eng</t>
  </si>
  <si>
    <t>50982408</t>
  </si>
  <si>
    <t>991004079849702656</t>
  </si>
  <si>
    <t>2267628970002656</t>
  </si>
  <si>
    <t>9780374261900</t>
  </si>
  <si>
    <t>32285004756788</t>
  </si>
  <si>
    <t>893882041</t>
  </si>
  <si>
    <t>PQ7298.26.I8 A15 1998</t>
  </si>
  <si>
    <t>0                      PQ 7298260I  8                  A  15          1998</t>
  </si>
  <si>
    <t>Todos los cuentos de Sergio Pitol / Sergio Pitol.</t>
  </si>
  <si>
    <t>Pitol, Sergio, 1933-2018.</t>
  </si>
  <si>
    <t>Mexico City : Alfaguara, 1998.</t>
  </si>
  <si>
    <t>1. ed. en Alfaguara</t>
  </si>
  <si>
    <t>147983819:spa</t>
  </si>
  <si>
    <t>41394249</t>
  </si>
  <si>
    <t>991003772149702656</t>
  </si>
  <si>
    <t>2256573850002656</t>
  </si>
  <si>
    <t>9789681904982</t>
  </si>
  <si>
    <t>32285004484704</t>
  </si>
  <si>
    <t>893686940</t>
  </si>
  <si>
    <t>PQ7298.26.I8 D65 1989</t>
  </si>
  <si>
    <t>0                      PQ 7298260I  8                  D  65          1989</t>
  </si>
  <si>
    <t>Domar a la divina garza / Sergio Pitol.</t>
  </si>
  <si>
    <t>México, D.F. : Ediciones Era, 1989.</t>
  </si>
  <si>
    <t>1. ed. en Biblioteca Era.</t>
  </si>
  <si>
    <t>10141929148:spa</t>
  </si>
  <si>
    <t>21478645</t>
  </si>
  <si>
    <t>991003254519702656</t>
  </si>
  <si>
    <t>2259497520002656</t>
  </si>
  <si>
    <t>9789684112827</t>
  </si>
  <si>
    <t>32285003760088</t>
  </si>
  <si>
    <t>893805572</t>
  </si>
  <si>
    <t>PQ7298.26.I8 I5 1997</t>
  </si>
  <si>
    <t>0                      PQ 7298260I  8                  I  5           1997</t>
  </si>
  <si>
    <t>Infierno de todos / Sergio Pitol.</t>
  </si>
  <si>
    <t>Xalapa, México : Universidad Veracruzana, 1997.</t>
  </si>
  <si>
    <t>Ficción</t>
  </si>
  <si>
    <t>2301942:spa</t>
  </si>
  <si>
    <t>38417833</t>
  </si>
  <si>
    <t>991003254549702656</t>
  </si>
  <si>
    <t>2263903910002656</t>
  </si>
  <si>
    <t>9789688344415</t>
  </si>
  <si>
    <t>32285003760153</t>
  </si>
  <si>
    <t>893874581</t>
  </si>
  <si>
    <t>PQ7298.26.I8 P37 1998</t>
  </si>
  <si>
    <t>0                      PQ 7298260I  8                  P  37          1998</t>
  </si>
  <si>
    <t>Pasión por la trama / Sergio Pitol</t>
  </si>
  <si>
    <t>México, D.F. : Ediciones Era, 1998.</t>
  </si>
  <si>
    <t>25877666:spa</t>
  </si>
  <si>
    <t>40986933</t>
  </si>
  <si>
    <t>991003254589702656</t>
  </si>
  <si>
    <t>2268089170002656</t>
  </si>
  <si>
    <t>9789684114234</t>
  </si>
  <si>
    <t>32285003760179</t>
  </si>
  <si>
    <t>893258229</t>
  </si>
  <si>
    <t>PQ7298.26.I8 V5 1990</t>
  </si>
  <si>
    <t>0                      PQ 7298260I  8                  V  5           1990</t>
  </si>
  <si>
    <t>La vida conyugal / Sergio Pitol.</t>
  </si>
  <si>
    <t>México, D.F. : Ediciones Era, 1990.</t>
  </si>
  <si>
    <t>Biblioteca Era ; 217/1</t>
  </si>
  <si>
    <t>350488202:spa</t>
  </si>
  <si>
    <t>23890963</t>
  </si>
  <si>
    <t>991003254619702656</t>
  </si>
  <si>
    <t>2256829230002656</t>
  </si>
  <si>
    <t>9789684113343</t>
  </si>
  <si>
    <t>32285003763546</t>
  </si>
  <si>
    <t>893717472</t>
  </si>
  <si>
    <t>PQ7298.26.I8 Z85 2000</t>
  </si>
  <si>
    <t>0                      PQ 7298260I  8                  Z  85          2000</t>
  </si>
  <si>
    <t>Sergio Pitol : los territorios del viajero / José Balza ... [et al.].</t>
  </si>
  <si>
    <t>18356387:spa</t>
  </si>
  <si>
    <t>57751428</t>
  </si>
  <si>
    <t>991003926339702656</t>
  </si>
  <si>
    <t>2269809150002656</t>
  </si>
  <si>
    <t>9789684114890</t>
  </si>
  <si>
    <t>32285004668744</t>
  </si>
  <si>
    <t>893788070</t>
  </si>
  <si>
    <t>PQ7298.28.O88 Z54 1997</t>
  </si>
  <si>
    <t>0                      PQ 7298280O  88                 Z  54          1997</t>
  </si>
  <si>
    <t>Alejandro Rossi ante la crítica / Luis Miguel Aguilar ... [et al.] ; selección, prólogo y notas, Adolfo Castañón.</t>
  </si>
  <si>
    <t>Caracas, Venezuela : Monte Avila Editores Latinoamericana, 1997.</t>
  </si>
  <si>
    <t>Ante la crítica</t>
  </si>
  <si>
    <t>45080375:spa</t>
  </si>
  <si>
    <t>37527871</t>
  </si>
  <si>
    <t>991004339319702656</t>
  </si>
  <si>
    <t>2265090030002656</t>
  </si>
  <si>
    <t>9789800109670</t>
  </si>
  <si>
    <t>32285004929336</t>
  </si>
  <si>
    <t>893525977</t>
  </si>
  <si>
    <t>PQ7298.29.A35 C6 1977</t>
  </si>
  <si>
    <t>0                      PQ 7298290A  35                 C  6           1977</t>
  </si>
  <si>
    <t>Compadre lobo / Gustavo Sainz.</t>
  </si>
  <si>
    <t>Sáinz, Gustavo, 1940-</t>
  </si>
  <si>
    <t>México : Editorial Grijalbo, 1978, c1977.</t>
  </si>
  <si>
    <t>6a. ed.</t>
  </si>
  <si>
    <t>Best sellers</t>
  </si>
  <si>
    <t>2674286:spa</t>
  </si>
  <si>
    <t>4030320</t>
  </si>
  <si>
    <t>991004509379702656</t>
  </si>
  <si>
    <t>2258568700002656</t>
  </si>
  <si>
    <t>9789684190214</t>
  </si>
  <si>
    <t>32285005044408</t>
  </si>
  <si>
    <t>893343921</t>
  </si>
  <si>
    <t>PQ7298.32.I494 P67 1997</t>
  </si>
  <si>
    <t>0                      PQ 7298320I  494                P  67          1997</t>
  </si>
  <si>
    <t>Portuaria / José Javier Villarreal.</t>
  </si>
  <si>
    <t>Villarreal, José Javier.</t>
  </si>
  <si>
    <t>México, D.F. : Ediciones Era, 1997.</t>
  </si>
  <si>
    <t>33528241:spa</t>
  </si>
  <si>
    <t>37926811</t>
  </si>
  <si>
    <t>991003926129702656</t>
  </si>
  <si>
    <t>2269100550002656</t>
  </si>
  <si>
    <t>9789684114043</t>
  </si>
  <si>
    <t>32285004668710</t>
  </si>
  <si>
    <t>893441962</t>
  </si>
  <si>
    <t>PQ7298.32.I523 L8 1995</t>
  </si>
  <si>
    <t>0                      PQ 7298320I  523                L  8           1995</t>
  </si>
  <si>
    <t>La luz oblicua : novela / Paloma Villegas.</t>
  </si>
  <si>
    <t>Villegas, Paloma.</t>
  </si>
  <si>
    <t>México, D.F. : Ediciones Era, 1995.</t>
  </si>
  <si>
    <t>37482186:spa</t>
  </si>
  <si>
    <t>32916541</t>
  </si>
  <si>
    <t>991003926439702656</t>
  </si>
  <si>
    <t>2260384820002656</t>
  </si>
  <si>
    <t>9789684113695</t>
  </si>
  <si>
    <t>32285004668801</t>
  </si>
  <si>
    <t>893900573</t>
  </si>
  <si>
    <t>PQ7298.32.I55 E43 2000</t>
  </si>
  <si>
    <t>0                      PQ 7298320I  55                 E  43          2000</t>
  </si>
  <si>
    <t>Efectos personales / Juan Villoro.</t>
  </si>
  <si>
    <t>Villoro, Juan, 1956-</t>
  </si>
  <si>
    <t>1121047663:spa</t>
  </si>
  <si>
    <t>46918433</t>
  </si>
  <si>
    <t>991003926399702656</t>
  </si>
  <si>
    <t>2260709140002656</t>
  </si>
  <si>
    <t>9789684114975</t>
  </si>
  <si>
    <t>32285004668702</t>
  </si>
  <si>
    <t>893722172</t>
  </si>
  <si>
    <t>PQ7361 .N84 2000</t>
  </si>
  <si>
    <t>0                      PQ 7361000N  84          2000</t>
  </si>
  <si>
    <t>Los nuevos caníbales : antología de la más reciente cuentística del Caribe hispano / [Marilyn Bobes, Pedro Antonio Valdez, Carlos R. Gómez Beras, antólogos].</t>
  </si>
  <si>
    <t>La Habana, Cuba : Ediciones Unión ; San Juan, P.R. : Editorial Isla Negra ; Santo Domingo, República Dominicana : Editorial Búho, c2000.</t>
  </si>
  <si>
    <t>2005-07-14</t>
  </si>
  <si>
    <t>2001-06-12</t>
  </si>
  <si>
    <t>351378849:spa</t>
  </si>
  <si>
    <t>47521515</t>
  </si>
  <si>
    <t>991003558449702656</t>
  </si>
  <si>
    <t>2264182800002656</t>
  </si>
  <si>
    <t>9781881715757</t>
  </si>
  <si>
    <t>32285004326889</t>
  </si>
  <si>
    <t>893774872</t>
  </si>
  <si>
    <t>PQ7371 .D5 1980</t>
  </si>
  <si>
    <t>0                      PQ 7371000D  5           1980</t>
  </si>
  <si>
    <t>Diccionario de la literatura cubana / Instituto de Literatura y Lingüística de la Academia de Ciencias de Cuba.</t>
  </si>
  <si>
    <t>Ciudad de La Habana, Cuba : Editorial Letras Cubanas, 1980-c1984.</t>
  </si>
  <si>
    <t>2004-08-09</t>
  </si>
  <si>
    <t>2864500052:spa</t>
  </si>
  <si>
    <t>7876773</t>
  </si>
  <si>
    <t>991004342449702656</t>
  </si>
  <si>
    <t>2268744870002656</t>
  </si>
  <si>
    <t>32285004980131</t>
  </si>
  <si>
    <t>893624621</t>
  </si>
  <si>
    <t>32285004980149</t>
  </si>
  <si>
    <t>893624620</t>
  </si>
  <si>
    <t>PQ7371 .P47 1983</t>
  </si>
  <si>
    <t>0                      PQ 7371000P  47          1983</t>
  </si>
  <si>
    <t>Perfil histórico de las letras cubanas : desde los orígenes hasta 1898 / Instituto de Literatura y Lingüística de la Academia de Ciencias de Cuba.</t>
  </si>
  <si>
    <t>Ciudad de La Habana, Cuba : Editorial Letras Cubanas, 1983.</t>
  </si>
  <si>
    <t>4428686:spa</t>
  </si>
  <si>
    <t>11866628</t>
  </si>
  <si>
    <t>991004332309702656</t>
  </si>
  <si>
    <t>2265113740002656</t>
  </si>
  <si>
    <t>32285004925276</t>
  </si>
  <si>
    <t>893901122</t>
  </si>
  <si>
    <t>PQ7371 .P612 1981</t>
  </si>
  <si>
    <t>0                      PQ 7371000P  612         1981</t>
  </si>
  <si>
    <t>Capaitulos de literatura cubana / Josae Antonio Portuondo.</t>
  </si>
  <si>
    <t>Portuondo, José Antonio, 1911-1996.</t>
  </si>
  <si>
    <t>Ciudad de La Habana, Cuba : Editorial Letras Cubanas ; New York, N.Y. (G.P.O. Box 1913, New York, N.Y. 10116) : Distribuido por Ediciones Vitral, 1981.</t>
  </si>
  <si>
    <t>42978771:spa</t>
  </si>
  <si>
    <t>9441893</t>
  </si>
  <si>
    <t>991004332269702656</t>
  </si>
  <si>
    <t>2265118820002656</t>
  </si>
  <si>
    <t>32285004925284</t>
  </si>
  <si>
    <t>893712460</t>
  </si>
  <si>
    <t>PQ7373 .L4 1974</t>
  </si>
  <si>
    <t>0                      PQ 7373000L  4           1974</t>
  </si>
  <si>
    <t>La cantidad hechizada / Jose Lezama Lima.</t>
  </si>
  <si>
    <t>Lezama Lima, José.</t>
  </si>
  <si>
    <t>[Madrid] : Júcar, 1974.</t>
  </si>
  <si>
    <t>La Vela latina, 7. Ensayo</t>
  </si>
  <si>
    <t>40207909:spa</t>
  </si>
  <si>
    <t>1110459</t>
  </si>
  <si>
    <t>991004336819702656</t>
  </si>
  <si>
    <t>2271963690002656</t>
  </si>
  <si>
    <t>9788433400871</t>
  </si>
  <si>
    <t>32285004928668</t>
  </si>
  <si>
    <t>893331466</t>
  </si>
  <si>
    <t>PQ7380 .V5 1970</t>
  </si>
  <si>
    <t>0                      PQ 7380000V  5           1970</t>
  </si>
  <si>
    <t>Lo cubano en la poesía / Cintio Vitier.</t>
  </si>
  <si>
    <t>Vitier, Cintio, 1921-2009.</t>
  </si>
  <si>
    <t>La Habana : Instituto del Libro, 1970.</t>
  </si>
  <si>
    <t>Letras cubanas ; 3</t>
  </si>
  <si>
    <t>10792425135:spa</t>
  </si>
  <si>
    <t>804057</t>
  </si>
  <si>
    <t>991003757429702656</t>
  </si>
  <si>
    <t>2269450360002656</t>
  </si>
  <si>
    <t>32285004459581</t>
  </si>
  <si>
    <t>893617709</t>
  </si>
  <si>
    <t>PQ7382 .A48 1980</t>
  </si>
  <si>
    <t>0                      PQ 7382000A  48          1980</t>
  </si>
  <si>
    <t>La novela cubana en el siglo XX / Imeldo Alvarez.</t>
  </si>
  <si>
    <t>Alvarez García, Imeldo, 1928-</t>
  </si>
  <si>
    <t>Ciudad de La Habana, Cuba : Editorial Letras Cubanas, 1980.</t>
  </si>
  <si>
    <t>Colección Panorama ; 3</t>
  </si>
  <si>
    <t>353236025:spa</t>
  </si>
  <si>
    <t>9577050</t>
  </si>
  <si>
    <t>991004337399702656</t>
  </si>
  <si>
    <t>2269267980002656</t>
  </si>
  <si>
    <t>32285004928114</t>
  </si>
  <si>
    <t>893446154</t>
  </si>
  <si>
    <t>PQ7382 .M4 1982</t>
  </si>
  <si>
    <t>0                      PQ 7382000M  4           1982</t>
  </si>
  <si>
    <t>Narrativa de la Revolución cubana / Seymour Menton.</t>
  </si>
  <si>
    <t>Menton, Seymour.</t>
  </si>
  <si>
    <t>México, D.F. : Plaza &amp; Janes, 1982.</t>
  </si>
  <si>
    <t>8908998369:spa</t>
  </si>
  <si>
    <t>17802665</t>
  </si>
  <si>
    <t>991001264339702656</t>
  </si>
  <si>
    <t>2263918060002656</t>
  </si>
  <si>
    <t>32285002080538</t>
  </si>
  <si>
    <t>893803501</t>
  </si>
  <si>
    <t>PQ7382 .R6 1986</t>
  </si>
  <si>
    <t>0                      PQ 7382000R  6           1986</t>
  </si>
  <si>
    <t>La novela de la Revoluciaon Cubana, 1959-1979 / Rogelio Rodraiguez Coronel.</t>
  </si>
  <si>
    <t>Rodríguez Coronel, Rogelio, 1946-</t>
  </si>
  <si>
    <t>La Habana, Cuba : Editorial Letras Cubanas, 1986.</t>
  </si>
  <si>
    <t>Giraldilla</t>
  </si>
  <si>
    <t>11109755:spa</t>
  </si>
  <si>
    <t>15717134</t>
  </si>
  <si>
    <t>991004337599702656</t>
  </si>
  <si>
    <t>2272426830002656</t>
  </si>
  <si>
    <t>32285004928122</t>
  </si>
  <si>
    <t>893624615</t>
  </si>
  <si>
    <t>PQ7382 .R65 1983</t>
  </si>
  <si>
    <t>0                      PQ 7382000R  65          1983</t>
  </si>
  <si>
    <t>Novela de la revolución y otros temas / Rogelio Rodríguez Coronel.</t>
  </si>
  <si>
    <t>Ciudad de la Habana, Cuba : Editorial Letras Cubanas, 1983.</t>
  </si>
  <si>
    <t>Colección espiral</t>
  </si>
  <si>
    <t>3131024:spa</t>
  </si>
  <si>
    <t>10817311</t>
  </si>
  <si>
    <t>991004337739702656</t>
  </si>
  <si>
    <t>2269342440002656</t>
  </si>
  <si>
    <t>32285004928148</t>
  </si>
  <si>
    <t>893875977</t>
  </si>
  <si>
    <t>PQ7384 .N83 2003</t>
  </si>
  <si>
    <t>0                      PQ 7384000N  83          2003</t>
  </si>
  <si>
    <t>Los nuevos caníbales. Volumen 2 : antología de la más reciente poesía del Caribe hispano / [Alex Pausides Valdez, Carlos R. Gómez Beras, antbologos].</t>
  </si>
  <si>
    <t>[Ciudad de la Habana, Cuba] : Ediciones Unión ; [San Juan, P.R.] : Editorial Isla Negra ; [Santo Domingo, República Dominicana] : Editora Buho, c2003.</t>
  </si>
  <si>
    <t>54067732</t>
  </si>
  <si>
    <t>991004209299702656</t>
  </si>
  <si>
    <t>2267671470002656</t>
  </si>
  <si>
    <t>9789592093409</t>
  </si>
  <si>
    <t>32285004633920</t>
  </si>
  <si>
    <t>893229059</t>
  </si>
  <si>
    <t>PQ7386 .I84 1999</t>
  </si>
  <si>
    <t>0                      PQ 7386000I  84          1999</t>
  </si>
  <si>
    <t>Islas en el sol / [editado por] Francisco López Sacha, José Rafael Lantigua.</t>
  </si>
  <si>
    <t>El Vedado, Ciudad de La Habana : Unión de Escritores y Artistas de Cuba ; Santo Domingo, República Dominicana : Comisión Permanente de la Feria del Libro, c1996.</t>
  </si>
  <si>
    <t>Ediciones Ferilibro ; núm. 18</t>
  </si>
  <si>
    <t>2000-04-06</t>
  </si>
  <si>
    <t>2000-01-13</t>
  </si>
  <si>
    <t>476312839:spa</t>
  </si>
  <si>
    <t>42896372</t>
  </si>
  <si>
    <t>991003050349702656</t>
  </si>
  <si>
    <t>2265169050002656</t>
  </si>
  <si>
    <t>9789592092624</t>
  </si>
  <si>
    <t>32285003641536</t>
  </si>
  <si>
    <t>893887089</t>
  </si>
  <si>
    <t>PQ7389 C35 1986</t>
  </si>
  <si>
    <t>0                      PQ 7389000C  35          1986</t>
  </si>
  <si>
    <t>El Cazador / Raúl Luis [compilador] ; con un testimonio de Pepilla Naranjo, recogido por Rafael Alcides Pérez y una noveleta de Chanito Isidrón.</t>
  </si>
  <si>
    <t>2001-11-14</t>
  </si>
  <si>
    <t>2001-11-13</t>
  </si>
  <si>
    <t>366451449:spa</t>
  </si>
  <si>
    <t>20342127</t>
  </si>
  <si>
    <t>991003677789702656</t>
  </si>
  <si>
    <t>2269002330002656</t>
  </si>
  <si>
    <t>32285004411186</t>
  </si>
  <si>
    <t>893775031</t>
  </si>
  <si>
    <t>PQ7389.C233 A6 1999</t>
  </si>
  <si>
    <t>0                      PQ 7389000C  233                A  6           1999</t>
  </si>
  <si>
    <t>Infantería / Guillermo Cabrera Infante ; compilación, selección de textos e introducción de Nivia Montenegro y Enrico Mario Santí.</t>
  </si>
  <si>
    <t>Cabrera Infante, G. (Guillermo), 1929-2005.</t>
  </si>
  <si>
    <t>México, D.F. : Fondo de Cultura Económica, 1999.</t>
  </si>
  <si>
    <t>2000-09-19</t>
  </si>
  <si>
    <t>46484380:spa</t>
  </si>
  <si>
    <t>43869301</t>
  </si>
  <si>
    <t>991003253729702656</t>
  </si>
  <si>
    <t>2271575860002656</t>
  </si>
  <si>
    <t>9789681658465</t>
  </si>
  <si>
    <t>32285003763090</t>
  </si>
  <si>
    <t>893410088</t>
  </si>
  <si>
    <t>PQ7389.C263 G37 1984</t>
  </si>
  <si>
    <t>0                      PQ 7389000C  263                G  37          1984</t>
  </si>
  <si>
    <t>Biobibliografaia de Alejo Carpentier / Araceli Garcaia-Carranza.</t>
  </si>
  <si>
    <t>Garcaia-Carranza, Araceli.</t>
  </si>
  <si>
    <t>Ciudad de La Habana, Cuba : Editorial Letras Cubanas, 1984.</t>
  </si>
  <si>
    <t>4851842:spa</t>
  </si>
  <si>
    <t>12403792</t>
  </si>
  <si>
    <t>991004336489702656</t>
  </si>
  <si>
    <t>2257718100002656</t>
  </si>
  <si>
    <t>32285004927793</t>
  </si>
  <si>
    <t>893442499</t>
  </si>
  <si>
    <t>PQ7389.C263 Z578 1988</t>
  </si>
  <si>
    <t>0                      PQ 7389000C  263                Z  578         1988</t>
  </si>
  <si>
    <t>Magias y maravillas en el continente literario : para un deslinde del realismo mágico y lo real maravilloso / Víctor Bravo.</t>
  </si>
  <si>
    <t>Caracas : Ediciones La Casa de Bello, c1988.</t>
  </si>
  <si>
    <t>Colección Zona tórrida ; 10. Letras universitarias</t>
  </si>
  <si>
    <t>2002-06-13</t>
  </si>
  <si>
    <t>320366827:spa</t>
  </si>
  <si>
    <t>20492093</t>
  </si>
  <si>
    <t>991003818449702656</t>
  </si>
  <si>
    <t>2270322580002656</t>
  </si>
  <si>
    <t>9789802140381</t>
  </si>
  <si>
    <t>32285004494158</t>
  </si>
  <si>
    <t>893806250</t>
  </si>
  <si>
    <t>PQ7389.C263 Z69 1990</t>
  </si>
  <si>
    <t>0                      PQ 7389000C  263                Z  69          1990</t>
  </si>
  <si>
    <t>Alejo Carpentier, the pilgrim at home / Roberto González Echevarría.</t>
  </si>
  <si>
    <t>González Echevarría, Roberto.</t>
  </si>
  <si>
    <t>Austin : University of Texas Press, 1990.</t>
  </si>
  <si>
    <t>1st University of Texas Press ed.</t>
  </si>
  <si>
    <t>Texas Pan American series</t>
  </si>
  <si>
    <t>2002-05-10</t>
  </si>
  <si>
    <t>796152195:eng</t>
  </si>
  <si>
    <t>22756633</t>
  </si>
  <si>
    <t>991001811569702656</t>
  </si>
  <si>
    <t>2270312970002656</t>
  </si>
  <si>
    <t>9780292704176</t>
  </si>
  <si>
    <t>32285002093176</t>
  </si>
  <si>
    <t>893439466</t>
  </si>
  <si>
    <t>PQ7389.C263 Z76 1982</t>
  </si>
  <si>
    <t>0                      PQ 7389000C  263                Z  76          1982</t>
  </si>
  <si>
    <t>Lo barroco y lo real-maravilloso en la obra de Alejo Carpentier / Alexis Márquez Rodríguez.</t>
  </si>
  <si>
    <t>México, D.F. : Siglo Veintiuno Editores, c1982.</t>
  </si>
  <si>
    <t>2004-10-01</t>
  </si>
  <si>
    <t>352625625:spa</t>
  </si>
  <si>
    <t>13334417</t>
  </si>
  <si>
    <t>991000814259702656</t>
  </si>
  <si>
    <t>2263917020002656</t>
  </si>
  <si>
    <t>9789682311727</t>
  </si>
  <si>
    <t>32285002172160</t>
  </si>
  <si>
    <t>893432320</t>
  </si>
  <si>
    <t>PQ7389.C263 Z77 1970</t>
  </si>
  <si>
    <t>0                      PQ 7389000C  263                Z  77          1970</t>
  </si>
  <si>
    <t>La obra narrativa de Alejo Carpentier / Alexis Márquez Rodríguez.</t>
  </si>
  <si>
    <t>[Caracas] Ediciones de la Biblioteca : Universidad Central de Venezuela, [1970]</t>
  </si>
  <si>
    <t>Colección Temas ; 35</t>
  </si>
  <si>
    <t>365216084:spa</t>
  </si>
  <si>
    <t>21622216</t>
  </si>
  <si>
    <t>991004332749702656</t>
  </si>
  <si>
    <t>2266375380002656</t>
  </si>
  <si>
    <t>32285004927082</t>
  </si>
  <si>
    <t>893423674</t>
  </si>
  <si>
    <t>PQ7389.C263 Z772 1992</t>
  </si>
  <si>
    <t>0                      PQ 7389000C  263                Z  772         1992</t>
  </si>
  <si>
    <t>Ocho veces Alejo Carpentier / Alexis Márquez Rodríguez.</t>
  </si>
  <si>
    <t>[Caracas?] : Grijalbo, c1992.</t>
  </si>
  <si>
    <t>1ra. ed. venezolana.</t>
  </si>
  <si>
    <t>Tientos y diferencias</t>
  </si>
  <si>
    <t>32657943:spa</t>
  </si>
  <si>
    <t>30439167</t>
  </si>
  <si>
    <t>991003845859702656</t>
  </si>
  <si>
    <t>2269469790002656</t>
  </si>
  <si>
    <t>9789802931415</t>
  </si>
  <si>
    <t>32285004499694</t>
  </si>
  <si>
    <t>893435526</t>
  </si>
  <si>
    <t>PQ7389.C263 Z854 1977</t>
  </si>
  <si>
    <t>0                      PQ 7389000C  263                Z  854         1977</t>
  </si>
  <si>
    <t>Recopilación de textos sobre Alejo Carpentier / [compilación y prólogo, Salvador Arias].</t>
  </si>
  <si>
    <t>Ciudad de La Habana : Centro de Investigaciones Literaria [i.e. Literarias], Casa de las Américas ; New York, NY : distribuido por Ediciones Vitral, [1977]</t>
  </si>
  <si>
    <t>Serie Valoración múltiple</t>
  </si>
  <si>
    <t>1996-10-03</t>
  </si>
  <si>
    <t>53740630:spa</t>
  </si>
  <si>
    <t>10505403</t>
  </si>
  <si>
    <t>991000382229702656</t>
  </si>
  <si>
    <t>2254763110002656</t>
  </si>
  <si>
    <t>32285002322849</t>
  </si>
  <si>
    <t>893320998</t>
  </si>
  <si>
    <t>PQ7389.G84 A6 1984</t>
  </si>
  <si>
    <t>0                      PQ 7389000G  84                 A  6           1984</t>
  </si>
  <si>
    <t>Las grandes elegías y otros poemas / Nicolás Guillén ; selección, prólogo, notas y cronología, Angel Augier.</t>
  </si>
  <si>
    <t>Guillén, Nicolás, 1902-1989.</t>
  </si>
  <si>
    <t>Caracas, Venezuela : Biblioteca Ayacucho, 1984.</t>
  </si>
  <si>
    <t>Biblioteca Ayacucho ; 103</t>
  </si>
  <si>
    <t>1998-01-31</t>
  </si>
  <si>
    <t>351639332:spa</t>
  </si>
  <si>
    <t>12876680</t>
  </si>
  <si>
    <t>991000747249702656</t>
  </si>
  <si>
    <t>2257983960002656</t>
  </si>
  <si>
    <t>9788466001083</t>
  </si>
  <si>
    <t>32285002194727</t>
  </si>
  <si>
    <t>893790817</t>
  </si>
  <si>
    <t>PQ7389.G84 Z82 1974</t>
  </si>
  <si>
    <t>0                      PQ 7389000G  84                 Z  82          1974</t>
  </si>
  <si>
    <t>Recopilación de textos sobre Nicolás Guillén / [selección y prólogo de Nancy Morejón].</t>
  </si>
  <si>
    <t>[La Habana] : Casa de las Américas, 1974.</t>
  </si>
  <si>
    <t>53672605:spa</t>
  </si>
  <si>
    <t>1811115</t>
  </si>
  <si>
    <t>991003932269702656</t>
  </si>
  <si>
    <t>2258930310002656</t>
  </si>
  <si>
    <t>32285004630710</t>
  </si>
  <si>
    <t>893705797</t>
  </si>
  <si>
    <t>PQ7389.L49 A6 1992</t>
  </si>
  <si>
    <t>0                      PQ 7389000L  49                 A  6           1992</t>
  </si>
  <si>
    <t>Imagen y posibilidad / Josae Lezama Lima ; selecciaon, praologo y notas de Ciro Bianchi Ross.</t>
  </si>
  <si>
    <t>La Habana, Cuba : Editorial Letras Cubanas, 1992.</t>
  </si>
  <si>
    <t>31980782:spa</t>
  </si>
  <si>
    <t>30207662</t>
  </si>
  <si>
    <t>991004333109702656</t>
  </si>
  <si>
    <t>2255995140002656</t>
  </si>
  <si>
    <t>9789591000347</t>
  </si>
  <si>
    <t>32285004925193</t>
  </si>
  <si>
    <t>893806940</t>
  </si>
  <si>
    <t>PQ7389.M2 P9 1968</t>
  </si>
  <si>
    <t>0                      PQ 7389000M  2                  P  9           1968</t>
  </si>
  <si>
    <t>Prosa y poesía / Jose Marti ; estudio preliminar y notas de Íber H. Verdugo ; edición dirigida por María Hortensia Lacau.</t>
  </si>
  <si>
    <t>Martí, José, 1853-1895.</t>
  </si>
  <si>
    <t>Buenos Aires : Editorial Kapelusz, [1968]</t>
  </si>
  <si>
    <t>1576439:spa</t>
  </si>
  <si>
    <t>545011</t>
  </si>
  <si>
    <t>991004509219702656</t>
  </si>
  <si>
    <t>2264373690002656</t>
  </si>
  <si>
    <t>32285005029441</t>
  </si>
  <si>
    <t>893624805</t>
  </si>
  <si>
    <t>PQ7389.P49 A6 1987</t>
  </si>
  <si>
    <t>0                      PQ 7389000P  49                 A  6           1987</t>
  </si>
  <si>
    <t>Un fogonazo / Virgilio Piñera.</t>
  </si>
  <si>
    <t>Piñera, Virgilio, 1912-1979.</t>
  </si>
  <si>
    <t>La Habana, Cuba : Editorial Letras Cubanas, 1987.</t>
  </si>
  <si>
    <t>48509738:spa</t>
  </si>
  <si>
    <t>18192355</t>
  </si>
  <si>
    <t>991003678349702656</t>
  </si>
  <si>
    <t>2269384060002656</t>
  </si>
  <si>
    <t>32285004411350</t>
  </si>
  <si>
    <t>893717966</t>
  </si>
  <si>
    <t>PQ7389.V55 C413 2005</t>
  </si>
  <si>
    <t>0                      PQ 7389000V  55                 C  413         2005</t>
  </si>
  <si>
    <t>Cecilia Valdés, or, El Angel Hill / Cirilo Villaverde ; translated from the Spanish by Helen Lane ; edited with an introduction and notes by Sibylle Fischer.</t>
  </si>
  <si>
    <t>Villaverde, Cirilo, 1812-1894.</t>
  </si>
  <si>
    <t>Oxford ; New York : Oxford University Press, 2005.</t>
  </si>
  <si>
    <t>Library of Latin America</t>
  </si>
  <si>
    <t>8909833512:eng</t>
  </si>
  <si>
    <t>52821440</t>
  </si>
  <si>
    <t>991004680399702656</t>
  </si>
  <si>
    <t>2271906010002656</t>
  </si>
  <si>
    <t>9780195143942</t>
  </si>
  <si>
    <t>32285005143010</t>
  </si>
  <si>
    <t>893319522</t>
  </si>
  <si>
    <t>PQ7390 .D542 1984</t>
  </si>
  <si>
    <t>0                      PQ 7390000D  542         1984</t>
  </si>
  <si>
    <t>Mientras traza su curva el pez de fuego / Manuel Díaz Martínez.</t>
  </si>
  <si>
    <t>Díaz Martínez, Manuel.</t>
  </si>
  <si>
    <t>Ciudad de La Habana : Unión de Escritores y Artistas de Cuba, 1984.</t>
  </si>
  <si>
    <t>Manjuarí. Poesía</t>
  </si>
  <si>
    <t>2005-08-19</t>
  </si>
  <si>
    <t>11600804:spa</t>
  </si>
  <si>
    <t>16133561</t>
  </si>
  <si>
    <t>991003674419702656</t>
  </si>
  <si>
    <t>2262926570002656</t>
  </si>
  <si>
    <t>32285004419601</t>
  </si>
  <si>
    <t>893252618</t>
  </si>
  <si>
    <t>PQ7390.A375 C37 1998</t>
  </si>
  <si>
    <t>0                      PQ 7390000A  375                C  37          1998</t>
  </si>
  <si>
    <t>Caracol Beach / Eliseo Alberto.</t>
  </si>
  <si>
    <t>Alberto, Eliseo, 1951-2011.</t>
  </si>
  <si>
    <t>Madrid : Alfaguara, c1998.</t>
  </si>
  <si>
    <t>835938:spa</t>
  </si>
  <si>
    <t>39047524</t>
  </si>
  <si>
    <t>991003253429702656</t>
  </si>
  <si>
    <t>2272297000002656</t>
  </si>
  <si>
    <t>9788420483702</t>
  </si>
  <si>
    <t>32285003749974</t>
  </si>
  <si>
    <t>893617150</t>
  </si>
  <si>
    <t>PQ7390.A72 O813 1987</t>
  </si>
  <si>
    <t>0                      PQ 7390000A  72                 O  813         1987</t>
  </si>
  <si>
    <t>Farewell to the sea : a novel of Cuba / Reinaldo Arenas ; translated by Andrew Hurley.</t>
  </si>
  <si>
    <t>Arenas, Reinaldo, 1943-1990.</t>
  </si>
  <si>
    <t>New York, N.Y., U.S.A. : Penguin Books, 1987, c1986.</t>
  </si>
  <si>
    <t>1998-03-06</t>
  </si>
  <si>
    <t>1992-06-02</t>
  </si>
  <si>
    <t>104509526:eng</t>
  </si>
  <si>
    <t>14129303</t>
  </si>
  <si>
    <t>991000909019702656</t>
  </si>
  <si>
    <t>2258323990002656</t>
  </si>
  <si>
    <t>9780140066364</t>
  </si>
  <si>
    <t>32285001125565</t>
  </si>
  <si>
    <t>893515732</t>
  </si>
  <si>
    <t>PQ7390.A72 Z64 1999</t>
  </si>
  <si>
    <t>0                      PQ 7390000A  72                 Z  64          1999</t>
  </si>
  <si>
    <t>Ideología y subversión : otra vez Arenas / Reinaldo Sánchez, Humberto López Cruz, editores ; epílogo de Alfredo Pérez Alencart.</t>
  </si>
  <si>
    <t>Salamanca, España : Centro de Estudios Ibéricos y Americanos de Salamanca "Federico de Onís--Miguel Torga," [1999]</t>
  </si>
  <si>
    <t>Colección Salamanca. Serie gris, poesía y ensayo literario ; 5</t>
  </si>
  <si>
    <t>2005-04-25</t>
  </si>
  <si>
    <t>2004-03-03</t>
  </si>
  <si>
    <t>320624334:spa</t>
  </si>
  <si>
    <t>43903208</t>
  </si>
  <si>
    <t>991004160429702656</t>
  </si>
  <si>
    <t>2258367580002656</t>
  </si>
  <si>
    <t>9788493029555</t>
  </si>
  <si>
    <t>32285004891981</t>
  </si>
  <si>
    <t>893337393</t>
  </si>
  <si>
    <t>PQ7390.B3 G34 1985</t>
  </si>
  <si>
    <t>0                      PQ 7390000B  3                  G  34          1985</t>
  </si>
  <si>
    <t>Gallego / Miguel Barnet.</t>
  </si>
  <si>
    <t>Barnet, Miguel, 1940-</t>
  </si>
  <si>
    <t>La Habana : Letras Cubanas, 1983.</t>
  </si>
  <si>
    <t>3520959:spa</t>
  </si>
  <si>
    <t>15599277</t>
  </si>
  <si>
    <t>991003678499702656</t>
  </si>
  <si>
    <t>2259246170002656</t>
  </si>
  <si>
    <t>32285004411392</t>
  </si>
  <si>
    <t>893699279</t>
  </si>
  <si>
    <t>PQ7390.C53 A48 1980</t>
  </si>
  <si>
    <t>0                      PQ 7390000C  53                 A  48          1980</t>
  </si>
  <si>
    <t>Agua y fuego / Elsa Claro.</t>
  </si>
  <si>
    <t>Claro, Elsa.</t>
  </si>
  <si>
    <t>Ciudad de la Habana [Cuba] : Unión de Escritores y Artistas de Cuba, c1980.</t>
  </si>
  <si>
    <t>2003-02-10</t>
  </si>
  <si>
    <t>2003-02-03</t>
  </si>
  <si>
    <t>8510455:spa</t>
  </si>
  <si>
    <t>51509327</t>
  </si>
  <si>
    <t>991003985829702656</t>
  </si>
  <si>
    <t>2263765720002656</t>
  </si>
  <si>
    <t>32285004631700</t>
  </si>
  <si>
    <t>893519129</t>
  </si>
  <si>
    <t>PQ7390.C623 C83 1978</t>
  </si>
  <si>
    <t>0                      PQ 7390000C  623                C  83          1978</t>
  </si>
  <si>
    <t>Cuaderno para el que va a nacer / Félix Contreras.</t>
  </si>
  <si>
    <t>Contreras, Félix.</t>
  </si>
  <si>
    <t>Ciudad de La Habana : Unión de Escritores y Artistas de Cuba, c1978.</t>
  </si>
  <si>
    <t>22756397:spa</t>
  </si>
  <si>
    <t>20397127</t>
  </si>
  <si>
    <t>991003677949702656</t>
  </si>
  <si>
    <t>2262828350002656</t>
  </si>
  <si>
    <t>32285004411228</t>
  </si>
  <si>
    <t>893875029</t>
  </si>
  <si>
    <t>PQ7390.D58 A6 1983</t>
  </si>
  <si>
    <t>0                      PQ 7390000D  58                 A  6           1983</t>
  </si>
  <si>
    <t>Prosas escogidas / Eliseo Diego.</t>
  </si>
  <si>
    <t>Diego, Eliseo.</t>
  </si>
  <si>
    <t>Letras cubanas</t>
  </si>
  <si>
    <t>4403407:spa</t>
  </si>
  <si>
    <t>12054171</t>
  </si>
  <si>
    <t>991004334679702656</t>
  </si>
  <si>
    <t>2260123560002656</t>
  </si>
  <si>
    <t>32285004928015</t>
  </si>
  <si>
    <t>893775901</t>
  </si>
  <si>
    <t>PQ7390.F507 A52 1986</t>
  </si>
  <si>
    <t>0                      PQ 7390000F  507                A  52          1986</t>
  </si>
  <si>
    <t>Andar aprisa / Armando Ferrer.</t>
  </si>
  <si>
    <t>Ferrer Castro, Armando, 1942-</t>
  </si>
  <si>
    <t>[S.l. : s.n.], c1986</t>
  </si>
  <si>
    <t>9490359531:spa</t>
  </si>
  <si>
    <t>35334333</t>
  </si>
  <si>
    <t>991003692969702656</t>
  </si>
  <si>
    <t>2258246220002656</t>
  </si>
  <si>
    <t>32285004427042</t>
  </si>
  <si>
    <t>893324352</t>
  </si>
  <si>
    <t>PQ7390.G66 C66 1993</t>
  </si>
  <si>
    <t>0                      PQ 7390000G  66                 C  66          1993</t>
  </si>
  <si>
    <t>El concilio de las fábulas / Daniuska González.</t>
  </si>
  <si>
    <t>González, Daniuska, 1967-</t>
  </si>
  <si>
    <t>Los Teques, Venezuela : Ateneo de Los Teques, 1993.</t>
  </si>
  <si>
    <t>Colección Ateneo de Los Teques ; no. 17</t>
  </si>
  <si>
    <t>477273005:spa</t>
  </si>
  <si>
    <t>37936420</t>
  </si>
  <si>
    <t>991003813679702656</t>
  </si>
  <si>
    <t>2265709260002656</t>
  </si>
  <si>
    <t>9789803450007</t>
  </si>
  <si>
    <t>32285004490065</t>
  </si>
  <si>
    <t>893598999</t>
  </si>
  <si>
    <t>PQ7390.G83 T7513 2001</t>
  </si>
  <si>
    <t>0                      PQ 7390000G  83                 T  7513        2001</t>
  </si>
  <si>
    <t>Dirty Havana trilogy / Pedro Juan Gutiaerrez ; translated from the Spanish by Natasha Wimmer.</t>
  </si>
  <si>
    <t>Gutiérrez, Pedro Juan, 1950-</t>
  </si>
  <si>
    <t>New York : Farrar, Straus and Giroux, 2001.</t>
  </si>
  <si>
    <t>2003-12-19</t>
  </si>
  <si>
    <t>11089619:eng</t>
  </si>
  <si>
    <t>43757627</t>
  </si>
  <si>
    <t>991003509009702656</t>
  </si>
  <si>
    <t>2270333760002656</t>
  </si>
  <si>
    <t>9780374140168</t>
  </si>
  <si>
    <t>32285004314174</t>
  </si>
  <si>
    <t>893904392</t>
  </si>
  <si>
    <t>PQ7390.P32 N6 2001</t>
  </si>
  <si>
    <t>0                      PQ 7390000P  32                 N  6           2001</t>
  </si>
  <si>
    <t>La novela de mi vida / Leonardo Padura.</t>
  </si>
  <si>
    <t>Padura, Leonardo.</t>
  </si>
  <si>
    <t>Santo Domingo : Talleres, 2001.</t>
  </si>
  <si>
    <t>351512374:spa</t>
  </si>
  <si>
    <t>49524706</t>
  </si>
  <si>
    <t>991003808309702656</t>
  </si>
  <si>
    <t>2269722030002656</t>
  </si>
  <si>
    <t>32285004488127</t>
  </si>
  <si>
    <t>893699438</t>
  </si>
  <si>
    <t>PQ7390.S26 C7 1972</t>
  </si>
  <si>
    <t>0                      PQ 7390000S  26                 C  7           1972</t>
  </si>
  <si>
    <t>Los cruzados de la aurora / Jose Sanchez Boudy.</t>
  </si>
  <si>
    <t>Sánchez-Boudy, José.</t>
  </si>
  <si>
    <t>Miami : Ediciones Universal, [1972]</t>
  </si>
  <si>
    <t>Colección Caniquí</t>
  </si>
  <si>
    <t>366130499:spa</t>
  </si>
  <si>
    <t>897058</t>
  </si>
  <si>
    <t>991004490499702656</t>
  </si>
  <si>
    <t>2257557910002656</t>
  </si>
  <si>
    <t>32285005028930</t>
  </si>
  <si>
    <t>893599892</t>
  </si>
  <si>
    <t>PQ7390.S266 Y8 2003</t>
  </si>
  <si>
    <t>0                      PQ 7390000S  266                Y  8           2003</t>
  </si>
  <si>
    <t>Yo soy Minerva! : confesiones más allá de la vida y la muerte / monólogo, Mu-Kien Adriana Sang.</t>
  </si>
  <si>
    <t>Sang, Mu-Kien A. (Mu-Kien Adriana)</t>
  </si>
  <si>
    <t>Santo Domingo, Republica Dominicana : [s.n., 2003]</t>
  </si>
  <si>
    <t>2005-01-25</t>
  </si>
  <si>
    <t>906242003:spa</t>
  </si>
  <si>
    <t>57227834</t>
  </si>
  <si>
    <t>991004460549702656</t>
  </si>
  <si>
    <t>2267784600002656</t>
  </si>
  <si>
    <t>9789993423560</t>
  </si>
  <si>
    <t>32285005022784</t>
  </si>
  <si>
    <t>893337753</t>
  </si>
  <si>
    <t>PQ7390.S28 A114 1999</t>
  </si>
  <si>
    <t>0                      PQ 7390000S  28                 A  114         1999</t>
  </si>
  <si>
    <t>Obra completa / Severo Sarduy ; edición crítica, Gustavo Guerrero, François Wahl, coordinadores.</t>
  </si>
  <si>
    <t>Sarduy, Severo.</t>
  </si>
  <si>
    <t>Madrid : Galaxia Gutenberg, Círculo de Lectores ; Nanterre, France : ALLCA XX, Université de Paris X, 1999.</t>
  </si>
  <si>
    <t>Colección Archivos ; 40</t>
  </si>
  <si>
    <t>10253096560:spa</t>
  </si>
  <si>
    <t>43059311</t>
  </si>
  <si>
    <t>991003254909702656</t>
  </si>
  <si>
    <t>2263190730002656</t>
  </si>
  <si>
    <t>9788489666412</t>
  </si>
  <si>
    <t>32285004285002</t>
  </si>
  <si>
    <t>893317804</t>
  </si>
  <si>
    <t>32285004284997</t>
  </si>
  <si>
    <t>893348488</t>
  </si>
  <si>
    <t>PQ7390.S78 E78 1988</t>
  </si>
  <si>
    <t>0                      PQ 7390000S  78                 E  78          1988</t>
  </si>
  <si>
    <t>Estas son mis sagradas escrituras / Luis Suardíaz.</t>
  </si>
  <si>
    <t>Suardíaz, Luis, 1936-2005.</t>
  </si>
  <si>
    <t>Mérida, Venezuela : Ediciones del Rectorado, Universidad de Los Andes, 1988.</t>
  </si>
  <si>
    <t>9396610:spa</t>
  </si>
  <si>
    <t>51532145</t>
  </si>
  <si>
    <t>991003986019702656</t>
  </si>
  <si>
    <t>2267211890002656</t>
  </si>
  <si>
    <t>32285004631676</t>
  </si>
  <si>
    <t>893247012</t>
  </si>
  <si>
    <t>PQ7390.S78 L4 1978</t>
  </si>
  <si>
    <t>0                      PQ 7390000S  78                 L  4           1978</t>
  </si>
  <si>
    <t>Leyenda de la Justa Belleza / Luis Suardíaz.</t>
  </si>
  <si>
    <t>La Habana : Letras Cubanas, 1978.</t>
  </si>
  <si>
    <t>Mínima poesía ; 20</t>
  </si>
  <si>
    <t>2001-11-15</t>
  </si>
  <si>
    <t>149356305:spa</t>
  </si>
  <si>
    <t>7194113</t>
  </si>
  <si>
    <t>991003679469702656</t>
  </si>
  <si>
    <t>2255222090002656</t>
  </si>
  <si>
    <t>32285004411624</t>
  </si>
  <si>
    <t>893623757</t>
  </si>
  <si>
    <t>PQ7400 .F56 1948</t>
  </si>
  <si>
    <t>0                      PQ 7400000F  56          1948</t>
  </si>
  <si>
    <t>Bibliografía de la bibliografía dominicana / por Luis Floren Lozano.</t>
  </si>
  <si>
    <t>Florén Lozano, Luis, 1913-</t>
  </si>
  <si>
    <t>Ciudad Trujillo : Roques Roman, [c1948]</t>
  </si>
  <si>
    <t>29140030:spa</t>
  </si>
  <si>
    <t>1722915</t>
  </si>
  <si>
    <t>991003294019702656</t>
  </si>
  <si>
    <t>2271752660002656</t>
  </si>
  <si>
    <t>32285003763454</t>
  </si>
  <si>
    <t>893330175</t>
  </si>
  <si>
    <t>PQ7400 .W38 1931</t>
  </si>
  <si>
    <t>0                      PQ 7400000W  38          1931</t>
  </si>
  <si>
    <t>A bibliography of the belles-lettres of Santo Domingo / by Samuel Montefiore Waxman.</t>
  </si>
  <si>
    <t>Waxman, Samuel Montefiore, 1885-</t>
  </si>
  <si>
    <t>Cambridge, Mass. : Harvard University Press, 1931.</t>
  </si>
  <si>
    <t>1931610:eng</t>
  </si>
  <si>
    <t>972960</t>
  </si>
  <si>
    <t>991003293969702656</t>
  </si>
  <si>
    <t>2258760190002656</t>
  </si>
  <si>
    <t>32285003763439</t>
  </si>
  <si>
    <t>893227906</t>
  </si>
  <si>
    <t>PQ7400.5 .L5 2001</t>
  </si>
  <si>
    <t>0                      PQ 7400500L  5           2001</t>
  </si>
  <si>
    <t>Literatura dominicana en los Estados Unidos : presencia temprana, 1900-1950 / selección y prólogo, Daisy Cocco De Filippis, Franklin Gutiérrez.</t>
  </si>
  <si>
    <t>Santo Domingo, República Domonicana : Editora Buho, 2001.</t>
  </si>
  <si>
    <t>2002-10-29</t>
  </si>
  <si>
    <t>918708668:spa</t>
  </si>
  <si>
    <t>49604215</t>
  </si>
  <si>
    <t>991003807979702656</t>
  </si>
  <si>
    <t>2270610570002656</t>
  </si>
  <si>
    <t>9789993410027</t>
  </si>
  <si>
    <t>32285004658505</t>
  </si>
  <si>
    <t>893429246</t>
  </si>
  <si>
    <t>PQ7400.5 .M36 1997</t>
  </si>
  <si>
    <t>0                      PQ 7400500M  36          1997</t>
  </si>
  <si>
    <t>Manifiestos literarios de la República Dominicana / Andrés L. Mateo.</t>
  </si>
  <si>
    <t>[Dominican Republic : s.n.], 1997</t>
  </si>
  <si>
    <t>2. ed. corr. y ampliada.</t>
  </si>
  <si>
    <t>Serie Literatura dominicana</t>
  </si>
  <si>
    <t>1997-09-17</t>
  </si>
  <si>
    <t>1997-06-10</t>
  </si>
  <si>
    <t>54745785:spa</t>
  </si>
  <si>
    <t>37004659</t>
  </si>
  <si>
    <t>991002817569702656</t>
  </si>
  <si>
    <t>2272572900002656</t>
  </si>
  <si>
    <t>9788489539365</t>
  </si>
  <si>
    <t>32285002750940</t>
  </si>
  <si>
    <t>893511229</t>
  </si>
  <si>
    <t>PQ7400.5 .V3 1999</t>
  </si>
  <si>
    <t>0                      PQ 7400500V  3           1999</t>
  </si>
  <si>
    <t>Las madres de la patria y las bellas mentiras : imágenes de la mujer en el discurso literario nacional de la República Dominicana, 1844-1899 / Catharina Vallejo.</t>
  </si>
  <si>
    <t>Vallejo, Catharina V. de (Catharina Vanderplaats)</t>
  </si>
  <si>
    <t>Miami, Fla. : Ediciones Universal, 1999.</t>
  </si>
  <si>
    <t>Colección Polymita</t>
  </si>
  <si>
    <t>475749769:spa</t>
  </si>
  <si>
    <t>42203510</t>
  </si>
  <si>
    <t>991003511359702656</t>
  </si>
  <si>
    <t>2265811960002656</t>
  </si>
  <si>
    <t>9780897298902</t>
  </si>
  <si>
    <t>32285004309083</t>
  </si>
  <si>
    <t>893904395</t>
  </si>
  <si>
    <t>PQ7400.A515 C65 1993</t>
  </si>
  <si>
    <t>0                      PQ 7400000A  515                C  65          1993</t>
  </si>
  <si>
    <t>Ponencias del Congreso Crítico de Literatura Dominicana / Diógenes Céspedes, Soledad Alvarez, Pedro Vergés.</t>
  </si>
  <si>
    <t>Congreso Crítico de Literatura Dominicana (1993 : Santo Domingo, Dominican Republic)</t>
  </si>
  <si>
    <t>Santo Domingo, República Dominicana : [s.n.], 1994</t>
  </si>
  <si>
    <t>1996-09-03</t>
  </si>
  <si>
    <t>1996-07-03</t>
  </si>
  <si>
    <t>37122200:spa</t>
  </si>
  <si>
    <t>32738793</t>
  </si>
  <si>
    <t>991002516989702656</t>
  </si>
  <si>
    <t>2269738650002656</t>
  </si>
  <si>
    <t>9788489539129</t>
  </si>
  <si>
    <t>32285002206356</t>
  </si>
  <si>
    <t>893347580</t>
  </si>
  <si>
    <t>PQ7402 .B45 2003</t>
  </si>
  <si>
    <t>0                      PQ 7402000B  45          2003</t>
  </si>
  <si>
    <t>La espiral sonora : antologaia del poema en prosa en Santo Domingo, 1900-2000 / Basilio Belliard.</t>
  </si>
  <si>
    <t>Belliard, Basilio.</t>
  </si>
  <si>
    <t>Santo Domingo, Repaublica Dominicana : Ediciones Libreraia La Trinitaria, 2003.</t>
  </si>
  <si>
    <t>2004-07-28</t>
  </si>
  <si>
    <t>908082885:spa</t>
  </si>
  <si>
    <t>56068675</t>
  </si>
  <si>
    <t>991004329919702656</t>
  </si>
  <si>
    <t>2266377220002656</t>
  </si>
  <si>
    <t>9789993403869</t>
  </si>
  <si>
    <t>32285004925789</t>
  </si>
  <si>
    <t>893442492</t>
  </si>
  <si>
    <t>PQ7402 .G56 2002</t>
  </si>
  <si>
    <t>0                      PQ 7402000G  56          2002</t>
  </si>
  <si>
    <t>La poesía de mujeres dominicanas a fines del siglo XX / Ester Gimbernat González.</t>
  </si>
  <si>
    <t>Gimbernat González, Ester.</t>
  </si>
  <si>
    <t>Lewiston, N.Y. : Edwin Mellen Press, c2002.</t>
  </si>
  <si>
    <t>Hispanic literature ; v. 74</t>
  </si>
  <si>
    <t>351590031:spa</t>
  </si>
  <si>
    <t>50004894</t>
  </si>
  <si>
    <t>991003952629702656</t>
  </si>
  <si>
    <t>2267383070002656</t>
  </si>
  <si>
    <t>9780773470231</t>
  </si>
  <si>
    <t>32285004668736</t>
  </si>
  <si>
    <t>893253061</t>
  </si>
  <si>
    <t>PQ7402 .N33 2001</t>
  </si>
  <si>
    <t>0                      PQ 7402000N  33          2001</t>
  </si>
  <si>
    <t>Contrapunto, desconcierto y territorios afectivos de mujeres / Ylonka Nacidit-Perdomo.</t>
  </si>
  <si>
    <t>Nacidit Perdomo, Ylonca.</t>
  </si>
  <si>
    <t>Montreal, Quebec : CCLEH, c2001.</t>
  </si>
  <si>
    <t>quc</t>
  </si>
  <si>
    <t>Colección Ventana</t>
  </si>
  <si>
    <t>2003-07-16</t>
  </si>
  <si>
    <t>3858284216:spa</t>
  </si>
  <si>
    <t>52280914</t>
  </si>
  <si>
    <t>991004093339702656</t>
  </si>
  <si>
    <t>2267573330002656</t>
  </si>
  <si>
    <t>32285004755657</t>
  </si>
  <si>
    <t>893599411</t>
  </si>
  <si>
    <t>PQ7402 .V53 1991</t>
  </si>
  <si>
    <t>0                      PQ 7402000V  53          1991</t>
  </si>
  <si>
    <t>Algo que decir : ensayos sobre literatura femenina, 1981-1991 / Sherezada Vicioso (Chiqui).</t>
  </si>
  <si>
    <t>Vicioso, Sherezada, 1948-</t>
  </si>
  <si>
    <t>Santo Domingo, R.D. : Editora Búho, 1991.</t>
  </si>
  <si>
    <t>2001-03-20</t>
  </si>
  <si>
    <t>1996-07-09</t>
  </si>
  <si>
    <t>26970412:spa</t>
  </si>
  <si>
    <t>24872818</t>
  </si>
  <si>
    <t>991001963929702656</t>
  </si>
  <si>
    <t>2265841130002656</t>
  </si>
  <si>
    <t>32285002210168</t>
  </si>
  <si>
    <t>893497575</t>
  </si>
  <si>
    <t>PQ7404 .D5 1996</t>
  </si>
  <si>
    <t>0                      PQ 7404000D  5           1996</t>
  </si>
  <si>
    <t>Las mejores novelas dominicanas ; &amp; Bibliografía de la novela dominicana / Giovanni Di Pietro.</t>
  </si>
  <si>
    <t>Di Pietro, Giovanni.</t>
  </si>
  <si>
    <t>San Juan, PR : Isla Negra Editores, 1996.</t>
  </si>
  <si>
    <t>Visiones y cegueras</t>
  </si>
  <si>
    <t>1998-07-22</t>
  </si>
  <si>
    <t>503360895:spa</t>
  </si>
  <si>
    <t>36719489</t>
  </si>
  <si>
    <t>991002795559702656</t>
  </si>
  <si>
    <t>2270718370002656</t>
  </si>
  <si>
    <t>9781881715153</t>
  </si>
  <si>
    <t>32285002542750</t>
  </si>
  <si>
    <t>893262475</t>
  </si>
  <si>
    <t>PQ7405 .A56 1999</t>
  </si>
  <si>
    <t>0                      PQ 7405000A  56          1999</t>
  </si>
  <si>
    <t>Antología mayor de la literatura dominicana, siglos XIX-XX / selección, prólogo y notas, Manuel Rueda.</t>
  </si>
  <si>
    <t>Santo Domingo : Ediciones de la Fundación Corripio, 1999-</t>
  </si>
  <si>
    <t>Colección Prisma ; v. &lt;1-2 &gt;</t>
  </si>
  <si>
    <t>2005-08-22</t>
  </si>
  <si>
    <t>2001-06-19</t>
  </si>
  <si>
    <t>3901755514:spa</t>
  </si>
  <si>
    <t>45247472</t>
  </si>
  <si>
    <t>991003286939702656</t>
  </si>
  <si>
    <t>2268851930002656</t>
  </si>
  <si>
    <t>32285004328307</t>
  </si>
  <si>
    <t>893422396</t>
  </si>
  <si>
    <t>32285004328315</t>
  </si>
  <si>
    <t>893428638</t>
  </si>
  <si>
    <t>PQ7407 .A58 2004</t>
  </si>
  <si>
    <t>0                      PQ 7407000A  58          2004</t>
  </si>
  <si>
    <t>Antología del teatro dominicano contemporáneo / L. Howard Quackenbush [compilador].</t>
  </si>
  <si>
    <t>[Santo Domingo, República Dominicana] : Ediciones Librería La Trinitaria ; Provo, Utah : Brigham Young University, 2004.</t>
  </si>
  <si>
    <t>57104747:spa</t>
  </si>
  <si>
    <t>56719691</t>
  </si>
  <si>
    <t>991004460989702656</t>
  </si>
  <si>
    <t>2263378790002656</t>
  </si>
  <si>
    <t>9789993439257</t>
  </si>
  <si>
    <t>32285005022834</t>
  </si>
  <si>
    <t>893599858</t>
  </si>
  <si>
    <t>32285005022826</t>
  </si>
  <si>
    <t>893599859</t>
  </si>
  <si>
    <t>PQ7409.2.A37 Z86 2002</t>
  </si>
  <si>
    <t>0                      PQ 7409200A  37                 Z  86          2002</t>
  </si>
  <si>
    <t>El enigma de las máscaras : la cuentísta de José Alcántara Almánzar / Nívea de Lourdes Torres Hernández.</t>
  </si>
  <si>
    <t>Torres Hernández, Nívea de Lourdes.</t>
  </si>
  <si>
    <t>San Juan, P.R. : Isla Negra Editores, 2002.</t>
  </si>
  <si>
    <t>Colección Visiones y cegueras</t>
  </si>
  <si>
    <t>2004-01-13</t>
  </si>
  <si>
    <t>351558667:spa</t>
  </si>
  <si>
    <t>50786459</t>
  </si>
  <si>
    <t>991004208769702656</t>
  </si>
  <si>
    <t>2263924000002656</t>
  </si>
  <si>
    <t>9781881715931</t>
  </si>
  <si>
    <t>32285004633797</t>
  </si>
  <si>
    <t>893235192</t>
  </si>
  <si>
    <t>PQ7409.2.C47 A78 2001</t>
  </si>
  <si>
    <t>0                      PQ 7409200C  47                 A  78          2001</t>
  </si>
  <si>
    <t>Al arma contra figuraciones : (poemas) / Diógenes Céspedes.</t>
  </si>
  <si>
    <t>Santo Domingo, R.D. : Ediciones Librería La Trinitaria, 2001.</t>
  </si>
  <si>
    <t>2003-01-06</t>
  </si>
  <si>
    <t>8626631:spa</t>
  </si>
  <si>
    <t>50949331</t>
  </si>
  <si>
    <t>991003963879702656</t>
  </si>
  <si>
    <t>2272358470002656</t>
  </si>
  <si>
    <t>9789993439097</t>
  </si>
  <si>
    <t>32285004691233</t>
  </si>
  <si>
    <t>893800415</t>
  </si>
  <si>
    <t>PQ7409.2.D58 B6 2000</t>
  </si>
  <si>
    <t>0                      PQ 7409200D  58                 B  6           2000</t>
  </si>
  <si>
    <t>Bolo Francisco : teatro / Reynaldo Disla.</t>
  </si>
  <si>
    <t>Disla, Reynaldo, 1956-</t>
  </si>
  <si>
    <t>Santo Domingo, República Dominicana : Biblioteca Nacional de la República Dominicana, 2000.</t>
  </si>
  <si>
    <t>Colección de la Biblioteca Nacional de la República Dominicana. Serie teatro</t>
  </si>
  <si>
    <t>2287717611:spa</t>
  </si>
  <si>
    <t>45862708</t>
  </si>
  <si>
    <t>991003288049702656</t>
  </si>
  <si>
    <t>2254941480002656</t>
  </si>
  <si>
    <t>32285004312012</t>
  </si>
  <si>
    <t>893258266</t>
  </si>
  <si>
    <t>PQ7409.2.G22 O76 1999</t>
  </si>
  <si>
    <t>0                      PQ 7409200G  22                 O  76          1999</t>
  </si>
  <si>
    <t>Oro, sulfuro y muerte / Mélida García.</t>
  </si>
  <si>
    <t>García, Mélida, 1956-2005.</t>
  </si>
  <si>
    <t>Santo Domingo, República Dominicana : Editora Manatí, 1999.</t>
  </si>
  <si>
    <t>Serie Literatura caribeña</t>
  </si>
  <si>
    <t>14354858:spa</t>
  </si>
  <si>
    <t>44174377</t>
  </si>
  <si>
    <t>991003246549702656</t>
  </si>
  <si>
    <t>2259058760002656</t>
  </si>
  <si>
    <t>9789993480013</t>
  </si>
  <si>
    <t>32285004267455</t>
  </si>
  <si>
    <t>893518290</t>
  </si>
  <si>
    <t>PQ7409.2.H65 A45 2000</t>
  </si>
  <si>
    <t>0                      PQ 7409200H  65                 A  45          2000</t>
  </si>
  <si>
    <t>Al pie de la escalera / Miguel Holguín-Veras.</t>
  </si>
  <si>
    <t>Holguín Veras, Miguel A.</t>
  </si>
  <si>
    <t>Santo Domingo, República Dominicana : Editora Cole, c2000.</t>
  </si>
  <si>
    <t>2000-08-29</t>
  </si>
  <si>
    <t>3943766981:spa</t>
  </si>
  <si>
    <t>44647772</t>
  </si>
  <si>
    <t>991003248539702656</t>
  </si>
  <si>
    <t>2263993810002656</t>
  </si>
  <si>
    <t>9789993432012</t>
  </si>
  <si>
    <t>32285003759999</t>
  </si>
  <si>
    <t>893686359</t>
  </si>
  <si>
    <t>PQ7409.2.M255 P53 2004</t>
  </si>
  <si>
    <t>0                      PQ 7409200M  255                P  53          2004</t>
  </si>
  <si>
    <t>El placer de lo nimio / José Mármol.</t>
  </si>
  <si>
    <t>Mármol, José, 1960-</t>
  </si>
  <si>
    <t>Santo Domingo, R.D. : Editorial Letra Gráfica, c2004.</t>
  </si>
  <si>
    <t>368728503:spa</t>
  </si>
  <si>
    <t>58553857</t>
  </si>
  <si>
    <t>991004460609702656</t>
  </si>
  <si>
    <t>2262197440002656</t>
  </si>
  <si>
    <t>32285005031082</t>
  </si>
  <si>
    <t>893782269</t>
  </si>
  <si>
    <t>PQ7409.2.M255 P74 1999</t>
  </si>
  <si>
    <t>0                      PQ 7409200M  255                P  74          1999</t>
  </si>
  <si>
    <t>Premisas para morir : aforismos y fragmentos / José Mármol.</t>
  </si>
  <si>
    <t>Santo Domingo, R.D. : Editora Amigo del Hogar, 1999.</t>
  </si>
  <si>
    <t>2000-08-23</t>
  </si>
  <si>
    <t>2000-08-15</t>
  </si>
  <si>
    <t>33267604:spa</t>
  </si>
  <si>
    <t>44270521</t>
  </si>
  <si>
    <t>991003246989702656</t>
  </si>
  <si>
    <t>2263347120002656</t>
  </si>
  <si>
    <t>9789993410010</t>
  </si>
  <si>
    <t>32285003757704</t>
  </si>
  <si>
    <t>893623299</t>
  </si>
  <si>
    <t>PQ7409.2.R56 T5413 2004</t>
  </si>
  <si>
    <t>0                      PQ 7409200R  56                 T  5413        2004</t>
  </si>
  <si>
    <t>Of forgotten times / by Marisela Rizik ; translated by Isabel Z. Brown.</t>
  </si>
  <si>
    <t>Rizik, Marisela.</t>
  </si>
  <si>
    <t>Willimantic, CT : Curbstone Press, 2004.</t>
  </si>
  <si>
    <t>2004-06-07</t>
  </si>
  <si>
    <t>3943638407:eng</t>
  </si>
  <si>
    <t>52876532</t>
  </si>
  <si>
    <t>991004302659702656</t>
  </si>
  <si>
    <t>2257708530002656</t>
  </si>
  <si>
    <t>9781931896009</t>
  </si>
  <si>
    <t>32285004907803</t>
  </si>
  <si>
    <t>893263187</t>
  </si>
  <si>
    <t>PQ7409.2.S38 A37 2004</t>
  </si>
  <si>
    <t>0                      PQ 7409200S  38                 A  37          2004</t>
  </si>
  <si>
    <t>Adrianita, qué oscura la noche / Viriato Sención.</t>
  </si>
  <si>
    <t>Sención, Viriato, 1941-</t>
  </si>
  <si>
    <t>Santo Domingo, República Dominicana : Centenario, 2004.</t>
  </si>
  <si>
    <t>2008-01-16</t>
  </si>
  <si>
    <t>19075706:spa</t>
  </si>
  <si>
    <t>58027651</t>
  </si>
  <si>
    <t>991005172239702656</t>
  </si>
  <si>
    <t>2257638270002656</t>
  </si>
  <si>
    <t>9789993458289</t>
  </si>
  <si>
    <t>32285005378111</t>
  </si>
  <si>
    <t>893527035</t>
  </si>
  <si>
    <t>PQ7409.A67 A62 1997</t>
  </si>
  <si>
    <t>0                      PQ 7409000A  67                 A  62          1997</t>
  </si>
  <si>
    <t>Los amores del dios : novela / Miguel Aquino García.</t>
  </si>
  <si>
    <t>Aquino García, Miguel.</t>
  </si>
  <si>
    <t>Santo Domingo, R.D. : Unica, 1997.</t>
  </si>
  <si>
    <t>2000-05-10</t>
  </si>
  <si>
    <t>1998-09-08</t>
  </si>
  <si>
    <t>473700523:spa</t>
  </si>
  <si>
    <t>39731623</t>
  </si>
  <si>
    <t>991005429379702656</t>
  </si>
  <si>
    <t>2260773850002656</t>
  </si>
  <si>
    <t>32285003466512</t>
  </si>
  <si>
    <t>893437823</t>
  </si>
  <si>
    <t>PQ7409.B3 A6 2000</t>
  </si>
  <si>
    <t>0                      PQ 7409000B  3                  A  6           2000</t>
  </si>
  <si>
    <t>Primeros escritos de Joaquín Balaguer / compilador, Julio Jaime Julia.</t>
  </si>
  <si>
    <t>Balaguer, Joaquín, 1906-2002.</t>
  </si>
  <si>
    <t>[Dominican Republic : s.n.], c2000</t>
  </si>
  <si>
    <t>1ra. ed.</t>
  </si>
  <si>
    <t>2002-02-20</t>
  </si>
  <si>
    <t>37577692:spa</t>
  </si>
  <si>
    <t>48475369</t>
  </si>
  <si>
    <t>991003743879702656</t>
  </si>
  <si>
    <t>2269863160002656</t>
  </si>
  <si>
    <t>9789993433156</t>
  </si>
  <si>
    <t>32285004456397</t>
  </si>
  <si>
    <t>893592845</t>
  </si>
  <si>
    <t>PQ7409.B5 B3 1998</t>
  </si>
  <si>
    <t>0                      PQ 7409000B  5                  B  3           1998</t>
  </si>
  <si>
    <t>Baní ; o, Engracia y Antoñita / Francisco Gregorio Billini.</t>
  </si>
  <si>
    <t>Billini, Francisco Gregorio, 1844-1898.</t>
  </si>
  <si>
    <t>Santo Domingo, República Dominicana : Editora de Colores, 1998.</t>
  </si>
  <si>
    <t>Literatura dominicana</t>
  </si>
  <si>
    <t>2000-09-11</t>
  </si>
  <si>
    <t>5090587392:spa</t>
  </si>
  <si>
    <t>44127700</t>
  </si>
  <si>
    <t>991003288479702656</t>
  </si>
  <si>
    <t>2264895060002656</t>
  </si>
  <si>
    <t>9788489539709</t>
  </si>
  <si>
    <t>32285003760906</t>
  </si>
  <si>
    <t>893348515</t>
  </si>
  <si>
    <t>PQ7409.B65 A6 1993</t>
  </si>
  <si>
    <t>0                      PQ 7409000B  65                 A  6           1993</t>
  </si>
  <si>
    <t>Cuentos selectos / Juan Bosch ; selección, Juan Bosch ; prólogo y cronología, Bruno Rosario Candelier ; bibliografía, Bruno Rosario Candelier y Guillermo Piña Contreras.</t>
  </si>
  <si>
    <t>Caracas, Venezuela : Biblioteca Ayacucho, c1993.</t>
  </si>
  <si>
    <t>Biblioteca Ayacucho ; 190</t>
  </si>
  <si>
    <t>289191194:spa</t>
  </si>
  <si>
    <t>30453103</t>
  </si>
  <si>
    <t>991002339389702656</t>
  </si>
  <si>
    <t>2263231500002656</t>
  </si>
  <si>
    <t>9789802762019</t>
  </si>
  <si>
    <t>32285003282174</t>
  </si>
  <si>
    <t>893804495</t>
  </si>
  <si>
    <t>PQ7409.B65 A6 1995</t>
  </si>
  <si>
    <t>0                      PQ 7409000B  65                 A  6           1995</t>
  </si>
  <si>
    <t>Cuentos escritos en el exilio / Juan Bosch.</t>
  </si>
  <si>
    <t>Santo Domingo : Editora "Alfa y Omega," 1995.</t>
  </si>
  <si>
    <t>22a ed.</t>
  </si>
  <si>
    <t>1999-11-01</t>
  </si>
  <si>
    <t>1996-01-26</t>
  </si>
  <si>
    <t>67047939:spa</t>
  </si>
  <si>
    <t>33974207</t>
  </si>
  <si>
    <t>991002594159702656</t>
  </si>
  <si>
    <t>2265942900002656</t>
  </si>
  <si>
    <t>32285002126190</t>
  </si>
  <si>
    <t>893329291</t>
  </si>
  <si>
    <t>PQ7409.B65 Z685 1995</t>
  </si>
  <si>
    <t>0                      PQ 7409000B  65                 Z  685         1995</t>
  </si>
  <si>
    <t>Juan Bosch : novela, historia y sociedad / Eugenio de J. García Cuevas.</t>
  </si>
  <si>
    <t>García Cuevas, Eugenio de J.</t>
  </si>
  <si>
    <t>San Juan, PR : Isla Negra, 1995.</t>
  </si>
  <si>
    <t>366281702:spa</t>
  </si>
  <si>
    <t>35212880</t>
  </si>
  <si>
    <t>991002697149702656</t>
  </si>
  <si>
    <t>2256505890002656</t>
  </si>
  <si>
    <t>32285002293453</t>
  </si>
  <si>
    <t>893880278</t>
  </si>
  <si>
    <t>PQ7409.C23 C65 2001</t>
  </si>
  <si>
    <t>0                      PQ 7409000C  23                 C  65          2001</t>
  </si>
  <si>
    <t>Compadre Mon / Manuel del Cabral.</t>
  </si>
  <si>
    <t>Cabral, Manuel del, 1907-1999.</t>
  </si>
  <si>
    <t>Santo Domingo, D.R. : Banco de Reservas de la República Dominicana, 2001.</t>
  </si>
  <si>
    <t>1747367:spa</t>
  </si>
  <si>
    <t>47058461</t>
  </si>
  <si>
    <t>991003560419702656</t>
  </si>
  <si>
    <t>2266723630002656</t>
  </si>
  <si>
    <t>9789993423195</t>
  </si>
  <si>
    <t>32285004328299</t>
  </si>
  <si>
    <t>893604909</t>
  </si>
  <si>
    <t>PQ7409.C34 E8 1980</t>
  </si>
  <si>
    <t>0                      PQ 7409000C  34                 E  8           1980</t>
  </si>
  <si>
    <t>Escalera para Electra / Aaida Cartagena Portalatain.</t>
  </si>
  <si>
    <t>Cartagena Portalatain, Aaida.</t>
  </si>
  <si>
    <t>Santo Domingo, R.D. : Editora Taller, 1980.</t>
  </si>
  <si>
    <t>Colección Montesinos ; no. 1</t>
  </si>
  <si>
    <t>372274:spa</t>
  </si>
  <si>
    <t>21069511</t>
  </si>
  <si>
    <t>991004332939702656</t>
  </si>
  <si>
    <t>2269782030002656</t>
  </si>
  <si>
    <t>32285004925375</t>
  </si>
  <si>
    <t>893712462</t>
  </si>
  <si>
    <t>PQ7409.C4 S3 2000</t>
  </si>
  <si>
    <t>0                      PQ 7409000C  4                  S  3           2000</t>
  </si>
  <si>
    <t>La sangre : una vida bajo la tiranía / Tulio Manuel Cestero.</t>
  </si>
  <si>
    <t>Cestero, Tulio M. (Tulio Manuel), 1877-1955.</t>
  </si>
  <si>
    <t>Santo Domingo, República Dominicana : Editora Manatí, 2000.</t>
  </si>
  <si>
    <t>Clásicos de Editoria Manatí</t>
  </si>
  <si>
    <t>2002-03-27</t>
  </si>
  <si>
    <t>365445557:spa</t>
  </si>
  <si>
    <t>45711558</t>
  </si>
  <si>
    <t>991003558039702656</t>
  </si>
  <si>
    <t>2262969760002656</t>
  </si>
  <si>
    <t>9789993480044</t>
  </si>
  <si>
    <t>32285004326780</t>
  </si>
  <si>
    <t>893518616</t>
  </si>
  <si>
    <t>PQ7409.C65 C37 2000</t>
  </si>
  <si>
    <t>0                      PQ 7409000C  65                 C  37          2000</t>
  </si>
  <si>
    <t>Cartas a Massillón : 30 poemas / Grey Coiscou Guzmán.</t>
  </si>
  <si>
    <t>Coiscou Guzmán, Grey, 1941-</t>
  </si>
  <si>
    <t>Santo Domingo, R.D. : Cocolo Editorial, 2000.</t>
  </si>
  <si>
    <t>149114482:spa</t>
  </si>
  <si>
    <t>44162775</t>
  </si>
  <si>
    <t>991003546139702656</t>
  </si>
  <si>
    <t>2256483440002656</t>
  </si>
  <si>
    <t>9789993400486</t>
  </si>
  <si>
    <t>32285004327234</t>
  </si>
  <si>
    <t>893318084</t>
  </si>
  <si>
    <t>PQ7409.G3 E67 1975</t>
  </si>
  <si>
    <t>0                      PQ 7409000G  3                  E  67          1975</t>
  </si>
  <si>
    <t>Manuel de Jesús Galván's Enriquillo = The cross and the sword / translated by Robert Graves.</t>
  </si>
  <si>
    <t>Galván, Manuel de J. (Manuel de Jesús), 1834-1910.</t>
  </si>
  <si>
    <t>New York : AMS Press, 1975.</t>
  </si>
  <si>
    <t>1998-03-27</t>
  </si>
  <si>
    <t>1996-09-26</t>
  </si>
  <si>
    <t>4469910992:eng</t>
  </si>
  <si>
    <t>1092456</t>
  </si>
  <si>
    <t>991003528639702656</t>
  </si>
  <si>
    <t>2264321530002656</t>
  </si>
  <si>
    <t>9780404026752</t>
  </si>
  <si>
    <t>32285002320223</t>
  </si>
  <si>
    <t>893330383</t>
  </si>
  <si>
    <t>PQ7409.G39 A17 2000</t>
  </si>
  <si>
    <t>0                      PQ 7409000G  39                 A  17          2000</t>
  </si>
  <si>
    <t>Obra poética completa / Freddy Gatón Arce.</t>
  </si>
  <si>
    <t>Gatón Arce, Freddy, 1920-1994.</t>
  </si>
  <si>
    <t>Santo Domingo, República Dominicana : Universidad Central del Este, 2000.</t>
  </si>
  <si>
    <t>2001-09-12</t>
  </si>
  <si>
    <t>339908215:spa</t>
  </si>
  <si>
    <t>47781360</t>
  </si>
  <si>
    <t>991003546899702656</t>
  </si>
  <si>
    <t>2266321650002656</t>
  </si>
  <si>
    <t>9789993483106</t>
  </si>
  <si>
    <t>32285004390422</t>
  </si>
  <si>
    <t>893258548</t>
  </si>
  <si>
    <t>PQ7409.M58 A6 1999</t>
  </si>
  <si>
    <t>0                      PQ 7409000M  58                 A  6           1999</t>
  </si>
  <si>
    <t>Hay un país en el mundo y otros poemas / Pedro Mir.</t>
  </si>
  <si>
    <t>Mir, Pedro.</t>
  </si>
  <si>
    <t>Santo Domingo : Taller, c1999.</t>
  </si>
  <si>
    <t>Ed. ampliada.</t>
  </si>
  <si>
    <t>Biblioteca Taller ; no. 81</t>
  </si>
  <si>
    <t>2003-01-13</t>
  </si>
  <si>
    <t>1999-10-14</t>
  </si>
  <si>
    <t>4820508718:spa</t>
  </si>
  <si>
    <t>42624744</t>
  </si>
  <si>
    <t>991003046399702656</t>
  </si>
  <si>
    <t>2260380970002656</t>
  </si>
  <si>
    <t>9788484002987</t>
  </si>
  <si>
    <t>32285003610689</t>
  </si>
  <si>
    <t>893893327</t>
  </si>
  <si>
    <t>PQ7409.M7 Z76 2001</t>
  </si>
  <si>
    <t>0                      PQ 7409000M  7                  Z  76          2001</t>
  </si>
  <si>
    <t>El recorrido poético de Domingo Moreno Jimenes / Bárbara Moreno García.</t>
  </si>
  <si>
    <t>Moreno García, Bárbara, 1964-</t>
  </si>
  <si>
    <t>[Ulm, Germany? : s.n.] 2001.</t>
  </si>
  <si>
    <t>2001-11-06</t>
  </si>
  <si>
    <t>365778865:spa</t>
  </si>
  <si>
    <t>49959139</t>
  </si>
  <si>
    <t>991003670889702656</t>
  </si>
  <si>
    <t>2271470720002656</t>
  </si>
  <si>
    <t>32285004418520</t>
  </si>
  <si>
    <t>893505850</t>
  </si>
  <si>
    <t>PQ7409.P4 F32 1989</t>
  </si>
  <si>
    <t>0                      PQ 7409000P  4                  F  32          1989</t>
  </si>
  <si>
    <t>Fantasías indígenas y otros poemas / José Joaquín Pérez ; prólogo y notas de José Alcántara Almánzar.</t>
  </si>
  <si>
    <t>Pérez, José Joaquín, 1845-1900.</t>
  </si>
  <si>
    <t>Santo Domingo : Fundación Corripio, 1989.</t>
  </si>
  <si>
    <t>Biblioteca de clásicos dominicanos ; v. 6</t>
  </si>
  <si>
    <t>1996-05-29</t>
  </si>
  <si>
    <t>552047806:spa</t>
  </si>
  <si>
    <t>28800378</t>
  </si>
  <si>
    <t>991002234679702656</t>
  </si>
  <si>
    <t>2258593530002656</t>
  </si>
  <si>
    <t>32285002093309</t>
  </si>
  <si>
    <t>893603350</t>
  </si>
  <si>
    <t>PQ7409.V4 B5 1984</t>
  </si>
  <si>
    <t>0                      PQ 7409000V  4                  B  5           1984</t>
  </si>
  <si>
    <t>La biografía difusa de Sombra Castañeda : novela / Marcio Veloz Maggiolo.</t>
  </si>
  <si>
    <t>Veloz Maggiolo, Marcio.</t>
  </si>
  <si>
    <t>Santo Domingo, República Dominicana : Taller, c1984.</t>
  </si>
  <si>
    <t>Biblioteca Taller ; no. 168</t>
  </si>
  <si>
    <t>2001-06-07</t>
  </si>
  <si>
    <t>365560815:spa</t>
  </si>
  <si>
    <t>11009117</t>
  </si>
  <si>
    <t>991003555389702656</t>
  </si>
  <si>
    <t>2259567420002656</t>
  </si>
  <si>
    <t>32285004326160</t>
  </si>
  <si>
    <t>893505693</t>
  </si>
  <si>
    <t>PQ7409.V4 U5 1999</t>
  </si>
  <si>
    <t>0                      PQ 7409000V  4                  U  5           1999</t>
  </si>
  <si>
    <t>Uña y carne : memorias de la virilidad / Marcio Veloz Maggiolo.</t>
  </si>
  <si>
    <t>Santo Domingo, República Dominicana : Editora Cole, 1999.</t>
  </si>
  <si>
    <t>2000-10-12</t>
  </si>
  <si>
    <t>293122774:spa</t>
  </si>
  <si>
    <t>43636245</t>
  </si>
  <si>
    <t>991003312479702656</t>
  </si>
  <si>
    <t>2269469970002656</t>
  </si>
  <si>
    <t>9788493063849</t>
  </si>
  <si>
    <t>32285003767596</t>
  </si>
  <si>
    <t>893610907</t>
  </si>
  <si>
    <t>PQ7439.M265 Z77</t>
  </si>
  <si>
    <t>0                      PQ 7439000M  265                Z  77</t>
  </si>
  <si>
    <t>René Marqués / Eleanor J. Martin. --</t>
  </si>
  <si>
    <t>Martin, Eleanor J.</t>
  </si>
  <si>
    <t>Boston : Twayne Publishers, c1979.</t>
  </si>
  <si>
    <t>Twayne's world authors series ; TWAS 516 : Puerto Rico</t>
  </si>
  <si>
    <t>1991-08-13</t>
  </si>
  <si>
    <t>13719833:eng</t>
  </si>
  <si>
    <t>4056544</t>
  </si>
  <si>
    <t>991004580129702656</t>
  </si>
  <si>
    <t>2272052330002656</t>
  </si>
  <si>
    <t>9780805763577</t>
  </si>
  <si>
    <t>32285000683465</t>
  </si>
  <si>
    <t>893788881</t>
  </si>
  <si>
    <t>PQ7439.Z4 C5 1978</t>
  </si>
  <si>
    <t>0                      PQ 7439000Z  4                  C  5           1978</t>
  </si>
  <si>
    <t>La charca / Manuel Zeno Gandía ; prólogo y cronología, Enrique Laguerre.</t>
  </si>
  <si>
    <t>Zeno Gandía, Manuel, 1855-1930.</t>
  </si>
  <si>
    <t>Caracas, Venezuela : Biblioteca Ayacucho, [1978]</t>
  </si>
  <si>
    <t>Biblioteca Ayacucho ; 55</t>
  </si>
  <si>
    <t>27196007:spa</t>
  </si>
  <si>
    <t>6725941</t>
  </si>
  <si>
    <t>991003681869702656</t>
  </si>
  <si>
    <t>2260071730002656</t>
  </si>
  <si>
    <t>32285004412432</t>
  </si>
  <si>
    <t>893318254</t>
  </si>
  <si>
    <t>PQ7440.L582 E52 1998</t>
  </si>
  <si>
    <t>0                      PQ 7440000L  582                E  52          1998</t>
  </si>
  <si>
    <t>En el nombre del hijo / Angela López Borrero.</t>
  </si>
  <si>
    <t>López Borrero, Angela.</t>
  </si>
  <si>
    <t>San Juan, P.R. : Editorial de la Universidad de Puerto Rico, 1998.</t>
  </si>
  <si>
    <t>26642506:spa</t>
  </si>
  <si>
    <t>41068549</t>
  </si>
  <si>
    <t>991003254229702656</t>
  </si>
  <si>
    <t>2270200210002656</t>
  </si>
  <si>
    <t>9780847703609</t>
  </si>
  <si>
    <t>32285003763488</t>
  </si>
  <si>
    <t>893717471</t>
  </si>
  <si>
    <t>PQ7440.M23 D53 1998</t>
  </si>
  <si>
    <t>0                      PQ 7440000M  23                 D  53          1998</t>
  </si>
  <si>
    <t>Dialecto : cuentos / Luis Martain Gaomez.</t>
  </si>
  <si>
    <t>Martain Gaomez, Luis, 1962-</t>
  </si>
  <si>
    <t>[Santo Domingo, Rep. Dom.] : El Arco y la Lira, 1998.</t>
  </si>
  <si>
    <t>33520742:spa</t>
  </si>
  <si>
    <t>43930222</t>
  </si>
  <si>
    <t>991003247129702656</t>
  </si>
  <si>
    <t>2254759070002656</t>
  </si>
  <si>
    <t>32285004312020</t>
  </si>
  <si>
    <t>893610856</t>
  </si>
  <si>
    <t>PQ7440.N55 E6 2002</t>
  </si>
  <si>
    <t>0                      PQ 7440000N  55                 E  6           2002</t>
  </si>
  <si>
    <t>En traansito y otros relatos / Daniel Nina.</t>
  </si>
  <si>
    <t>Nina, Daniel.</t>
  </si>
  <si>
    <t>San Juan, P.R. : Isla Negra Editores, c2002.</t>
  </si>
  <si>
    <t>Colección El rostro y la máscara</t>
  </si>
  <si>
    <t>12407307:spa</t>
  </si>
  <si>
    <t>54356315</t>
  </si>
  <si>
    <t>991004209009702656</t>
  </si>
  <si>
    <t>2272160320002656</t>
  </si>
  <si>
    <t>9781932271034</t>
  </si>
  <si>
    <t>32285004899448</t>
  </si>
  <si>
    <t>893593415</t>
  </si>
  <si>
    <t>PQ7440.S235 G813 2001</t>
  </si>
  <si>
    <t>0                      PQ 7440000S  235                G  813         2001</t>
  </si>
  <si>
    <t>Macho Camacho's beat / Luis Rafael Sánchez ; translated with an introduction by Gregory Rabassa.</t>
  </si>
  <si>
    <t>Sánchez, Luis Rafael.</t>
  </si>
  <si>
    <t>Normal, IL : Dalkey Archive Press, 2001.</t>
  </si>
  <si>
    <t>1st Dalkey archive ed.</t>
  </si>
  <si>
    <t>452367:eng</t>
  </si>
  <si>
    <t>44594117</t>
  </si>
  <si>
    <t>991004503999702656</t>
  </si>
  <si>
    <t>2267263120002656</t>
  </si>
  <si>
    <t>9781564782588</t>
  </si>
  <si>
    <t>32285005047294</t>
  </si>
  <si>
    <t>893500659</t>
  </si>
  <si>
    <t>PQ7440.S235 N6 1998</t>
  </si>
  <si>
    <t>0                      PQ 7440000S  235                N  6           1998</t>
  </si>
  <si>
    <t>No llores por nosotros, Puerto Rico / Luis Rafael Sánchez.</t>
  </si>
  <si>
    <t>Hanover, NH : Ediciones del Norte, 1998.</t>
  </si>
  <si>
    <t>4. ed.</t>
  </si>
  <si>
    <t>Serie Rama ; 511</t>
  </si>
  <si>
    <t>2004-01-19</t>
  </si>
  <si>
    <t>41541624:spa</t>
  </si>
  <si>
    <t>39656529</t>
  </si>
  <si>
    <t>991004028709702656</t>
  </si>
  <si>
    <t>2266628330002656</t>
  </si>
  <si>
    <t>9780910061421</t>
  </si>
  <si>
    <t>32285004634126</t>
  </si>
  <si>
    <t>893699748</t>
  </si>
  <si>
    <t>PQ7489.G88 T4 1978</t>
  </si>
  <si>
    <t>0                      PQ 7489000G  88                 T  4           1978</t>
  </si>
  <si>
    <t>Te acordás, hermano / Joaquín Gutiérrez.</t>
  </si>
  <si>
    <t>Gutiérrez, Joaquín.</t>
  </si>
  <si>
    <t>La Habana : Casa de las Américas, [1978]</t>
  </si>
  <si>
    <t>3734302:spa</t>
  </si>
  <si>
    <t>4142367</t>
  </si>
  <si>
    <t>991003758809702656</t>
  </si>
  <si>
    <t>2263739180002656</t>
  </si>
  <si>
    <t>32285004460019</t>
  </si>
  <si>
    <t>893904504</t>
  </si>
  <si>
    <t>PQ7499.A75 A6 1977</t>
  </si>
  <si>
    <t>0                      PQ 7499000A  75                 A  6           1977</t>
  </si>
  <si>
    <t>Tres obras / Miguel Angel Asturias ; introd., Arturo Uslar Pietri ; notas críticas y cronología, Giuseppe Bellini.</t>
  </si>
  <si>
    <t>Asturias, Miguel Angel.</t>
  </si>
  <si>
    <t>[Caracas] : Biblioteca Ayacucho, [1977]</t>
  </si>
  <si>
    <t>Biblioteca Ayacucho ; 19</t>
  </si>
  <si>
    <t>22517232:spa</t>
  </si>
  <si>
    <t>6486387</t>
  </si>
  <si>
    <t>991003682949702656</t>
  </si>
  <si>
    <t>2269512100002656</t>
  </si>
  <si>
    <t>32285004412648</t>
  </si>
  <si>
    <t>893410555</t>
  </si>
  <si>
    <t>PQ7499.R66 M3 1999</t>
  </si>
  <si>
    <t>0                      PQ 7499000R  66                 M  3           1999</t>
  </si>
  <si>
    <t>La mansión del pájaro serpiente / Virgilio Rodríguez Macal.</t>
  </si>
  <si>
    <t>Rodríguez Macal, Virgilio.</t>
  </si>
  <si>
    <t>Guatemala : Editorial Piedra Santa, 1999.</t>
  </si>
  <si>
    <t>1a [Illustrated] ed.</t>
  </si>
  <si>
    <t xml:space="preserve">gt </t>
  </si>
  <si>
    <t>3943365563:spa</t>
  </si>
  <si>
    <t>43780128</t>
  </si>
  <si>
    <t>991003254809702656</t>
  </si>
  <si>
    <t>2255832750002656</t>
  </si>
  <si>
    <t>9789992250853</t>
  </si>
  <si>
    <t>32285003760070</t>
  </si>
  <si>
    <t>893809901</t>
  </si>
  <si>
    <t>PQ7499.S6 T4 1972</t>
  </si>
  <si>
    <t>0                      PQ 7499000S  6                  T  4           1972</t>
  </si>
  <si>
    <t>Teatro / Carlso Solorzano.</t>
  </si>
  <si>
    <t>Solórzano, Carlos.</t>
  </si>
  <si>
    <t>Ciudad Universitaria Rodrigo Facio, San José, Costa Rica] : Editorial Universitaria Centroamericana, [1972]</t>
  </si>
  <si>
    <t xml:space="preserve">cr </t>
  </si>
  <si>
    <t>Colección Séptimo día</t>
  </si>
  <si>
    <t>199403148:spa</t>
  </si>
  <si>
    <t>820086</t>
  </si>
  <si>
    <t>991004510149702656</t>
  </si>
  <si>
    <t>2258960090002656</t>
  </si>
  <si>
    <t>32285005044598</t>
  </si>
  <si>
    <t>893599920</t>
  </si>
  <si>
    <t>PQ7509.2.S6 A17 1984</t>
  </si>
  <si>
    <t>0                      PQ 7509200S  6                  A  17          1984</t>
  </si>
  <si>
    <t>Poems / by Roberto Sosa ; with translations and introduction by Edward V. Coughlin.</t>
  </si>
  <si>
    <t>Sosa, Roberto, 1930-2011.</t>
  </si>
  <si>
    <t>York, South Carolina : Spanish Literature Publications Company, 1984.</t>
  </si>
  <si>
    <t>Bilingual ed.</t>
  </si>
  <si>
    <t>904312229:eng</t>
  </si>
  <si>
    <t>11768816</t>
  </si>
  <si>
    <t>991004027759702656</t>
  </si>
  <si>
    <t>2268661240002656</t>
  </si>
  <si>
    <t>9780938972068</t>
  </si>
  <si>
    <t>32285004742853</t>
  </si>
  <si>
    <t>893253150</t>
  </si>
  <si>
    <t>PQ7519.2.B44 P61 1989</t>
  </si>
  <si>
    <t>0                      PQ 7519200B  44                 P  61          1989</t>
  </si>
  <si>
    <t>Poesía reunida / Giaconda Belli.</t>
  </si>
  <si>
    <t>Belli, Gioconda, 1948-</t>
  </si>
  <si>
    <t>México, D.F. : Editorial Diana, 1989.</t>
  </si>
  <si>
    <t>Diana literaria</t>
  </si>
  <si>
    <t>22409337:spa</t>
  </si>
  <si>
    <t>20925182</t>
  </si>
  <si>
    <t>991003699499702656</t>
  </si>
  <si>
    <t>2267692950002656</t>
  </si>
  <si>
    <t>9789681312725</t>
  </si>
  <si>
    <t>32285004428750</t>
  </si>
  <si>
    <t>893686835</t>
  </si>
  <si>
    <t>PQ7519.2.R25 M37 1998</t>
  </si>
  <si>
    <t>0                      PQ 7519200R  25                 M  37          1998</t>
  </si>
  <si>
    <t>Margarita, está linda la mar / Sergio Ramírez.</t>
  </si>
  <si>
    <t>Ramírez, Sergio, 1942-</t>
  </si>
  <si>
    <t>Madrid : Santillana, c1998.</t>
  </si>
  <si>
    <t>876899:spa</t>
  </si>
  <si>
    <t>39047525</t>
  </si>
  <si>
    <t>991003254719702656</t>
  </si>
  <si>
    <t>2272296340002656</t>
  </si>
  <si>
    <t>9788420483818</t>
  </si>
  <si>
    <t>32285003760096</t>
  </si>
  <si>
    <t>893617154</t>
  </si>
  <si>
    <t>PQ7539.2.D3 V4 1996</t>
  </si>
  <si>
    <t>0                      PQ 7539200D  3                  V  4           1996</t>
  </si>
  <si>
    <t>La ventana en el rostro / Roque Dalton.</t>
  </si>
  <si>
    <t>Dalton, Roque, 1935-1975.</t>
  </si>
  <si>
    <t>San Salvador : Consejo Nacional para la Cultura y el Arte, 1996.</t>
  </si>
  <si>
    <t>Biblioteca básica de literatura salvadoreña ; v. 10</t>
  </si>
  <si>
    <t>1807242286:spa</t>
  </si>
  <si>
    <t>37426768</t>
  </si>
  <si>
    <t>991003669829702656</t>
  </si>
  <si>
    <t>2272711930002656</t>
  </si>
  <si>
    <t>32285004418975</t>
  </si>
  <si>
    <t>893617592</t>
  </si>
  <si>
    <t>PQ7539.2.M38 M67 1997</t>
  </si>
  <si>
    <t>0                      PQ 7539200M  38                 M  67          1997</t>
  </si>
  <si>
    <t>Las mormonas y otros cuentos / José María Méndez ; selección y presentación por Carlos Cañas Dinarte.</t>
  </si>
  <si>
    <t>Méndez, José María, 1916-</t>
  </si>
  <si>
    <t>Biblioteca básica de literatura salvadoreña ; v. 15</t>
  </si>
  <si>
    <t>365600553:spa</t>
  </si>
  <si>
    <t>39212406</t>
  </si>
  <si>
    <t>991003670229702656</t>
  </si>
  <si>
    <t>2269137330002656</t>
  </si>
  <si>
    <t>32285004419049</t>
  </si>
  <si>
    <t>893531462</t>
  </si>
  <si>
    <t>PQ7539.A47 C4 1997</t>
  </si>
  <si>
    <t>0                      PQ 7539000A  47                 C  4           1997</t>
  </si>
  <si>
    <t>Cenizas de Izalco / Claribel Alegría, Darwin Flakoll ; presentación por Julio Valle-Castillo.</t>
  </si>
  <si>
    <t>Alegría, Claribel.</t>
  </si>
  <si>
    <t>San Salvador, El Salvador : Dirección de Publicaciones e Impresos, Consejo Nacional para la Cultura y el Arte, 1997.</t>
  </si>
  <si>
    <t>Biblioteca básica de literatura salvadoreña ; v. 18</t>
  </si>
  <si>
    <t>2218772523:spa</t>
  </si>
  <si>
    <t>39212170</t>
  </si>
  <si>
    <t>991003670309702656</t>
  </si>
  <si>
    <t>2269108540002656</t>
  </si>
  <si>
    <t>32285004419015</t>
  </si>
  <si>
    <t>893336780</t>
  </si>
  <si>
    <t>PQ7539.A6 C76 1996</t>
  </si>
  <si>
    <t>0                      PQ 7539000A  6                  C  76          1996</t>
  </si>
  <si>
    <t>Crónicas / Arturo Ambrogi.</t>
  </si>
  <si>
    <t>Ambrogi, Arturo, 1874-1936.</t>
  </si>
  <si>
    <t>San Salvador : Consejo Nacional para la Cultura y el Arte Concultura, 1996.</t>
  </si>
  <si>
    <t>Biblioteca básica de literatura salvadoreña ; v. 3</t>
  </si>
  <si>
    <t>9246498793:spa</t>
  </si>
  <si>
    <t>39146652</t>
  </si>
  <si>
    <t>991003669579702656</t>
  </si>
  <si>
    <t>2262512270002656</t>
  </si>
  <si>
    <t>32285004419130</t>
  </si>
  <si>
    <t>893893975</t>
  </si>
  <si>
    <t>PQ7539.B7 A6 1996</t>
  </si>
  <si>
    <t>0                      PQ 7539000B  7                  A  6           1996</t>
  </si>
  <si>
    <t>La casa de vidrio y otros poemas / Claudia Lars.</t>
  </si>
  <si>
    <t>Lars, Claudia, 1899-1974.</t>
  </si>
  <si>
    <t>San Salvador : Consejo Nacional para la Cultura y el Arte, 1996</t>
  </si>
  <si>
    <t>Biblioteca básica de literatura salvadoreña ; v. 4</t>
  </si>
  <si>
    <t>1028112856:spa</t>
  </si>
  <si>
    <t>37393065</t>
  </si>
  <si>
    <t>991003669619702656</t>
  </si>
  <si>
    <t>2262564360002656</t>
  </si>
  <si>
    <t>32285004419122</t>
  </si>
  <si>
    <t>893525084</t>
  </si>
  <si>
    <t>PQ7539.E66 T54 1997</t>
  </si>
  <si>
    <t>0                      PQ 7539000E  66                 T  54          1997</t>
  </si>
  <si>
    <t>Tierra azul donde el venado cruza / Oswaldo Escobar Velado ; selección y presentación, José Roberto Cea.</t>
  </si>
  <si>
    <t>Escobar Velado, Oswaldo.</t>
  </si>
  <si>
    <t>San Salvador : Dirección de Publicaciones e Impresos, Consejo Nacional para la Cultura y el Arte, 1997.</t>
  </si>
  <si>
    <t>Biblioteca básica de literatura salvadoreña ; v. 17</t>
  </si>
  <si>
    <t>41690557:spa</t>
  </si>
  <si>
    <t>39212253</t>
  </si>
  <si>
    <t>991003670279702656</t>
  </si>
  <si>
    <t>2269183050002656</t>
  </si>
  <si>
    <t>32285004419023</t>
  </si>
  <si>
    <t>893246602</t>
  </si>
  <si>
    <t>PQ7539.E7 J5 1996</t>
  </si>
  <si>
    <t>0                      PQ 7539000E  7                  J  5           1996</t>
  </si>
  <si>
    <t>Jícaras tristes / Alfredo Espino.</t>
  </si>
  <si>
    <t>Espino, Alfredo.</t>
  </si>
  <si>
    <t>San Salvador, El Salvador : Consejo Nacional para la Cultura y el Arte, 1996.</t>
  </si>
  <si>
    <t>Biblioteca básica de literatura salvadoreña ; v. 6</t>
  </si>
  <si>
    <t>5300782:spa</t>
  </si>
  <si>
    <t>39146586</t>
  </si>
  <si>
    <t>991003669669702656</t>
  </si>
  <si>
    <t>2262541520002656</t>
  </si>
  <si>
    <t>32285004419106</t>
  </si>
  <si>
    <t>893234424</t>
  </si>
  <si>
    <t>PQ7539.G4 N5 1996</t>
  </si>
  <si>
    <t>0                      PQ 7539000G  4                  N  5           1996</t>
  </si>
  <si>
    <t>Los nietos del jaguar / Pedro Geoffroy Rivas.</t>
  </si>
  <si>
    <t>Geoffroy Rivas, Pedro.</t>
  </si>
  <si>
    <t>Biblioteca básica de literatura salvadoreña ; v. 8</t>
  </si>
  <si>
    <t>5091216560:spa</t>
  </si>
  <si>
    <t>37393064</t>
  </si>
  <si>
    <t>991003669739702656</t>
  </si>
  <si>
    <t>2262564670002656</t>
  </si>
  <si>
    <t>32285004419098</t>
  </si>
  <si>
    <t>893505848</t>
  </si>
  <si>
    <t>PQ7539.L5 A84 1996</t>
  </si>
  <si>
    <t>0                      PQ 7539000L  5                  A  84          1996</t>
  </si>
  <si>
    <t>Aquí se cuentan cuentos / Hugo Lindo.</t>
  </si>
  <si>
    <t>Lindo, Hugo, 1917-1985.</t>
  </si>
  <si>
    <t>Biblioteca básica de literatura salvadoreña ; v. 9</t>
  </si>
  <si>
    <t>7423336:spa</t>
  </si>
  <si>
    <t>37426770</t>
  </si>
  <si>
    <t>991003669789702656</t>
  </si>
  <si>
    <t>2272712680002656</t>
  </si>
  <si>
    <t>32285004419072</t>
  </si>
  <si>
    <t>893429062</t>
  </si>
  <si>
    <t>PQ7539.M3 E57 1996</t>
  </si>
  <si>
    <t>0                      PQ 7539000M  3                  E  57          1996</t>
  </si>
  <si>
    <t>Ensayos / Alberto Masferrer.</t>
  </si>
  <si>
    <t>Masferrer, Alberto, 1868-1932.</t>
  </si>
  <si>
    <t>Biblioteca básica de literatura salvadoreña ; v. 2</t>
  </si>
  <si>
    <t>42407122:spa</t>
  </si>
  <si>
    <t>38439166</t>
  </si>
  <si>
    <t>991003669519702656</t>
  </si>
  <si>
    <t>2271052730002656</t>
  </si>
  <si>
    <t>32285004419148</t>
  </si>
  <si>
    <t>893246599</t>
  </si>
  <si>
    <t>PQ7539.Q5 C6 1997</t>
  </si>
  <si>
    <t>0                      PQ 7539000Q  5                  C  6           1997</t>
  </si>
  <si>
    <t>Corasón con s / Serafín Quiteño ; selección y presentación por David Escobar Galindo.</t>
  </si>
  <si>
    <t>Quiteño, Serafín, 1906-1987.</t>
  </si>
  <si>
    <t>Biblioteca básica de literatura salvadoreña ; v. 14</t>
  </si>
  <si>
    <t>4820396769:spa</t>
  </si>
  <si>
    <t>39212483</t>
  </si>
  <si>
    <t>991003670179702656</t>
  </si>
  <si>
    <t>2269144920002656</t>
  </si>
  <si>
    <t>32285004419056</t>
  </si>
  <si>
    <t>893806070</t>
  </si>
  <si>
    <t>PQ7539.R47 A69 1997</t>
  </si>
  <si>
    <t>0                      PQ 7539000R  47                 A  69          1997</t>
  </si>
  <si>
    <t>Andanzas y malandanzas / Alberto Rivas Bonilla ; presentación por Horacio Castellanos Moya.</t>
  </si>
  <si>
    <t>Rivas Bonilla, Alberto.</t>
  </si>
  <si>
    <t>8. ed.</t>
  </si>
  <si>
    <t>Biblioteca básica de literatura salvadoreña ; v. 12</t>
  </si>
  <si>
    <t>2378100:spa</t>
  </si>
  <si>
    <t>39212592</t>
  </si>
  <si>
    <t>991003670049702656</t>
  </si>
  <si>
    <t>2269114300002656</t>
  </si>
  <si>
    <t>32285004418983</t>
  </si>
  <si>
    <t>893416646</t>
  </si>
  <si>
    <t>PQ7539.R6 B67 1997</t>
  </si>
  <si>
    <t>0                      PQ 7539000R  6                  B  67          1997</t>
  </si>
  <si>
    <t>El bosque de Apolo y otros poemas / Vicente Rosales y Rosales ; selección y presentación por Rolando Elías.</t>
  </si>
  <si>
    <t>Rosales y Rosales, Vicente, 1894-1980.</t>
  </si>
  <si>
    <t>Biblioteca básica de literatura salvadoreña ; v. 16</t>
  </si>
  <si>
    <t>365598315:spa</t>
  </si>
  <si>
    <t>39212324</t>
  </si>
  <si>
    <t>991003670249702656</t>
  </si>
  <si>
    <t>2269072260002656</t>
  </si>
  <si>
    <t>32285004419031</t>
  </si>
  <si>
    <t>893893976</t>
  </si>
  <si>
    <t>PQ7539.S3 A83 1977</t>
  </si>
  <si>
    <t>0                      PQ 7539000S  3                  A  83          1977</t>
  </si>
  <si>
    <t>El angel del espejo y otros relatos / Salarrué ; prólogo, selección y cronología, Sergio Ramírez.</t>
  </si>
  <si>
    <t>Salarrué, 1899-1975.</t>
  </si>
  <si>
    <t>Biblioteca Ayacucho ; 16</t>
  </si>
  <si>
    <t>351580232:spa</t>
  </si>
  <si>
    <t>3888228</t>
  </si>
  <si>
    <t>991003682999702656</t>
  </si>
  <si>
    <t>2257741690002656</t>
  </si>
  <si>
    <t>32285004412663</t>
  </si>
  <si>
    <t>893525098</t>
  </si>
  <si>
    <t>PQ7552.N7 L3 1982</t>
  </si>
  <si>
    <t>0                      PQ 7552000N  7                  L  3           1982</t>
  </si>
  <si>
    <t>La novela andina : pasado y futuro / Raimundo Lazo.</t>
  </si>
  <si>
    <t>México : Porrúa, 1982.</t>
  </si>
  <si>
    <t>3a. ed.</t>
  </si>
  <si>
    <t>"Sepan cuantos--" ; no. 179</t>
  </si>
  <si>
    <t>5342521773:spa</t>
  </si>
  <si>
    <t>10687534</t>
  </si>
  <si>
    <t>991000406269702656</t>
  </si>
  <si>
    <t>2267946740002656</t>
  </si>
  <si>
    <t>9789684327474</t>
  </si>
  <si>
    <t>32285002080298</t>
  </si>
  <si>
    <t>893708336</t>
  </si>
  <si>
    <t>PQ7606 .O7 1970</t>
  </si>
  <si>
    <t>0                      PQ 7606000O  7           1970</t>
  </si>
  <si>
    <t>Enciclopedia de la literatura argentina / Dirigida por Pedro Orgambide y Roberto Yahni.</t>
  </si>
  <si>
    <t>Orgambide, Pedro G.</t>
  </si>
  <si>
    <t>Buenos Aires : Editorial Sudamericana, [1970]</t>
  </si>
  <si>
    <t>347122288:spa</t>
  </si>
  <si>
    <t>704509</t>
  </si>
  <si>
    <t>991004509619702656</t>
  </si>
  <si>
    <t>2259114250002656</t>
  </si>
  <si>
    <t>32285005044390</t>
  </si>
  <si>
    <t>893776102</t>
  </si>
  <si>
    <t>PQ7683 .O733 1992</t>
  </si>
  <si>
    <t>0                      PQ 7683000O  733         1992</t>
  </si>
  <si>
    <t>Aproximación a la trayectoria de la dramática argentina : desde los orígenes nacionales hasta la actualidad / Luis Ordaz.</t>
  </si>
  <si>
    <t>Ordaz, Luis, 1912-2004.</t>
  </si>
  <si>
    <t>Ottawa, Ont. : Girol Books, 1992.</t>
  </si>
  <si>
    <t>Colección Telón. Historia ; 2</t>
  </si>
  <si>
    <t>139179349:spa</t>
  </si>
  <si>
    <t>28372540</t>
  </si>
  <si>
    <t>991004264449702656</t>
  </si>
  <si>
    <t>2258046360002656</t>
  </si>
  <si>
    <t>9780919659254</t>
  </si>
  <si>
    <t>32285004898275</t>
  </si>
  <si>
    <t>893349799</t>
  </si>
  <si>
    <t>PQ7689 .F67 1986</t>
  </si>
  <si>
    <t>0                      PQ 7689000F  67          1986</t>
  </si>
  <si>
    <t>The Argentine Teatro Independiente, 1930-1955 / by David William Foster.</t>
  </si>
  <si>
    <t>Foster, David William.</t>
  </si>
  <si>
    <t>York, S.C. : Spanish Literature Pub Co., 1986.</t>
  </si>
  <si>
    <t>7573513:eng</t>
  </si>
  <si>
    <t>13832097</t>
  </si>
  <si>
    <t>991004027739702656</t>
  </si>
  <si>
    <t>2266414830002656</t>
  </si>
  <si>
    <t>9780938972082</t>
  </si>
  <si>
    <t>32285004742861</t>
  </si>
  <si>
    <t>893343371</t>
  </si>
  <si>
    <t>PQ771 .E44 1987</t>
  </si>
  <si>
    <t>0                      PQ 0771000E  44          1987</t>
  </si>
  <si>
    <t>The changing nature of the self : a critical study of the autobiographic discourse / Robert Elbaz.</t>
  </si>
  <si>
    <t>Elbaz, Robert.</t>
  </si>
  <si>
    <t>Iowa City : University of Iowa Press, 1987.</t>
  </si>
  <si>
    <t>iau</t>
  </si>
  <si>
    <t>16217746:eng</t>
  </si>
  <si>
    <t>17598211</t>
  </si>
  <si>
    <t>991004549989702656</t>
  </si>
  <si>
    <t>2264260850002656</t>
  </si>
  <si>
    <t>9780877452034</t>
  </si>
  <si>
    <t>32285005035786</t>
  </si>
  <si>
    <t>893532531</t>
  </si>
  <si>
    <t>PQ7791.R5 T4 1977</t>
  </si>
  <si>
    <t>0                      PQ 7791000R  5                  T  4           1977</t>
  </si>
  <si>
    <t>Teatro rioplatense (1886-1930) / E. Gutiérrez ... [et al.] ; prólogo, David Viñas ; selección y cronología, Jorge Lafforgue.</t>
  </si>
  <si>
    <t>Caracas : Biblioteca Ayacucho, [1977]</t>
  </si>
  <si>
    <t>Biblioteca Ayacucho ; 8</t>
  </si>
  <si>
    <t>351482972:spa</t>
  </si>
  <si>
    <t>4230905</t>
  </si>
  <si>
    <t>991003683169702656</t>
  </si>
  <si>
    <t>2263865900002656</t>
  </si>
  <si>
    <t>32285004412754</t>
  </si>
  <si>
    <t>893875039</t>
  </si>
  <si>
    <t>PQ7797 .B635 1989</t>
  </si>
  <si>
    <t>0                      PQ 7797000B  635         1989</t>
  </si>
  <si>
    <t>Obras completas / Jorge Luis Borges ; [edición realizada por Carlos V. Frías].</t>
  </si>
  <si>
    <t>Borges, Jorge Luis, 1899-1986.</t>
  </si>
  <si>
    <t>Barcelona, Spain : Emecé, c1989.</t>
  </si>
  <si>
    <t>6379625:spa</t>
  </si>
  <si>
    <t>22482215</t>
  </si>
  <si>
    <t>991001782179702656</t>
  </si>
  <si>
    <t>2258683440002656</t>
  </si>
  <si>
    <t>9788473540476</t>
  </si>
  <si>
    <t>32285000864537</t>
  </si>
  <si>
    <t>893316059</t>
  </si>
  <si>
    <t>32285000864529</t>
  </si>
  <si>
    <t>893346773</t>
  </si>
  <si>
    <t>32285000864545</t>
  </si>
  <si>
    <t>893346774</t>
  </si>
  <si>
    <t>PQ7797.A66 Z8 1980</t>
  </si>
  <si>
    <t>0                      PQ 7797000A  66                 Z  8           1980</t>
  </si>
  <si>
    <t>Roberto Arlt y la rebelión alienada / Beatriz Pastor.</t>
  </si>
  <si>
    <t>Pastor Bodmer, Beatriz.</t>
  </si>
  <si>
    <t>Gaithersburg, MD : Hispamérica, c1980.</t>
  </si>
  <si>
    <t>2003-03-05</t>
  </si>
  <si>
    <t>1996-12-03</t>
  </si>
  <si>
    <t>31675033:spa</t>
  </si>
  <si>
    <t>8467613</t>
  </si>
  <si>
    <t>991005246569702656</t>
  </si>
  <si>
    <t>2272278850002656</t>
  </si>
  <si>
    <t>9780935318050</t>
  </si>
  <si>
    <t>32285002387446</t>
  </si>
  <si>
    <t>893619689</t>
  </si>
  <si>
    <t>PQ7797.B635 Z57</t>
  </si>
  <si>
    <t>0                      PQ 7797000B  635                Z  57</t>
  </si>
  <si>
    <t>Jorge Luis Borges.</t>
  </si>
  <si>
    <t>Alazraki, Jaime.</t>
  </si>
  <si>
    <t>New York : Columbia University Press, 1971.</t>
  </si>
  <si>
    <t>Columbia essays on modern writers ; 57</t>
  </si>
  <si>
    <t>1996-04-28</t>
  </si>
  <si>
    <t>2004-10-06</t>
  </si>
  <si>
    <t>53647599:eng</t>
  </si>
  <si>
    <t>163790</t>
  </si>
  <si>
    <t>991000928979702656</t>
  </si>
  <si>
    <t>2272186050002656</t>
  </si>
  <si>
    <t>9780231032834</t>
  </si>
  <si>
    <t>32285000683572</t>
  </si>
  <si>
    <t>893708841</t>
  </si>
  <si>
    <t>32285000683580</t>
  </si>
  <si>
    <t>893702569</t>
  </si>
  <si>
    <t>PQ7797.B635 Z58</t>
  </si>
  <si>
    <t>0                      PQ 7797000B  635                Z  58</t>
  </si>
  <si>
    <t>La prosa narrativa de Jorge Luis Borges : temas, estilo.</t>
  </si>
  <si>
    <t>Madrid : Editorial Gredos, [1968]</t>
  </si>
  <si>
    <t>Biblioteca románica hispánica. II, Estudios y ensayos ; 112</t>
  </si>
  <si>
    <t>1994-12-12</t>
  </si>
  <si>
    <t>1994-05-10</t>
  </si>
  <si>
    <t>375992691:spa</t>
  </si>
  <si>
    <t>319179</t>
  </si>
  <si>
    <t>991002308549702656</t>
  </si>
  <si>
    <t>2270015410002656</t>
  </si>
  <si>
    <t>32285001909745</t>
  </si>
  <si>
    <t>893347353</t>
  </si>
  <si>
    <t>PQ7797.B635 Z63 1967</t>
  </si>
  <si>
    <t>0                      PQ 7797000B  635                Z  63          1967</t>
  </si>
  <si>
    <t>La expresión de la irrealidad en la obra de Borges / Ana Maria Barrenechea.</t>
  </si>
  <si>
    <t>Barrenechea, Ana María.</t>
  </si>
  <si>
    <t>[Buenos Aires] : Paidós, [1967]</t>
  </si>
  <si>
    <t>Letras argentinas Paidós ; 5</t>
  </si>
  <si>
    <t>349368701:spa</t>
  </si>
  <si>
    <t>568367</t>
  </si>
  <si>
    <t>991004509759702656</t>
  </si>
  <si>
    <t>2257499640002656</t>
  </si>
  <si>
    <t>32285005044549</t>
  </si>
  <si>
    <t>893606121</t>
  </si>
  <si>
    <t>PQ7797.B635 Z7 1998</t>
  </si>
  <si>
    <t>0                      PQ 7797000B  635                Z  7           1998</t>
  </si>
  <si>
    <t>Expliquémonos a Borges como poeta / compilación y prólogo de Angel Flores.</t>
  </si>
  <si>
    <t>México : Siglo XXI, 1998.</t>
  </si>
  <si>
    <t>La creación literaria (Siglo XXI Editores)</t>
  </si>
  <si>
    <t>2002-06-20</t>
  </si>
  <si>
    <t>2002-06-12</t>
  </si>
  <si>
    <t>429317360:spa</t>
  </si>
  <si>
    <t>43599316</t>
  </si>
  <si>
    <t>991003817429702656</t>
  </si>
  <si>
    <t>2266508340002656</t>
  </si>
  <si>
    <t>9789682309113</t>
  </si>
  <si>
    <t>32285004494620</t>
  </si>
  <si>
    <t>893435479</t>
  </si>
  <si>
    <t>PQ7797.B635 Z7744 1996</t>
  </si>
  <si>
    <t>0                      PQ 7797000B  635                Z  7744        1996</t>
  </si>
  <si>
    <t>Borges and the European avant-garde / Linda S. Maier.</t>
  </si>
  <si>
    <t>Maier, Linda S., 1957-</t>
  </si>
  <si>
    <t>New York : P. Lang, c1996.</t>
  </si>
  <si>
    <t>American university studies. Series II, Romance languages and literature ; vol. 183</t>
  </si>
  <si>
    <t>1998-06-10</t>
  </si>
  <si>
    <t>26792734:eng</t>
  </si>
  <si>
    <t>24377828</t>
  </si>
  <si>
    <t>991001930939702656</t>
  </si>
  <si>
    <t>2265662520002656</t>
  </si>
  <si>
    <t>9780820417028</t>
  </si>
  <si>
    <t>32285003414322</t>
  </si>
  <si>
    <t>893797950</t>
  </si>
  <si>
    <t>PQ7797.B635 Z7955 1993</t>
  </si>
  <si>
    <t>0                      PQ 7797000B  635                Z  7955        1993</t>
  </si>
  <si>
    <t>El otro Borges : el primer Borges / Rafael Olea Franco.</t>
  </si>
  <si>
    <t>Olea Franco, Rafael.</t>
  </si>
  <si>
    <t>México, D.F. : Colegio de México, Centro de Estudios Lingüísticos y Literarios ; Buenos Aires : Fondo de Cultura Económica, 1993.</t>
  </si>
  <si>
    <t>2001-11-11</t>
  </si>
  <si>
    <t>365423248:spa</t>
  </si>
  <si>
    <t>31712140</t>
  </si>
  <si>
    <t>991002432739702656</t>
  </si>
  <si>
    <t>2256237680002656</t>
  </si>
  <si>
    <t>9789505571871</t>
  </si>
  <si>
    <t>32285002172269</t>
  </si>
  <si>
    <t>893409092</t>
  </si>
  <si>
    <t>PQ7797.B635 Z7972 1986</t>
  </si>
  <si>
    <t>0                      PQ 7797000B  635                Z  7972        1986</t>
  </si>
  <si>
    <t>Poética de la prosa de Jorge Luis Borges : hacia una crítica bakhtiniana de la literatura / Alberto Julián Pérez.</t>
  </si>
  <si>
    <t>Pérez, Alberto Julián.</t>
  </si>
  <si>
    <t>Madrid : Gredos, c1986.</t>
  </si>
  <si>
    <t>Biblioteca románica hispánica. II, Estudios y ensayos ; 353</t>
  </si>
  <si>
    <t>1994-07-20</t>
  </si>
  <si>
    <t>11188721:spa</t>
  </si>
  <si>
    <t>15866288</t>
  </si>
  <si>
    <t>991001071159702656</t>
  </si>
  <si>
    <t>2267093640002656</t>
  </si>
  <si>
    <t>9788424910754</t>
  </si>
  <si>
    <t>32285001932358</t>
  </si>
  <si>
    <t>893438842</t>
  </si>
  <si>
    <t>PQ7797.B635 Z918</t>
  </si>
  <si>
    <t>0                      PQ 7797000B  635                Z  918</t>
  </si>
  <si>
    <t>Jorge Luis Borges / by Martin S. Stabb.</t>
  </si>
  <si>
    <t>Stabb, Martin S.</t>
  </si>
  <si>
    <t>Twayne's world authors series. TWAS 108. Argentina</t>
  </si>
  <si>
    <t>442918:eng</t>
  </si>
  <si>
    <t>95818</t>
  </si>
  <si>
    <t>991000584199702656</t>
  </si>
  <si>
    <t>2272451630002656</t>
  </si>
  <si>
    <t>32285000683622</t>
  </si>
  <si>
    <t>893333601</t>
  </si>
  <si>
    <t>PQ7797.B635 Z965 1996</t>
  </si>
  <si>
    <t>0                      PQ 7797000B  635                Z  965         1996</t>
  </si>
  <si>
    <t>Borges : a life / James Woodall.</t>
  </si>
  <si>
    <t>Woodall, James, 1960-</t>
  </si>
  <si>
    <t>New York : BasicBooks, c1996.</t>
  </si>
  <si>
    <t>1st. U.S. ed.</t>
  </si>
  <si>
    <t>2004-04-06</t>
  </si>
  <si>
    <t>1998-06-08</t>
  </si>
  <si>
    <t>3943622870:eng</t>
  </si>
  <si>
    <t>35792375</t>
  </si>
  <si>
    <t>991002729359702656</t>
  </si>
  <si>
    <t>2260888120002656</t>
  </si>
  <si>
    <t>9780465043613</t>
  </si>
  <si>
    <t>32285003413258</t>
  </si>
  <si>
    <t>893798935</t>
  </si>
  <si>
    <t>PQ7797.B873 C7 1997</t>
  </si>
  <si>
    <t>0                      PQ 7797000B  873                C  7           1997</t>
  </si>
  <si>
    <t>Crónicas de Bustos Domenq / Jorge Luis Borges [y] Adolfo Bioy Casares.</t>
  </si>
  <si>
    <t>Buenos Aires : Editorial Losada, 1997.</t>
  </si>
  <si>
    <t>51583205:spa</t>
  </si>
  <si>
    <t>42018020</t>
  </si>
  <si>
    <t>991003924789702656</t>
  </si>
  <si>
    <t>2269172360002656</t>
  </si>
  <si>
    <t>9789500362382</t>
  </si>
  <si>
    <t>32285004697008</t>
  </si>
  <si>
    <t>893512571</t>
  </si>
  <si>
    <t>PQ7797.C7145 Z717</t>
  </si>
  <si>
    <t>0                      PQ 7797000C  7145               Z  717</t>
  </si>
  <si>
    <t>Julio Cortázar / edición de Pedro Lastra.</t>
  </si>
  <si>
    <t>Madrid : Taurus, c1981.</t>
  </si>
  <si>
    <t>Persiles ; 126. Serie El Escritor y la crítica</t>
  </si>
  <si>
    <t>2009-11-12</t>
  </si>
  <si>
    <t>196472260:spa</t>
  </si>
  <si>
    <t>8054101</t>
  </si>
  <si>
    <t>991005198779702656</t>
  </si>
  <si>
    <t>2257982610002656</t>
  </si>
  <si>
    <t>9788430621262</t>
  </si>
  <si>
    <t>32285000683713</t>
  </si>
  <si>
    <t>893520619</t>
  </si>
  <si>
    <t>PQ7797.G253 D5 1979</t>
  </si>
  <si>
    <t>0                      PQ 7797000G  253                D  5           1979</t>
  </si>
  <si>
    <t>Dios no nos quiere contentos / Griselda Gambaro.</t>
  </si>
  <si>
    <t>Gambaro, Griselda.</t>
  </si>
  <si>
    <t>Barcelona : Lumen, 1979.</t>
  </si>
  <si>
    <t>Palabra menor ; 54</t>
  </si>
  <si>
    <t>10537423:spa</t>
  </si>
  <si>
    <t>5942662</t>
  </si>
  <si>
    <t>991004028589702656</t>
  </si>
  <si>
    <t>2270612760002656</t>
  </si>
  <si>
    <t>9788426429544</t>
  </si>
  <si>
    <t>32285004688460</t>
  </si>
  <si>
    <t>893512704</t>
  </si>
  <si>
    <t>PQ7797.G253 G3 2002</t>
  </si>
  <si>
    <t>0                      PQ 7797000G  253                G  3           2002</t>
  </si>
  <si>
    <t>Ganarse la muerte / Griselda Gambaro.</t>
  </si>
  <si>
    <t>Buenos Aires, República Argentina : Grupo Editorial Norma, 2002.</t>
  </si>
  <si>
    <t>Colección La otra orilla</t>
  </si>
  <si>
    <t>7344991:spa</t>
  </si>
  <si>
    <t>49859678</t>
  </si>
  <si>
    <t>991004022789702656</t>
  </si>
  <si>
    <t>2262238980002656</t>
  </si>
  <si>
    <t>9789875450479</t>
  </si>
  <si>
    <t>32285004742713</t>
  </si>
  <si>
    <t>893429563</t>
  </si>
  <si>
    <t>PQ7797.G599 A6 1991</t>
  </si>
  <si>
    <t>0                      PQ 7797000G  599                A  6           1991</t>
  </si>
  <si>
    <t>Teatro / Carlos Gorostiza.</t>
  </si>
  <si>
    <t>Gorostiza, Carlos.</t>
  </si>
  <si>
    <t>Buenos Aires, República Argentina : Ediciones de la Flor, c1991-</t>
  </si>
  <si>
    <t>2003-04-22</t>
  </si>
  <si>
    <t>197774146:spa</t>
  </si>
  <si>
    <t>24540441</t>
  </si>
  <si>
    <t>991001941849702656</t>
  </si>
  <si>
    <t>2260691150002656</t>
  </si>
  <si>
    <t>9789505154135</t>
  </si>
  <si>
    <t>32285002440195</t>
  </si>
  <si>
    <t>893709684</t>
  </si>
  <si>
    <t>1994-10-24</t>
  </si>
  <si>
    <t>32285001963023</t>
  </si>
  <si>
    <t>893684783</t>
  </si>
  <si>
    <t>1994-05-09</t>
  </si>
  <si>
    <t>32285001879625</t>
  </si>
  <si>
    <t>893709685</t>
  </si>
  <si>
    <t>PQ7797.L88 C3 1958</t>
  </si>
  <si>
    <t>0                      PQ 7797000L  88                 C  3           1958</t>
  </si>
  <si>
    <t>Los caranchos de La Florida / Benito Lynch.</t>
  </si>
  <si>
    <t>Lynch, Benito, 1880-1951.</t>
  </si>
  <si>
    <t>Buenos Aires : Ediciones Troquel, 1958.</t>
  </si>
  <si>
    <t>2001-11-29</t>
  </si>
  <si>
    <t>1997-08-06</t>
  </si>
  <si>
    <t>350489744:spa</t>
  </si>
  <si>
    <t>10124018</t>
  </si>
  <si>
    <t>991000317609702656</t>
  </si>
  <si>
    <t>2270745870002656</t>
  </si>
  <si>
    <t>32285003060661</t>
  </si>
  <si>
    <t>893714488</t>
  </si>
  <si>
    <t>PQ7797.M74 U5 1983</t>
  </si>
  <si>
    <t>0                      PQ 7797000M  74                 U  5           1983</t>
  </si>
  <si>
    <t>El unicornio / Manuel Mujica Láinez.</t>
  </si>
  <si>
    <t>Mujica Láinez, Manuel, 1910-1984.</t>
  </si>
  <si>
    <t>[Barcelona] : Seix Barral, 1983.</t>
  </si>
  <si>
    <t>1a ed. en Biblioteca breve.</t>
  </si>
  <si>
    <t>Biblioteca breve ; 638</t>
  </si>
  <si>
    <t>58006653:spa</t>
  </si>
  <si>
    <t>11339580</t>
  </si>
  <si>
    <t>991004522399702656</t>
  </si>
  <si>
    <t>2267846180002656</t>
  </si>
  <si>
    <t>9788432204876</t>
  </si>
  <si>
    <t>32285005048094</t>
  </si>
  <si>
    <t>893722479</t>
  </si>
  <si>
    <t>PQ7797.O6715 N6 1983</t>
  </si>
  <si>
    <t>0                      PQ 7797000O  6715               N  6           1983</t>
  </si>
  <si>
    <t>La noche a la deriva / Olga Orozco.</t>
  </si>
  <si>
    <t>Orozco, Olga.</t>
  </si>
  <si>
    <t>México : Fondo de Cultura Económica, 1983.</t>
  </si>
  <si>
    <t>13312182:spa</t>
  </si>
  <si>
    <t>10862943</t>
  </si>
  <si>
    <t>991003693209702656</t>
  </si>
  <si>
    <t>2270507040002656</t>
  </si>
  <si>
    <t>9789681615154</t>
  </si>
  <si>
    <t>32285004426937</t>
  </si>
  <si>
    <t>893410571</t>
  </si>
  <si>
    <t>PQ7797.P576 A6 1982</t>
  </si>
  <si>
    <t>0                      PQ 7797000P  576                A  6           1982</t>
  </si>
  <si>
    <t>Textos de sombra y últimos poemas / Alejandra Pizarnik.</t>
  </si>
  <si>
    <t>Pizarnik, Alejandra, 1936-1972.</t>
  </si>
  <si>
    <t>Buenos Aires : Editorial Sudamericana, c1982.</t>
  </si>
  <si>
    <t>2002-05-09</t>
  </si>
  <si>
    <t>2853432:spa</t>
  </si>
  <si>
    <t>10101031</t>
  </si>
  <si>
    <t>991003808479702656</t>
  </si>
  <si>
    <t>2256805530002656</t>
  </si>
  <si>
    <t>9789500700580</t>
  </si>
  <si>
    <t>32285004487541</t>
  </si>
  <si>
    <t>893324512</t>
  </si>
  <si>
    <t>PQ7797.P576 A6 1992</t>
  </si>
  <si>
    <t>0                      PQ 7797000P  576                A  6           1992</t>
  </si>
  <si>
    <t>Semblanza / Alejandra Pizarnik ; introducción y compilación, Frank Graziano.</t>
  </si>
  <si>
    <t>31951857:spa</t>
  </si>
  <si>
    <t>29915382</t>
  </si>
  <si>
    <t>991003694919702656</t>
  </si>
  <si>
    <t>2255389410002656</t>
  </si>
  <si>
    <t>9789681637941</t>
  </si>
  <si>
    <t>32285004427778</t>
  </si>
  <si>
    <t>893693041</t>
  </si>
  <si>
    <t>PQ7797.S214 A6 1974</t>
  </si>
  <si>
    <t>0                      PQ 7797000S  214                A  6           1974</t>
  </si>
  <si>
    <t>Páginas vivas / selección del autor, Ernesto Sábato ; estudio preliminar y notas de María Isabel Murtagh.</t>
  </si>
  <si>
    <t>Sábato, Ernesto R.</t>
  </si>
  <si>
    <t>Buenos Aires : Editorial Kapelusz, 1974.</t>
  </si>
  <si>
    <t>Grandes obras de la literatura universal ; 105</t>
  </si>
  <si>
    <t>5575313237:spa</t>
  </si>
  <si>
    <t>2050088</t>
  </si>
  <si>
    <t>991004509239702656</t>
  </si>
  <si>
    <t>2261919760002656</t>
  </si>
  <si>
    <t>32285005029466</t>
  </si>
  <si>
    <t>893593757</t>
  </si>
  <si>
    <t>PQ7797.S214 Z584 1997</t>
  </si>
  <si>
    <t>0                      PQ 7797000S  214                Z  584         1997</t>
  </si>
  <si>
    <t>Genio y figura de Ernesto Sábato / Carlos Catania.</t>
  </si>
  <si>
    <t>Catania, Carlos.</t>
  </si>
  <si>
    <t>[Buenos Aires, Argentina] : Eudeba, [1997]</t>
  </si>
  <si>
    <t>[2. ed., actualizada].</t>
  </si>
  <si>
    <t>12017218:spa</t>
  </si>
  <si>
    <t>37366647</t>
  </si>
  <si>
    <t>991003252599702656</t>
  </si>
  <si>
    <t>2261192840002656</t>
  </si>
  <si>
    <t>9789502306445</t>
  </si>
  <si>
    <t>32285003763637</t>
  </si>
  <si>
    <t>893258227</t>
  </si>
  <si>
    <t>PQ7797.U83 A17 1984</t>
  </si>
  <si>
    <t>0                      PQ 7797000U  83                 A  17          1984</t>
  </si>
  <si>
    <t>Poemas / Francisco Urondo.</t>
  </si>
  <si>
    <t>Urondo, Francisco.</t>
  </si>
  <si>
    <t>Ciudad de La Habana : Casa de las Américas, 1984.</t>
  </si>
  <si>
    <t>Colección La Honda</t>
  </si>
  <si>
    <t>5090568847:spa</t>
  </si>
  <si>
    <t>13980475</t>
  </si>
  <si>
    <t>991004336779702656</t>
  </si>
  <si>
    <t>2264076150002656</t>
  </si>
  <si>
    <t>32285004928304</t>
  </si>
  <si>
    <t>893349896</t>
  </si>
  <si>
    <t>PQ7798.23.A692 S35 1995</t>
  </si>
  <si>
    <t>0                      PQ 7798230A  692                S  35          1995</t>
  </si>
  <si>
    <t>Santa Evita / Tomás Eloy Martínez.</t>
  </si>
  <si>
    <t>Martínez, Tomás Eloy.</t>
  </si>
  <si>
    <t>New York : Random House, 1995.</t>
  </si>
  <si>
    <t>1999-08-29</t>
  </si>
  <si>
    <t>1997-01-31</t>
  </si>
  <si>
    <t>570755:spa</t>
  </si>
  <si>
    <t>35739486</t>
  </si>
  <si>
    <t>991002724799702656</t>
  </si>
  <si>
    <t>2258755540002656</t>
  </si>
  <si>
    <t>9780679776291</t>
  </si>
  <si>
    <t>32285002413051</t>
  </si>
  <si>
    <t>893317174</t>
  </si>
  <si>
    <t>PQ7798.23.O454 V37 2003</t>
  </si>
  <si>
    <t>0                      PQ 7798230O  454                V  37          2003</t>
  </si>
  <si>
    <t>Varia imaginación / Sylvia Molloy.</t>
  </si>
  <si>
    <t>Molloy, Sylvia, 1938-</t>
  </si>
  <si>
    <t>Rosario, Argentina : Beatriz Viterbo, 2003.</t>
  </si>
  <si>
    <t>Ficciones ; 49</t>
  </si>
  <si>
    <t>12166542:spa</t>
  </si>
  <si>
    <t>53345953</t>
  </si>
  <si>
    <t>991004270679702656</t>
  </si>
  <si>
    <t>2257295570002656</t>
  </si>
  <si>
    <t>9789508451323</t>
  </si>
  <si>
    <t>32285004899927</t>
  </si>
  <si>
    <t>893343648</t>
  </si>
  <si>
    <t>PQ7798.28.A96 A77 2002</t>
  </si>
  <si>
    <t>0                      PQ 7798280A  96                 A  77          2002</t>
  </si>
  <si>
    <t>Defiant acts : four plays / by Diana Raznovich = Actos desafiantes : cuatro obras / de Diana Raznovich ; edited by Diana Taylor and Victoria Martinez ; drawings by Diana Raznovich.</t>
  </si>
  <si>
    <t>Raznovich, Diana.</t>
  </si>
  <si>
    <t>Lewisburg, PA : Bucknell University Press ; London : Associated University Presses, c2002.</t>
  </si>
  <si>
    <t>2003-04-09</t>
  </si>
  <si>
    <t>205051381:eng</t>
  </si>
  <si>
    <t>46713271</t>
  </si>
  <si>
    <t>991004021189702656</t>
  </si>
  <si>
    <t>2255105090002656</t>
  </si>
  <si>
    <t>9780838754795</t>
  </si>
  <si>
    <t>32285004741442</t>
  </si>
  <si>
    <t>893247067</t>
  </si>
  <si>
    <t>PQ7798.32.A48 A15 1999</t>
  </si>
  <si>
    <t>0                      PQ 7798320A  48                 A  15          1999</t>
  </si>
  <si>
    <t>Cuentos completos y uno más / Luisa Valenzuela.</t>
  </si>
  <si>
    <t>Valenzuela, Luisa, 1938-</t>
  </si>
  <si>
    <t>Distrito Federal (Mexico) : Alfaguara, 1999, c1998.</t>
  </si>
  <si>
    <t>2002-04-19</t>
  </si>
  <si>
    <t>2000-09-06</t>
  </si>
  <si>
    <t>200846617:spa</t>
  </si>
  <si>
    <t>43251647</t>
  </si>
  <si>
    <t>991003255029702656</t>
  </si>
  <si>
    <t>2269310490002656</t>
  </si>
  <si>
    <t>9789681905095</t>
  </si>
  <si>
    <t>32285003760302</t>
  </si>
  <si>
    <t>893505390</t>
  </si>
  <si>
    <t>PQ7798.32.A48 A87 1991</t>
  </si>
  <si>
    <t>0                      PQ 7798320A  48                 A  87          1991</t>
  </si>
  <si>
    <t>Aqui pasan cosas raras / Luisa Valenzuela.</t>
  </si>
  <si>
    <t>Buenos Aires : Ediciones de la Flor, c1991.</t>
  </si>
  <si>
    <t>Literal</t>
  </si>
  <si>
    <t>1996-12-09</t>
  </si>
  <si>
    <t>413397:spa</t>
  </si>
  <si>
    <t>24335170</t>
  </si>
  <si>
    <t>991001927549702656</t>
  </si>
  <si>
    <t>2272150670002656</t>
  </si>
  <si>
    <t>9789505151240</t>
  </si>
  <si>
    <t>32285001832780</t>
  </si>
  <si>
    <t>893791847</t>
  </si>
  <si>
    <t>PQ7813.5.E5 F38 2000</t>
  </si>
  <si>
    <t>0                      PQ 7813500E  5                  F  38          2000</t>
  </si>
  <si>
    <t>The fat man from La Paz : contemporary fiction from Bolivia / edited by Rosario Santos ; introduction by Javier Sanjines.</t>
  </si>
  <si>
    <t>New York : Seven Stories Press : Distributed to the U.S. book trade by Publishers Group West, c2000.</t>
  </si>
  <si>
    <t>A Seven Stories Press 1st ed.</t>
  </si>
  <si>
    <t>2000-10-26</t>
  </si>
  <si>
    <t>837048352:eng</t>
  </si>
  <si>
    <t>43286800</t>
  </si>
  <si>
    <t>991003319779702656</t>
  </si>
  <si>
    <t>2258240740002656</t>
  </si>
  <si>
    <t>9781583220306</t>
  </si>
  <si>
    <t>32285004260716</t>
  </si>
  <si>
    <t>893434887</t>
  </si>
  <si>
    <t>PQ7820.P39 M3713 2003</t>
  </si>
  <si>
    <t>0                      PQ 7820000P  39                 M  3713        2003</t>
  </si>
  <si>
    <t>The matter of desire / Edmundo Paz Soldaan ; translated by Lisa Carter.</t>
  </si>
  <si>
    <t>Paz Soldán, Edmundo, 1967-</t>
  </si>
  <si>
    <t>Boston : Houghton Mifflin, c2003.</t>
  </si>
  <si>
    <t>12081901:eng</t>
  </si>
  <si>
    <t>53953754</t>
  </si>
  <si>
    <t>991004288819702656</t>
  </si>
  <si>
    <t>2254851870002656</t>
  </si>
  <si>
    <t>9780618395576</t>
  </si>
  <si>
    <t>32285004926183</t>
  </si>
  <si>
    <t>893417440</t>
  </si>
  <si>
    <t>PQ7911 .F67</t>
  </si>
  <si>
    <t>0                      PQ 7911000F  67</t>
  </si>
  <si>
    <t>Chilean literature : a working bibliography of secondary sources / David William Foster.</t>
  </si>
  <si>
    <t>Boston : G. K. Hall, c1978.</t>
  </si>
  <si>
    <t>A Reference publication in Latin American studies</t>
  </si>
  <si>
    <t>1992-12-03</t>
  </si>
  <si>
    <t>3856746889:eng</t>
  </si>
  <si>
    <t>3706184</t>
  </si>
  <si>
    <t>991004497689702656</t>
  </si>
  <si>
    <t>2265066180002656</t>
  </si>
  <si>
    <t>9780816181803</t>
  </si>
  <si>
    <t>32285000683861</t>
  </si>
  <si>
    <t>893423882</t>
  </si>
  <si>
    <t>PQ7911 .L31613 2000</t>
  </si>
  <si>
    <t>0                      PQ 7911000L  31613       2000</t>
  </si>
  <si>
    <t>Literary memoirs / by José Victorino Lastarria ; translated from the Spanish by R. Kelly Washbourne ; edited and with an introduction by Frederick M. Nunn.</t>
  </si>
  <si>
    <t>Lastarria, José Victorino, 1817-1888.</t>
  </si>
  <si>
    <t>Oxford ; New York : Oxford University Press, 2000.</t>
  </si>
  <si>
    <t>2001-08-31</t>
  </si>
  <si>
    <t>2000-02-28</t>
  </si>
  <si>
    <t>1400193503:eng</t>
  </si>
  <si>
    <t>42660670</t>
  </si>
  <si>
    <t>991003046769702656</t>
  </si>
  <si>
    <t>2257146640002656</t>
  </si>
  <si>
    <t>9780195116854</t>
  </si>
  <si>
    <t>32285003664868</t>
  </si>
  <si>
    <t>893774344</t>
  </si>
  <si>
    <t>PQ7925.R56 C83 1999</t>
  </si>
  <si>
    <t>0                      PQ 7925000R  56                 C  83          1999</t>
  </si>
  <si>
    <t>La Quintrala en la literatura chilena / Ivonne Cuadra.</t>
  </si>
  <si>
    <t>Cuadra, Ivonne.</t>
  </si>
  <si>
    <t>Madrid : Editorial Pliegos, c1999.</t>
  </si>
  <si>
    <t>Pliegos de ensayo ; 134</t>
  </si>
  <si>
    <t>2000-02-18</t>
  </si>
  <si>
    <t>1999-11-11</t>
  </si>
  <si>
    <t>350291743:spa</t>
  </si>
  <si>
    <t>41872270</t>
  </si>
  <si>
    <t>991003036839702656</t>
  </si>
  <si>
    <t>2265982580002656</t>
  </si>
  <si>
    <t>9788488435811</t>
  </si>
  <si>
    <t>32285003621199</t>
  </si>
  <si>
    <t>893623082</t>
  </si>
  <si>
    <t>PQ7954 .L54 1997</t>
  </si>
  <si>
    <t>0                      PQ 7954000L  54          1997</t>
  </si>
  <si>
    <t>El circo en llamas : una crítica de la vida / Enrique Lihn ; edición de Germán Marín.</t>
  </si>
  <si>
    <t>Lihn, Enrique.</t>
  </si>
  <si>
    <t>Santiago, Chile : LOM Ediciones, 1997.</t>
  </si>
  <si>
    <t>Colección Texto sobre texto</t>
  </si>
  <si>
    <t>371631063:spa</t>
  </si>
  <si>
    <t>37473418</t>
  </si>
  <si>
    <t>991004028039702656</t>
  </si>
  <si>
    <t>2260809210002656</t>
  </si>
  <si>
    <t>9789562820196</t>
  </si>
  <si>
    <t>32285004689278</t>
  </si>
  <si>
    <t>893775513</t>
  </si>
  <si>
    <t>PQ7997 .G6 1991</t>
  </si>
  <si>
    <t>0                      PQ 7997000G  6           1991</t>
  </si>
  <si>
    <t>La novela chilena : los mitos degradados / Cedomil Goić.</t>
  </si>
  <si>
    <t>Santiago de Chile : Editorial Universitaria, [1991]</t>
  </si>
  <si>
    <t>[5. ed.]</t>
  </si>
  <si>
    <t>Colección El Saber y la cultura</t>
  </si>
  <si>
    <t>365337184:spa</t>
  </si>
  <si>
    <t>24102797</t>
  </si>
  <si>
    <t>991001908049702656</t>
  </si>
  <si>
    <t>2257955870002656</t>
  </si>
  <si>
    <t>32285002080272</t>
  </si>
  <si>
    <t>893779188</t>
  </si>
  <si>
    <t>PQ8003 .P7 1977</t>
  </si>
  <si>
    <t>0                      PQ 8003000P  7           1977</t>
  </si>
  <si>
    <t>La novela chilena actual : orígenes y desarrollo / José Promis.</t>
  </si>
  <si>
    <t>Promis Ojeda, José.</t>
  </si>
  <si>
    <t>Buenos Aires : F. García Cambeiro, c1977.</t>
  </si>
  <si>
    <t>Colección Estudios latinoamericanos ; 25</t>
  </si>
  <si>
    <t>1991-12-15</t>
  </si>
  <si>
    <t>348025474:spa</t>
  </si>
  <si>
    <t>3898162</t>
  </si>
  <si>
    <t>991004541989702656</t>
  </si>
  <si>
    <t>2268887660002656</t>
  </si>
  <si>
    <t>32285000860402</t>
  </si>
  <si>
    <t>893519782</t>
  </si>
  <si>
    <t>PQ8057 .A57 1996</t>
  </si>
  <si>
    <t>0                      PQ 8057000A  57          1996</t>
  </si>
  <si>
    <t>Antología crítica de la poesía chilena / selección, introducción, notas y bibliografía de Naín Nómez.</t>
  </si>
  <si>
    <t>[Santiago, Chile] : LOM Ediciones, c1996-</t>
  </si>
  <si>
    <t>Colección Entre mares</t>
  </si>
  <si>
    <t>10278501461:spa</t>
  </si>
  <si>
    <t>37768382</t>
  </si>
  <si>
    <t>991004028159702656</t>
  </si>
  <si>
    <t>2267928240002656</t>
  </si>
  <si>
    <t>9789562823258</t>
  </si>
  <si>
    <t>32285004689286</t>
  </si>
  <si>
    <t>893593180</t>
  </si>
  <si>
    <t>PQ8058 .A78 2001</t>
  </si>
  <si>
    <t>0                      PQ 8058000A  78          2001</t>
  </si>
  <si>
    <t>Antología de poesía chilena nueva (1935) / Eduardo Anguita y Volodia Teitelboim.</t>
  </si>
  <si>
    <t>Santiago de Chile : LOM Ediciones, 2001.</t>
  </si>
  <si>
    <t>Colección Entre mares. Poesía</t>
  </si>
  <si>
    <t>10450530201:spa</t>
  </si>
  <si>
    <t>49217444</t>
  </si>
  <si>
    <t>991004028319702656</t>
  </si>
  <si>
    <t>2267887980002656</t>
  </si>
  <si>
    <t>9789562824033</t>
  </si>
  <si>
    <t>32285004689229</t>
  </si>
  <si>
    <t>893525542</t>
  </si>
  <si>
    <t>PQ8069 .A15 2001</t>
  </si>
  <si>
    <t>0                      PQ 8069000A  15          2001</t>
  </si>
  <si>
    <t>7 muestras, 7 obras : teatro chileno actual / Pablo Alvarez ... [et al.].</t>
  </si>
  <si>
    <t>Santiago, Chile : LOM Ediciones, 2001.</t>
  </si>
  <si>
    <t>Teatro</t>
  </si>
  <si>
    <t>39869046:spa</t>
  </si>
  <si>
    <t>49940921</t>
  </si>
  <si>
    <t>991004028239702656</t>
  </si>
  <si>
    <t>2271627430002656</t>
  </si>
  <si>
    <t>9789562824262</t>
  </si>
  <si>
    <t>32285004689161</t>
  </si>
  <si>
    <t>893718378</t>
  </si>
  <si>
    <t>PQ8069 .T423 1992</t>
  </si>
  <si>
    <t>0                      PQ 8069000T  423         1992</t>
  </si>
  <si>
    <t>Teatro chileno contemporáneo : antología / [coordinador de este volumen, Juan Andrés Piña].</t>
  </si>
  <si>
    <t>Madrid : Quinto Centenario : Fondo de Cultura Económica : Centro de Documentación Teatral, 1992.</t>
  </si>
  <si>
    <t>Teatro iberoamericano contemporáneo</t>
  </si>
  <si>
    <t>2009-09-24</t>
  </si>
  <si>
    <t>1998-08-24</t>
  </si>
  <si>
    <t>807589266:spa</t>
  </si>
  <si>
    <t>28798856</t>
  </si>
  <si>
    <t>991002233699702656</t>
  </si>
  <si>
    <t>2270012750002656</t>
  </si>
  <si>
    <t>9788437503172</t>
  </si>
  <si>
    <t>32285003461539</t>
  </si>
  <si>
    <t>893622047</t>
  </si>
  <si>
    <t>PQ8076 .C5 1982</t>
  </si>
  <si>
    <t>0                      PQ 8076000C  5           1982</t>
  </si>
  <si>
    <t>Chilean writers in exile : eight short novels / edited by Fernando Alegría.</t>
  </si>
  <si>
    <t>Trumansburg, N.Y. : Crossing Press, c1982.</t>
  </si>
  <si>
    <t>1990-05-24</t>
  </si>
  <si>
    <t>552608:eng</t>
  </si>
  <si>
    <t>7734596</t>
  </si>
  <si>
    <t>991005152749702656</t>
  </si>
  <si>
    <t>2255896410002656</t>
  </si>
  <si>
    <t>9780895940599</t>
  </si>
  <si>
    <t>32285000165901</t>
  </si>
  <si>
    <t>893263638</t>
  </si>
  <si>
    <t>PQ8097 .N4 1968</t>
  </si>
  <si>
    <t>0                      PQ 8097000N  4           1968</t>
  </si>
  <si>
    <t>Obras completas.</t>
  </si>
  <si>
    <t>Neruda, Pablo, 1904-1973.</t>
  </si>
  <si>
    <t>Buenos Aires, Editorial Losada [1968, c1957]</t>
  </si>
  <si>
    <t>3. ed. aumentada. Cronología de Pablo Neruda por Margarita Aguirre. Guías bibliográficas por Alfonso M. Escudero y Hernán Loyola.</t>
  </si>
  <si>
    <t>Colección Cumbre</t>
  </si>
  <si>
    <t>2000-04-16</t>
  </si>
  <si>
    <t>2000-12-10</t>
  </si>
  <si>
    <t>1997-08-08</t>
  </si>
  <si>
    <t>8909697973:spa</t>
  </si>
  <si>
    <t>506667</t>
  </si>
  <si>
    <t>991002882809702656</t>
  </si>
  <si>
    <t>2261823920002656</t>
  </si>
  <si>
    <t>32285003061701</t>
  </si>
  <si>
    <t>893335850</t>
  </si>
  <si>
    <t>32285003061719</t>
  </si>
  <si>
    <t>893323491</t>
  </si>
  <si>
    <t>PQ8097.A734 A7813 1993</t>
  </si>
  <si>
    <t>0                      PQ 8097000A  734                A  7813        1993</t>
  </si>
  <si>
    <t>Allende : a novel / Fernando Alegría ; translated by Frank Janney.</t>
  </si>
  <si>
    <t>Stanford, Calif. : Stanford University Press, 1993.</t>
  </si>
  <si>
    <t>2005-04-14</t>
  </si>
  <si>
    <t>1993-09-14</t>
  </si>
  <si>
    <t>220821034:eng</t>
  </si>
  <si>
    <t>25629014</t>
  </si>
  <si>
    <t>991002013199702656</t>
  </si>
  <si>
    <t>2261763950002656</t>
  </si>
  <si>
    <t>9780804719988</t>
  </si>
  <si>
    <t>32285001766608</t>
  </si>
  <si>
    <t>893347013</t>
  </si>
  <si>
    <t>PQ8097.A734 C48 1980</t>
  </si>
  <si>
    <t>0                      PQ 8097000A  734                C  48          1980</t>
  </si>
  <si>
    <t>The Chilean spring / Fernando Alegría ; translated by Stephen Fredman.</t>
  </si>
  <si>
    <t>Pittsburgh, Pa. : Latin American Literary Review Press, 1980.</t>
  </si>
  <si>
    <t>365415491:eng</t>
  </si>
  <si>
    <t>6298529</t>
  </si>
  <si>
    <t>991004958999702656</t>
  </si>
  <si>
    <t>2267835480002656</t>
  </si>
  <si>
    <t>9780935480009</t>
  </si>
  <si>
    <t>32285000683879</t>
  </si>
  <si>
    <t>893338323</t>
  </si>
  <si>
    <t>PQ8097.A76 E5 1969</t>
  </si>
  <si>
    <t>0                      PQ 8097000A  76                 E  5           1969</t>
  </si>
  <si>
    <t>La endemoniada de Santiago : novela / Braulio Arenas.</t>
  </si>
  <si>
    <t>Arenas, Braulio.</t>
  </si>
  <si>
    <t>Caracas : Monte Avila Editores, [1969]</t>
  </si>
  <si>
    <t>Colección Continente</t>
  </si>
  <si>
    <t>365615461:spa</t>
  </si>
  <si>
    <t>1267504</t>
  </si>
  <si>
    <t>991003759169702656</t>
  </si>
  <si>
    <t>2258301420002656</t>
  </si>
  <si>
    <t>32285004459938</t>
  </si>
  <si>
    <t>893711750</t>
  </si>
  <si>
    <t>PQ8097.B5 I3 1964</t>
  </si>
  <si>
    <t>0                      PQ 8097000B  5                  I  3           1964</t>
  </si>
  <si>
    <t>El ideal de un calavera.</t>
  </si>
  <si>
    <t>Blest Gana, Alberto, 1830-1920.</t>
  </si>
  <si>
    <t>Santiago de Chile, Zig-Zag, 1964.</t>
  </si>
  <si>
    <t>6. ed.</t>
  </si>
  <si>
    <t>Biblioteca de novelistas</t>
  </si>
  <si>
    <t>348705047:spa</t>
  </si>
  <si>
    <t>254284</t>
  </si>
  <si>
    <t>991001973909702656</t>
  </si>
  <si>
    <t>2269388620002656</t>
  </si>
  <si>
    <t>32285003061578</t>
  </si>
  <si>
    <t>893709720</t>
  </si>
  <si>
    <t>PQ8097.B5 L6</t>
  </si>
  <si>
    <t>0                      PQ 8097000B  5                  L  6</t>
  </si>
  <si>
    <t>El loco Estero : y Gladys Fairfield / Alberto Blest Gana ; prólogo de Hernán Díaz Arrieta (Alone).</t>
  </si>
  <si>
    <t>[Santiago de Chile] : Zig-Zag, [196-?]</t>
  </si>
  <si>
    <t>Colección universal</t>
  </si>
  <si>
    <t>3855470860:spa</t>
  </si>
  <si>
    <t>2140779</t>
  </si>
  <si>
    <t>991004027459702656</t>
  </si>
  <si>
    <t>2257765610002656</t>
  </si>
  <si>
    <t>32285003061610</t>
  </si>
  <si>
    <t>893687266</t>
  </si>
  <si>
    <t>PQ8097.B5 M3 1977</t>
  </si>
  <si>
    <t>0                      PQ 8097000B  5                  M  3           1977</t>
  </si>
  <si>
    <t>Martín Rivas : novela de costumbres político-sociales / Alberto Blest Gana ; prólogo, notas, y cronología, Jaime Concha.</t>
  </si>
  <si>
    <t>Biblioteca Ayacucho ; 17</t>
  </si>
  <si>
    <t>5342631044:spa</t>
  </si>
  <si>
    <t>3857065</t>
  </si>
  <si>
    <t>991003682969702656</t>
  </si>
  <si>
    <t>2262674770002656</t>
  </si>
  <si>
    <t>32285004412655</t>
  </si>
  <si>
    <t>893887750</t>
  </si>
  <si>
    <t>PQ8097.B5 P3 1968</t>
  </si>
  <si>
    <t>0                      PQ 8097000B  5                  P  3           1968</t>
  </si>
  <si>
    <t>El pago de las deudas / Alberto Blest Gana.</t>
  </si>
  <si>
    <t>[Santiago de Chile] : Zig-Zag, [1968]</t>
  </si>
  <si>
    <t>Coleccion Narradores chilenos</t>
  </si>
  <si>
    <t>21877922:eng</t>
  </si>
  <si>
    <t>1987032</t>
  </si>
  <si>
    <t>991003966999702656</t>
  </si>
  <si>
    <t>2267720770002656</t>
  </si>
  <si>
    <t>32285003061586</t>
  </si>
  <si>
    <t>893324771</t>
  </si>
  <si>
    <t>PQ8097.B67 U4 1991</t>
  </si>
  <si>
    <t>0                      PQ 8097000B  67                 U  4           1991</t>
  </si>
  <si>
    <t>La dulce niebla : lectura femenina y chilena de María Luisa Bombal / Susana Munnich.</t>
  </si>
  <si>
    <t>Munnich, Susana.</t>
  </si>
  <si>
    <t>Santiago de Chile : Editorial Universitaria, c1991.</t>
  </si>
  <si>
    <t>890990525:spa</t>
  </si>
  <si>
    <t>24468508</t>
  </si>
  <si>
    <t>991001937499702656</t>
  </si>
  <si>
    <t>2271118130002656</t>
  </si>
  <si>
    <t>32285002170610</t>
  </si>
  <si>
    <t>893427030</t>
  </si>
  <si>
    <t>PQ8097.D48 A6 1988</t>
  </si>
  <si>
    <t>0                      PQ 8097000D  48                 A  6           1988</t>
  </si>
  <si>
    <t>Obra poética / Humberto Díaz-Casanueva ; selección, prólogo, cronología y bibliografía, Ana María Del Re.</t>
  </si>
  <si>
    <t>Díaz Casanueva, Humberto, 1907-</t>
  </si>
  <si>
    <t>Caracas, Venezuela : Biblioteca Ayacucho, [1988].</t>
  </si>
  <si>
    <t>Biblioteca Ayacucho ; 131</t>
  </si>
  <si>
    <t>141649728:spa</t>
  </si>
  <si>
    <t>20846842</t>
  </si>
  <si>
    <t>991003681509702656</t>
  </si>
  <si>
    <t>2272042950002656</t>
  </si>
  <si>
    <t>9789802760619</t>
  </si>
  <si>
    <t>32285004412317</t>
  </si>
  <si>
    <t>893499572</t>
  </si>
  <si>
    <t>PQ8097.D617 O2</t>
  </si>
  <si>
    <t>0                      PQ 8097000D  617                O  2</t>
  </si>
  <si>
    <t>El obsceno pájaro de la noche : [novela].</t>
  </si>
  <si>
    <t>Barcelona, Seix Barral [1970]</t>
  </si>
  <si>
    <t>2004-09-23</t>
  </si>
  <si>
    <t>14255704:spa</t>
  </si>
  <si>
    <t>283929</t>
  </si>
  <si>
    <t>991002199679702656</t>
  </si>
  <si>
    <t>2265814630002656</t>
  </si>
  <si>
    <t>32285003364931</t>
  </si>
  <si>
    <t>893879609</t>
  </si>
  <si>
    <t>PQ8097.D617 Z59 1997</t>
  </si>
  <si>
    <t>0                      PQ 8097000D  617                Z  59          1997</t>
  </si>
  <si>
    <t>Donoso sin límites / Carlos Cerda.</t>
  </si>
  <si>
    <t>Cerda, Carlos.</t>
  </si>
  <si>
    <t>Santiago : LOM Ediciones, 1997.</t>
  </si>
  <si>
    <t>2. ed., ampliada.</t>
  </si>
  <si>
    <t>44925537:spa</t>
  </si>
  <si>
    <t>37655032</t>
  </si>
  <si>
    <t>991004027909702656</t>
  </si>
  <si>
    <t>2256113150002656</t>
  </si>
  <si>
    <t>9789562820202</t>
  </si>
  <si>
    <t>32285004689187</t>
  </si>
  <si>
    <t>893234961</t>
  </si>
  <si>
    <t>PQ8097.D617 Z62 1997</t>
  </si>
  <si>
    <t>0                      PQ 8097000D  617                Z  62          1997</t>
  </si>
  <si>
    <t>José Donoso : voces de la memoria / Esther Edwards.</t>
  </si>
  <si>
    <t>Edwards, Esther.</t>
  </si>
  <si>
    <t>Providencia, Santiago [Chile] : Editorial Sudamericana, [1997]</t>
  </si>
  <si>
    <t>[Colección Biografías y memorias]</t>
  </si>
  <si>
    <t>306861454:spa</t>
  </si>
  <si>
    <t>38574332</t>
  </si>
  <si>
    <t>991003721099702656</t>
  </si>
  <si>
    <t>2267973830002656</t>
  </si>
  <si>
    <t>32285004451562</t>
  </si>
  <si>
    <t>893342927</t>
  </si>
  <si>
    <t>PQ8097.D617 Z94 1981</t>
  </si>
  <si>
    <t>0                      PQ 8097000D  617                Z  94          1981</t>
  </si>
  <si>
    <t>The creative process in the works of José Donoso / edited by Guillermo I. Castillo-Feliú.</t>
  </si>
  <si>
    <t>Winthrop Symposium on Major Modern Writers (4th : 1981 : Winthrop College)</t>
  </si>
  <si>
    <t>[Rock Hill, S.C. : Winthrop College], c1982.</t>
  </si>
  <si>
    <t>Winthrop studies on major modern writers</t>
  </si>
  <si>
    <t>365519482:eng</t>
  </si>
  <si>
    <t>9539104</t>
  </si>
  <si>
    <t>991004027789702656</t>
  </si>
  <si>
    <t>2263317540002656</t>
  </si>
  <si>
    <t>32285004742820</t>
  </si>
  <si>
    <t>893417138</t>
  </si>
  <si>
    <t>PQ8097.H8 A844 1997</t>
  </si>
  <si>
    <t>0                      PQ 8097000H  8                  A  844         1997</t>
  </si>
  <si>
    <t>Epistolario / Vicente Huidobro, María Luisa Fernández ; selección, prólogo y notas, Pedro Pablo Zegers y Thomas Harris.</t>
  </si>
  <si>
    <t>Huidobro, Vicente, 1893-1948.</t>
  </si>
  <si>
    <t>[Santiago de Chile?] : DIBAM : LOM Ediciones : Archivo del Escritor, c1997.</t>
  </si>
  <si>
    <t>41365531:spa</t>
  </si>
  <si>
    <t>38753150</t>
  </si>
  <si>
    <t>991004028259702656</t>
  </si>
  <si>
    <t>2269550950002656</t>
  </si>
  <si>
    <t>32285004689245</t>
  </si>
  <si>
    <t>893228821</t>
  </si>
  <si>
    <t>PQ8097.H8 Z55</t>
  </si>
  <si>
    <t>0                      PQ 8097000H  8                  Z  55</t>
  </si>
  <si>
    <t>Huidoboro o la vocación poética.</t>
  </si>
  <si>
    <t>Bary, David.</t>
  </si>
  <si>
    <t>[Granada] Universidad de Granada, Consejo Superior de Investigaciones Científicas, 1963.</t>
  </si>
  <si>
    <t>Colección filológica ; 21</t>
  </si>
  <si>
    <t>1998-03-25</t>
  </si>
  <si>
    <t>23026749:spa</t>
  </si>
  <si>
    <t>2567892</t>
  </si>
  <si>
    <t>991004166419702656</t>
  </si>
  <si>
    <t>2255778150002656</t>
  </si>
  <si>
    <t>32285003061669</t>
  </si>
  <si>
    <t>893806743</t>
  </si>
  <si>
    <t>PQ8097.H8 Z57 1993</t>
  </si>
  <si>
    <t>0                      PQ 8097000H  8                  Z  57          1993</t>
  </si>
  <si>
    <t>Vicente Huidobro y el cubismo / Susana Benko.</t>
  </si>
  <si>
    <t>Benko, Susana.</t>
  </si>
  <si>
    <t>Caracas, Venezuela : Monte Avila Editores Latinoamericana : Fondo de Cultura Económica : Banco Provincial, 1993.</t>
  </si>
  <si>
    <t>32896649:spa</t>
  </si>
  <si>
    <t>30676056</t>
  </si>
  <si>
    <t>991003816709702656</t>
  </si>
  <si>
    <t>2264379970002656</t>
  </si>
  <si>
    <t>9789800104613</t>
  </si>
  <si>
    <t>32285004493655</t>
  </si>
  <si>
    <t>893441784</t>
  </si>
  <si>
    <t>PQ8097.H8 Z57 1993b</t>
  </si>
  <si>
    <t>0                      PQ 8097000H  8                  Z  57          1993b</t>
  </si>
  <si>
    <t>Caracas, Venezuela : Banco Provincial : Monte Avila Editores Latinoamericana ; Mexico, D.F. : Fondo de Cultura Económica, 1993.</t>
  </si>
  <si>
    <t>33502574</t>
  </si>
  <si>
    <t>991002575529702656</t>
  </si>
  <si>
    <t>2255239140002656</t>
  </si>
  <si>
    <t>9789681641764</t>
  </si>
  <si>
    <t>32285002609518</t>
  </si>
  <si>
    <t>893440287</t>
  </si>
  <si>
    <t>PQ8097.H8 Z58 1983</t>
  </si>
  <si>
    <t>0                      PQ 8097000H  8                  Z  58          1983</t>
  </si>
  <si>
    <t>El creacionismo de Vicente Huidobro en sus relaciones con la estética cubista / Estrella Busto Ogden.</t>
  </si>
  <si>
    <t>Busto Ogden, Estrella.</t>
  </si>
  <si>
    <t>Madrid : Playor, 1983.</t>
  </si>
  <si>
    <t>Colección Nova scholar</t>
  </si>
  <si>
    <t>355991417:spa</t>
  </si>
  <si>
    <t>10989332</t>
  </si>
  <si>
    <t>991000467899702656</t>
  </si>
  <si>
    <t>2257742680002656</t>
  </si>
  <si>
    <t>9788435903219</t>
  </si>
  <si>
    <t>32285002170636</t>
  </si>
  <si>
    <t>893502505</t>
  </si>
  <si>
    <t>PQ8097.H8 Z59 1980</t>
  </si>
  <si>
    <t>0                      PQ 8097000H  8                  Z  59          1980</t>
  </si>
  <si>
    <t>Poesía y poética de Vicente Huidobro / Mireya Camurati.</t>
  </si>
  <si>
    <t>Camurati, Mireya.</t>
  </si>
  <si>
    <t>Buenos Aires : F. García Cambeiro, c1980.</t>
  </si>
  <si>
    <t>Colección Estudios latinoamericanos ; 27</t>
  </si>
  <si>
    <t>5090497215:spa</t>
  </si>
  <si>
    <t>6795622</t>
  </si>
  <si>
    <t>991005041389702656</t>
  </si>
  <si>
    <t>2270117810002656</t>
  </si>
  <si>
    <t>32285002170511</t>
  </si>
  <si>
    <t>893260463</t>
  </si>
  <si>
    <t>PQ8097.L5 S82 1994</t>
  </si>
  <si>
    <t>0                      PQ 8097000L  5                  S  82          1994</t>
  </si>
  <si>
    <t>Sub-terra / Baldomero Lillo ; prólogo de Alfonso Calderón ; comentario de Hernán Poblete Varas.</t>
  </si>
  <si>
    <t>Lillo, Baldomero, 1867-1923.</t>
  </si>
  <si>
    <t>Santiago de Chile : Editorial Andrés Bello, 1994.</t>
  </si>
  <si>
    <t>Biblioteca Andrés Bello ; 19</t>
  </si>
  <si>
    <t>1996-11-21</t>
  </si>
  <si>
    <t>263582:spa</t>
  </si>
  <si>
    <t>29972926</t>
  </si>
  <si>
    <t>991002310209702656</t>
  </si>
  <si>
    <t>2269512460002656</t>
  </si>
  <si>
    <t>9789561311657</t>
  </si>
  <si>
    <t>32285002171683</t>
  </si>
  <si>
    <t>893245013</t>
  </si>
  <si>
    <t>PQ8097.N4 C17 1976</t>
  </si>
  <si>
    <t>0                      PQ 8097000N  4                  C  17          1976</t>
  </si>
  <si>
    <t>Canto general / Pablo Neruda ; prólogo y cronología, Fernando Alegría.</t>
  </si>
  <si>
    <t>[Caracas] : Biblioteca Ayacucho, [1976]</t>
  </si>
  <si>
    <t>Biblioteca Ayacucho ; 2</t>
  </si>
  <si>
    <t>46983:spa</t>
  </si>
  <si>
    <t>3857088</t>
  </si>
  <si>
    <t>991003683259702656</t>
  </si>
  <si>
    <t>2262660230002656</t>
  </si>
  <si>
    <t>32285004412770</t>
  </si>
  <si>
    <t>893881432</t>
  </si>
  <si>
    <t>PQ8097.N4 Z7157 2001</t>
  </si>
  <si>
    <t>0                      PQ 8097000N  4                  Z  7157        2001</t>
  </si>
  <si>
    <t>Pablo Neruda, los caminos de oriente / Edmundo Olivares Briones.</t>
  </si>
  <si>
    <t>Olivares Briones, Edmundo.</t>
  </si>
  <si>
    <t>Santiago [Chile] : LOM Ediciones, 2001.</t>
  </si>
  <si>
    <t>5091308185:spa</t>
  </si>
  <si>
    <t>45878503</t>
  </si>
  <si>
    <t>991004028019702656</t>
  </si>
  <si>
    <t>2256542140002656</t>
  </si>
  <si>
    <t>9789562823005</t>
  </si>
  <si>
    <t>32285004689211</t>
  </si>
  <si>
    <t>893712063</t>
  </si>
  <si>
    <t>PQ8097.N4 Z7158 2001</t>
  </si>
  <si>
    <t>0                      PQ 8097000N  4                  Z  7158        2001</t>
  </si>
  <si>
    <t>Pablo Neruda : los caminos del mundo / Edmundo Olivares Briones.</t>
  </si>
  <si>
    <t>2946051381:spa</t>
  </si>
  <si>
    <t>49821556</t>
  </si>
  <si>
    <t>991004027969702656</t>
  </si>
  <si>
    <t>2254702010002656</t>
  </si>
  <si>
    <t>9789562824200</t>
  </si>
  <si>
    <t>32285004689146</t>
  </si>
  <si>
    <t>893699747</t>
  </si>
  <si>
    <t>PQ8097.P3225 D4 1998</t>
  </si>
  <si>
    <t>0                      PQ 8097000P  3225               D  4           1998</t>
  </si>
  <si>
    <t>Décimas : autobiografía en verso / Violeta Parra ; presentadas por Pablo Neruda, Nicanor Parra y Pablo de Rokha.</t>
  </si>
  <si>
    <t>Parra, Violeta, 1917-1967.</t>
  </si>
  <si>
    <t>Santiago de Chile : Sudamericana, c1998.</t>
  </si>
  <si>
    <t>3901179720:spa</t>
  </si>
  <si>
    <t>44121874</t>
  </si>
  <si>
    <t>991003772679702656</t>
  </si>
  <si>
    <t>2272222490002656</t>
  </si>
  <si>
    <t>32285004484803</t>
  </si>
  <si>
    <t>893718050</t>
  </si>
  <si>
    <t>PQ8097.P7 A597 1989</t>
  </si>
  <si>
    <t>0                      PQ 8097000P  7                  A  597         1989</t>
  </si>
  <si>
    <t>Alsino / Pedro Prado ; comentario de Juan Antonio Massone.</t>
  </si>
  <si>
    <t>Prado, Pedro, 1886-1952.</t>
  </si>
  <si>
    <t>Santiago, Chile : Editorial Andres Bello, 1989.</t>
  </si>
  <si>
    <t xml:space="preserve">ch </t>
  </si>
  <si>
    <t>Biblioteca Andres Bello ; 68</t>
  </si>
  <si>
    <t>355626:spa</t>
  </si>
  <si>
    <t>23231610</t>
  </si>
  <si>
    <t>991001851649702656</t>
  </si>
  <si>
    <t>2268624370002656</t>
  </si>
  <si>
    <t>32285002194248</t>
  </si>
  <si>
    <t>893426926</t>
  </si>
  <si>
    <t>PQ8097.R782 V3</t>
  </si>
  <si>
    <t>0                      PQ 8097000R  782                V  3</t>
  </si>
  <si>
    <t>El vaso de leche y sus mejores cuentos.</t>
  </si>
  <si>
    <t>Rojas, Manuel, 1896-1973.</t>
  </si>
  <si>
    <t>Santiago, Chile, Editorial Nascimento, 1967.</t>
  </si>
  <si>
    <t>364582225:spa</t>
  </si>
  <si>
    <t>1138449</t>
  </si>
  <si>
    <t>991003565949702656</t>
  </si>
  <si>
    <t>2270451650002656</t>
  </si>
  <si>
    <t>32285003061842</t>
  </si>
  <si>
    <t>893868567</t>
  </si>
  <si>
    <t>PQ8097.R87 C6 2002</t>
  </si>
  <si>
    <t>0                      PQ 8097000R  87                 C  6           2002</t>
  </si>
  <si>
    <t>Cortejo y epinicio / David Rosenmann-Taub.</t>
  </si>
  <si>
    <t>Rosenmann Taub, David, 1927-</t>
  </si>
  <si>
    <t>Santiago : LOM Ediciones, 2002.</t>
  </si>
  <si>
    <t>2003-11-04</t>
  </si>
  <si>
    <t>52192088:spa</t>
  </si>
  <si>
    <t>52049454</t>
  </si>
  <si>
    <t>991004168829702656</t>
  </si>
  <si>
    <t>2268964140002656</t>
  </si>
  <si>
    <t>9789562824934</t>
  </si>
  <si>
    <t>32285004793690</t>
  </si>
  <si>
    <t>893888376</t>
  </si>
  <si>
    <t>PQ8097.T46 C7</t>
  </si>
  <si>
    <t>0                      PQ 8097000T  46                 C  7</t>
  </si>
  <si>
    <t>Cristián y yo. Prólogo de Mariano Latorre, ilustraciones de Romera.</t>
  </si>
  <si>
    <t>Halmar, Augusto d', 1882-1950.</t>
  </si>
  <si>
    <t>[Santiago de Chile] Nascimento, 1963.</t>
  </si>
  <si>
    <t>9772625:spa</t>
  </si>
  <si>
    <t>6730404</t>
  </si>
  <si>
    <t>991005031769702656</t>
  </si>
  <si>
    <t>2264408680002656</t>
  </si>
  <si>
    <t>32285003061859</t>
  </si>
  <si>
    <t>893430737</t>
  </si>
  <si>
    <t>PQ8098.29.K3 B54 1999</t>
  </si>
  <si>
    <t>0                      PQ 8098290K  3                  B  54          1999</t>
  </si>
  <si>
    <t>La boda del poeta / Antonio Skármeta.</t>
  </si>
  <si>
    <t>Skármeta, Antonio.</t>
  </si>
  <si>
    <t>Barcelona : Plaza &amp; Janés, 1999.</t>
  </si>
  <si>
    <t>2001-01-08</t>
  </si>
  <si>
    <t>8355367:spa</t>
  </si>
  <si>
    <t>47013325</t>
  </si>
  <si>
    <t>991003254999702656</t>
  </si>
  <si>
    <t>2261989920002656</t>
  </si>
  <si>
    <t>9788401012853</t>
  </si>
  <si>
    <t>32285004280615</t>
  </si>
  <si>
    <t>893617155</t>
  </si>
  <si>
    <t>PQ8098.29.K3 C55 2001</t>
  </si>
  <si>
    <t>0                      PQ 8098290K  3                  C  55          2001</t>
  </si>
  <si>
    <t>La chica del trombón / Antonio Skármeta.</t>
  </si>
  <si>
    <t>Barcelona : Plaza &amp; Janés, 2001.</t>
  </si>
  <si>
    <t>348300948:spa</t>
  </si>
  <si>
    <t>48041549</t>
  </si>
  <si>
    <t>991003805849702656</t>
  </si>
  <si>
    <t>2266340320002656</t>
  </si>
  <si>
    <t>9788401014659</t>
  </si>
  <si>
    <t>32285004488424</t>
  </si>
  <si>
    <t>893410725</t>
  </si>
  <si>
    <t>PQ8098.29.K3 S6 1983</t>
  </si>
  <si>
    <t>0                      PQ 8098290K  3                  S  6           1983</t>
  </si>
  <si>
    <t>Soñé que la nieve ardía / Antonio Skármeta.</t>
  </si>
  <si>
    <t>La Habana : Casa de las Americas, 1983.</t>
  </si>
  <si>
    <t>3414714:spa</t>
  </si>
  <si>
    <t>10596881</t>
  </si>
  <si>
    <t>991003758779702656</t>
  </si>
  <si>
    <t>2264716160002656</t>
  </si>
  <si>
    <t>32285004460027</t>
  </si>
  <si>
    <t>893410647</t>
  </si>
  <si>
    <t>PQ8179 .S5 1990</t>
  </si>
  <si>
    <t>0                      PQ 8179000S  5           1990</t>
  </si>
  <si>
    <t>Obra completa / José Asunción Silva ; ed. crítica, Héctor H. Orjuela, coordinador.</t>
  </si>
  <si>
    <t>Silva, José Asunción, 1865-1896.</t>
  </si>
  <si>
    <t>Nanterre, France : ALLCA XX, 1990.</t>
  </si>
  <si>
    <t>Colección Archivos ; 7</t>
  </si>
  <si>
    <t>2002-03-13</t>
  </si>
  <si>
    <t>1992-06-23</t>
  </si>
  <si>
    <t>3473865:spa</t>
  </si>
  <si>
    <t>22515625</t>
  </si>
  <si>
    <t>991001789149702656</t>
  </si>
  <si>
    <t>2265785950002656</t>
  </si>
  <si>
    <t>9788400070328</t>
  </si>
  <si>
    <t>32285001155893</t>
  </si>
  <si>
    <t>893340699</t>
  </si>
  <si>
    <t>PQ8179.C3 Z77</t>
  </si>
  <si>
    <t>0                      PQ 8179000C  3                  Z  77</t>
  </si>
  <si>
    <t>Tomás Carrasquilla / by Kurt L. Levy.</t>
  </si>
  <si>
    <t>Levy, Kurt L.</t>
  </si>
  <si>
    <t>Twayne's world authors series ; TWAS 546 : Colombia</t>
  </si>
  <si>
    <t>1996-11-20</t>
  </si>
  <si>
    <t>2908680750:eng</t>
  </si>
  <si>
    <t>5101867</t>
  </si>
  <si>
    <t>991004778389702656</t>
  </si>
  <si>
    <t>2259031980002656</t>
  </si>
  <si>
    <t>9780805763898</t>
  </si>
  <si>
    <t>32285000684117</t>
  </si>
  <si>
    <t>893344248</t>
  </si>
  <si>
    <t>PQ8179.I8 M3 1978</t>
  </si>
  <si>
    <t>0                      PQ 8179000I  8                  M  3           1978</t>
  </si>
  <si>
    <t>María / Jorge Isaacs ; prólogo, notas, y cronología, Gustavo Mejía.</t>
  </si>
  <si>
    <t>Isaacs, Jorge, 1837-1895.</t>
  </si>
  <si>
    <t>Biblioteca Ayacucho ; 34</t>
  </si>
  <si>
    <t>839884:spa</t>
  </si>
  <si>
    <t>6197752</t>
  </si>
  <si>
    <t>991003682659702656</t>
  </si>
  <si>
    <t>2264666430002656</t>
  </si>
  <si>
    <t>32285004412531</t>
  </si>
  <si>
    <t>893499573</t>
  </si>
  <si>
    <t>PQ8179.R54 V7 1976</t>
  </si>
  <si>
    <t>0                      PQ 8179000R  54                 V  7           1976</t>
  </si>
  <si>
    <t>La vorágine / José Eustasio Rivera ; prólogo y cronología, Juan Loveluck.</t>
  </si>
  <si>
    <t>Rivera, José Eustasio, 1888-1928.</t>
  </si>
  <si>
    <t>Biblioteca Ayacucho ; 4</t>
  </si>
  <si>
    <t>2004-09-17</t>
  </si>
  <si>
    <t>4163002067:spa</t>
  </si>
  <si>
    <t>6196982</t>
  </si>
  <si>
    <t>991003683219702656</t>
  </si>
  <si>
    <t>2266382290002656</t>
  </si>
  <si>
    <t>32285004412721</t>
  </si>
  <si>
    <t>893787618</t>
  </si>
  <si>
    <t>PQ8179.S37 O3 1978</t>
  </si>
  <si>
    <t>0                      PQ 8179000S  37                 O  3           1978</t>
  </si>
  <si>
    <t>El oficio de lector / Baldomero Sanín Cano ; compilación, prólogo y cronología, J. G. Cobo Borda.</t>
  </si>
  <si>
    <t>Sanín Cano, Baldomero, 1861-1957.</t>
  </si>
  <si>
    <t>Caracas, Venezuela : Biblioteca Ayacucho, [1978 or 1979]</t>
  </si>
  <si>
    <t>Biblioteca Ayacucho ; 48</t>
  </si>
  <si>
    <t>351596746:spa</t>
  </si>
  <si>
    <t>6196985</t>
  </si>
  <si>
    <t>991003682089702656</t>
  </si>
  <si>
    <t>2266383880002656</t>
  </si>
  <si>
    <t>9789802760985</t>
  </si>
  <si>
    <t>32285004412499</t>
  </si>
  <si>
    <t>893806088</t>
  </si>
  <si>
    <t>PQ8179.S5 P6 1963</t>
  </si>
  <si>
    <t>0                      PQ 8179000S  5                  P  6           1963</t>
  </si>
  <si>
    <t>Poesias completas. Seguidas de prosas selectas. Noticia biográfica por Camilo de Brigard Silva, prólogo de Miguel de Unamuno.</t>
  </si>
  <si>
    <t>Madrid, Aguilar [c1963]</t>
  </si>
  <si>
    <t>3rd ed.</t>
  </si>
  <si>
    <t>1998-04-01</t>
  </si>
  <si>
    <t>4918536450:spa</t>
  </si>
  <si>
    <t>358796</t>
  </si>
  <si>
    <t>991002474089702656</t>
  </si>
  <si>
    <t>2265989280002656</t>
  </si>
  <si>
    <t>32285003061974</t>
  </si>
  <si>
    <t>893316849</t>
  </si>
  <si>
    <t>PQ8179.S5 Z78 1978</t>
  </si>
  <si>
    <t>0                      PQ 8179000S  5                  Z  78          1978</t>
  </si>
  <si>
    <t>José Asunción Silva / Betty Tyree Osiek. --</t>
  </si>
  <si>
    <t>Osiek, Betty Tyree, 1931-</t>
  </si>
  <si>
    <t>Twayne's world authors series ; TWAS no. 505 : Colombia</t>
  </si>
  <si>
    <t>2847531924:eng</t>
  </si>
  <si>
    <t>4003975</t>
  </si>
  <si>
    <t>991004563639702656</t>
  </si>
  <si>
    <t>2267744940002656</t>
  </si>
  <si>
    <t>9780805763461</t>
  </si>
  <si>
    <t>32285000684133</t>
  </si>
  <si>
    <t>893350162</t>
  </si>
  <si>
    <t>PQ8180.1.R137 R57 2003</t>
  </si>
  <si>
    <t>0                      PQ 8180100R  137                R  57          2003</t>
  </si>
  <si>
    <t>La risa del muerto / Gustavo Arango.</t>
  </si>
  <si>
    <t>Arango, Gustavo, 1964-</t>
  </si>
  <si>
    <t>Santo Domingo, República Dominicana : Editora Nacional, c2003.</t>
  </si>
  <si>
    <t>Colección Literaria los premios</t>
  </si>
  <si>
    <t>351655670:spa</t>
  </si>
  <si>
    <t>54047879</t>
  </si>
  <si>
    <t>991004209449702656</t>
  </si>
  <si>
    <t>2257682320002656</t>
  </si>
  <si>
    <t>9789993486749</t>
  </si>
  <si>
    <t>32285004637657</t>
  </si>
  <si>
    <t>893775769</t>
  </si>
  <si>
    <t>PQ8180.1.T5 O5 1979</t>
  </si>
  <si>
    <t>0                      PQ 8180100T  5                  O  5           1979</t>
  </si>
  <si>
    <t>Onírodas : libro I, II, III, IV / Andrés Athilano.</t>
  </si>
  <si>
    <t>Athilano, Andrés.</t>
  </si>
  <si>
    <t>Cúcuta : [s.n.], 1979</t>
  </si>
  <si>
    <t>234403957:spa</t>
  </si>
  <si>
    <t>7957105</t>
  </si>
  <si>
    <t>991003679259702656</t>
  </si>
  <si>
    <t>2269392040002656</t>
  </si>
  <si>
    <t>32285004411533</t>
  </si>
  <si>
    <t>893240468</t>
  </si>
  <si>
    <t>PQ8180.13.A88 V54 1973</t>
  </si>
  <si>
    <t>0                      PQ 8180130A  88                 V  54          1973</t>
  </si>
  <si>
    <t>Un viernes así : relatos / Marina Castro.</t>
  </si>
  <si>
    <t>Castro, Marina, 1939-</t>
  </si>
  <si>
    <t>Caracas : Monte Avila, [1973].</t>
  </si>
  <si>
    <t>Colección Donaire</t>
  </si>
  <si>
    <t>2002-08-20</t>
  </si>
  <si>
    <t>2002-08-13</t>
  </si>
  <si>
    <t>366208390:spa</t>
  </si>
  <si>
    <t>1725746</t>
  </si>
  <si>
    <t>991003858029702656</t>
  </si>
  <si>
    <t>2269863340002656</t>
  </si>
  <si>
    <t>32285004630561</t>
  </si>
  <si>
    <t>893318492</t>
  </si>
  <si>
    <t>PQ8180.13.E625 C7 1979</t>
  </si>
  <si>
    <t>0                      PQ 8180130E  625                C  7           1979</t>
  </si>
  <si>
    <t>Credo : poemas / Gloria Cepeda Vargas.</t>
  </si>
  <si>
    <t>Cepeda Vargas, Gloria.</t>
  </si>
  <si>
    <t>[Caracas : Cepeda Vargas, 1979]</t>
  </si>
  <si>
    <t>2003-05-06</t>
  </si>
  <si>
    <t>22941248:spa</t>
  </si>
  <si>
    <t>21707330</t>
  </si>
  <si>
    <t>991004046259702656</t>
  </si>
  <si>
    <t>2267028070002656</t>
  </si>
  <si>
    <t>32285004632211</t>
  </si>
  <si>
    <t>893506302</t>
  </si>
  <si>
    <t>PQ8180.15.S36 N33 1991</t>
  </si>
  <si>
    <t>0                      PQ 8180150S  36                 N  33          1991</t>
  </si>
  <si>
    <t>Nadaísmo crónico y demás epidemias / Eduardo Escobar.</t>
  </si>
  <si>
    <t>Escobar, Eduardo, 1943-</t>
  </si>
  <si>
    <t>Santa Fé de Bogotá, Colombia : Arango Editores, 1991.</t>
  </si>
  <si>
    <t>Testimonio</t>
  </si>
  <si>
    <t>32823357:spa</t>
  </si>
  <si>
    <t>30671361</t>
  </si>
  <si>
    <t>991003845949702656</t>
  </si>
  <si>
    <t>2263212050002656</t>
  </si>
  <si>
    <t>9789582709013</t>
  </si>
  <si>
    <t>32285004499728</t>
  </si>
  <si>
    <t>893518926</t>
  </si>
  <si>
    <t>PQ8180.17.A73 C5345 1974</t>
  </si>
  <si>
    <t>0                      PQ 8180170A  73                 C  5345        1974</t>
  </si>
  <si>
    <t>Cien años de soledad : una interpretación / Josefina Ludmer.</t>
  </si>
  <si>
    <t>Ludmer, Josefina.</t>
  </si>
  <si>
    <t>Buenos Aires : Editorial Tiempo Contemporáneo, [1974]</t>
  </si>
  <si>
    <t>[2. ed.]</t>
  </si>
  <si>
    <t>Trabajo crítico</t>
  </si>
  <si>
    <t>2520257:spa</t>
  </si>
  <si>
    <t>1679210</t>
  </si>
  <si>
    <t>991003757799702656</t>
  </si>
  <si>
    <t>2270123960002656</t>
  </si>
  <si>
    <t>32285004459607</t>
  </si>
  <si>
    <t>893787736</t>
  </si>
  <si>
    <t>PQ8180.17.A73 Z57</t>
  </si>
  <si>
    <t>0                      PQ 8180170A  73                 Z  57</t>
  </si>
  <si>
    <t>El mundo mítico de Gabriel García Márquez.</t>
  </si>
  <si>
    <t>Arnau, Carme, 1944-</t>
  </si>
  <si>
    <t>[Barcelona] : Edic. Peninsula, [1971]</t>
  </si>
  <si>
    <t>Ediciones de bolsillo ; 136</t>
  </si>
  <si>
    <t>1992-06-11</t>
  </si>
  <si>
    <t>8908217123:spa</t>
  </si>
  <si>
    <t>279630</t>
  </si>
  <si>
    <t>991002183979702656</t>
  </si>
  <si>
    <t>2261712970002656</t>
  </si>
  <si>
    <t>32285001131019</t>
  </si>
  <si>
    <t>893427297</t>
  </si>
  <si>
    <t>PQ8180.17.A73 Z68 1970</t>
  </si>
  <si>
    <t>0                      PQ 8180170A  73                 Z  68          1970</t>
  </si>
  <si>
    <t>García Márquez ; o, El olvidado arte de contar / Ricardo Gullon.</t>
  </si>
  <si>
    <t>Madrid : Taurus Ediciones, 1970.</t>
  </si>
  <si>
    <t>Cuadernos Taurus ; 93</t>
  </si>
  <si>
    <t>1260382:spa</t>
  </si>
  <si>
    <t>203641</t>
  </si>
  <si>
    <t>991004509349702656</t>
  </si>
  <si>
    <t>2256048600002656</t>
  </si>
  <si>
    <t>32285005029227</t>
  </si>
  <si>
    <t>893325457</t>
  </si>
  <si>
    <t>PQ8180.17.A73 Z737 2000</t>
  </si>
  <si>
    <t>0                      PQ 8180170A  73                 Z  737         2000</t>
  </si>
  <si>
    <t>Aquellos tiempos con Gabo / Plinio Apuleyo Mendoza.</t>
  </si>
  <si>
    <t>Mendoza, Plinio Apuleyo.</t>
  </si>
  <si>
    <t>Barcelona : Plaza &amp; Janés Editores, 2000.</t>
  </si>
  <si>
    <t>12995321:spa</t>
  </si>
  <si>
    <t>44989711</t>
  </si>
  <si>
    <t>991003835959702656</t>
  </si>
  <si>
    <t>2272113740002656</t>
  </si>
  <si>
    <t>9788401013256</t>
  </si>
  <si>
    <t>32285004498878</t>
  </si>
  <si>
    <t>893353060</t>
  </si>
  <si>
    <t>PQ8180.17.A73 Z9 1971</t>
  </si>
  <si>
    <t>0                      PQ 8180170A  73                 Z  9           1971</t>
  </si>
  <si>
    <t>Garcaia Maarquez : historia de un deicidio / Mario Vargas Llosa.</t>
  </si>
  <si>
    <t>Vargas Llosa, Mario, 1936-</t>
  </si>
  <si>
    <t>Barcelona : Barral Editores, 1971.</t>
  </si>
  <si>
    <t>Breve biblioteca de respuesta ; 20</t>
  </si>
  <si>
    <t>1932934:spa</t>
  </si>
  <si>
    <t>1011301</t>
  </si>
  <si>
    <t>991004338589702656</t>
  </si>
  <si>
    <t>2255283780002656</t>
  </si>
  <si>
    <t>32285004928700</t>
  </si>
  <si>
    <t>893343715</t>
  </si>
  <si>
    <t>PQ8180.17.O483 H57 2006</t>
  </si>
  <si>
    <t>0                      PQ 8180170O  483                H  57          2006</t>
  </si>
  <si>
    <t>La historia de Horacio / Tomás González.</t>
  </si>
  <si>
    <t>González, Tomás, 1950-</t>
  </si>
  <si>
    <t>Santa Fé de Bogotá : Grupo Editorial Norma, 2006.</t>
  </si>
  <si>
    <t>2006</t>
  </si>
  <si>
    <t>La otra orilla</t>
  </si>
  <si>
    <t>2009-02-03</t>
  </si>
  <si>
    <t>368332654:spa</t>
  </si>
  <si>
    <t>77514265</t>
  </si>
  <si>
    <t>991005285829702656</t>
  </si>
  <si>
    <t>2267950410002656</t>
  </si>
  <si>
    <t>9789580492641</t>
  </si>
  <si>
    <t>32285005501845</t>
  </si>
  <si>
    <t>893320383</t>
  </si>
  <si>
    <t>PQ8180.28.E7255 D45 2004</t>
  </si>
  <si>
    <t>0                      PQ 8180280E  7255               D  45          2004</t>
  </si>
  <si>
    <t>Delirio / Laura Restrepo.</t>
  </si>
  <si>
    <t>Restrepo, Laura.</t>
  </si>
  <si>
    <t>Bogotá, Colombia : Alfaguara, 2004.</t>
  </si>
  <si>
    <t>2006-03-22</t>
  </si>
  <si>
    <t>2006-03-08</t>
  </si>
  <si>
    <t>4918724862:spa</t>
  </si>
  <si>
    <t>55627716</t>
  </si>
  <si>
    <t>991004762579702656</t>
  </si>
  <si>
    <t>2255825750002656</t>
  </si>
  <si>
    <t>9789587041453</t>
  </si>
  <si>
    <t>32285005166821</t>
  </si>
  <si>
    <t>893594069</t>
  </si>
  <si>
    <t>PQ8180.28.O7 E38 2007</t>
  </si>
  <si>
    <t>0                      PQ 8180280O  7                  E  38          2007</t>
  </si>
  <si>
    <t>Los ejércitos / Evelio Rosero.</t>
  </si>
  <si>
    <t>Rosero Diago, Evelio, 1958-</t>
  </si>
  <si>
    <t>México, D.F. : Tusquets Editores México, 2007.</t>
  </si>
  <si>
    <t>2007</t>
  </si>
  <si>
    <t>Colección Andanzas ; 629</t>
  </si>
  <si>
    <t>2008-01-17</t>
  </si>
  <si>
    <t>142146465:spa</t>
  </si>
  <si>
    <t>182956574</t>
  </si>
  <si>
    <t>991005173679702656</t>
  </si>
  <si>
    <t>2255822390002656</t>
  </si>
  <si>
    <t>9789706991676</t>
  </si>
  <si>
    <t>32285005378897</t>
  </si>
  <si>
    <t>893424672</t>
  </si>
  <si>
    <t>PQ8220.23.A48 A53 2000</t>
  </si>
  <si>
    <t>0                      PQ 8220230A  48                 A  53          2000</t>
  </si>
  <si>
    <t>A las puertas del infierno / Victor Guillermo Malta.</t>
  </si>
  <si>
    <t>Malta, Victor Guillermo.</t>
  </si>
  <si>
    <t>New York : Victory Editorial, 2000.</t>
  </si>
  <si>
    <t>2001-01-03</t>
  </si>
  <si>
    <t>34874445:spa</t>
  </si>
  <si>
    <t>45146899</t>
  </si>
  <si>
    <t>991003364709702656</t>
  </si>
  <si>
    <t>2264572100002656</t>
  </si>
  <si>
    <t>9780970006400</t>
  </si>
  <si>
    <t>32285004278700</t>
  </si>
  <si>
    <t>893692664</t>
  </si>
  <si>
    <t>PQ8220.28.I9 C8 1979</t>
  </si>
  <si>
    <t>0                      PQ 8220280I  9                  C  8           1979</t>
  </si>
  <si>
    <t>Cuando maduren los mangos : novela / Vladimiro Rivas.</t>
  </si>
  <si>
    <t>Rivas, Vladimiro, 1935-</t>
  </si>
  <si>
    <t>Caracas : Estudio 70, 1979.</t>
  </si>
  <si>
    <t>Colección Nueva narrativa</t>
  </si>
  <si>
    <t>2385577:spa</t>
  </si>
  <si>
    <t>26076777</t>
  </si>
  <si>
    <t>991003818559702656</t>
  </si>
  <si>
    <t>2262485780002656</t>
  </si>
  <si>
    <t>32285004494067</t>
  </si>
  <si>
    <t>893592920</t>
  </si>
  <si>
    <t>PQ8259.R56 Y636 1976</t>
  </si>
  <si>
    <t>0                      PQ 8259000R  56                 Y  636         1976</t>
  </si>
  <si>
    <t>Los dictadores latinoamericanos / Angel Rama.</t>
  </si>
  <si>
    <t>México : Fondo de Cultura Econaomica, c1976.</t>
  </si>
  <si>
    <t>Colección Testimonios del Fondo ; 42</t>
  </si>
  <si>
    <t>351311459:spa</t>
  </si>
  <si>
    <t>3191018</t>
  </si>
  <si>
    <t>991004339789702656</t>
  </si>
  <si>
    <t>2255184490002656</t>
  </si>
  <si>
    <t>32285004929633</t>
  </si>
  <si>
    <t>893718792</t>
  </si>
  <si>
    <t>PQ8403 .A4</t>
  </si>
  <si>
    <t>0                      PQ 8403000A  4</t>
  </si>
  <si>
    <t>The modern short story in Peru [by] Earl M. Aldrich, Jr.</t>
  </si>
  <si>
    <t>Aldrich, Earl M.</t>
  </si>
  <si>
    <t>Madison, University of Wisconsin Press, 1966.</t>
  </si>
  <si>
    <t>2001-10-17</t>
  </si>
  <si>
    <t>1500314:eng</t>
  </si>
  <si>
    <t>347619</t>
  </si>
  <si>
    <t>991002432539702656</t>
  </si>
  <si>
    <t>2272685990002656</t>
  </si>
  <si>
    <t>32285003062105</t>
  </si>
  <si>
    <t>893804606</t>
  </si>
  <si>
    <t>PQ8407.V56 M34 1993</t>
  </si>
  <si>
    <t>0                      PQ 8407000V  56                 M  34          1993</t>
  </si>
  <si>
    <t>La retórica de la violencia en tres novelas peruanas / Ismael P. Márquez.</t>
  </si>
  <si>
    <t>Márquez, Ismael P.</t>
  </si>
  <si>
    <t>New York : P. Lang, c1994.</t>
  </si>
  <si>
    <t>University of Texas studies in contemporary Spanish-American fiction, 0888-8787 ; v. 7</t>
  </si>
  <si>
    <t>1995-08-16</t>
  </si>
  <si>
    <t>352612966:spa</t>
  </si>
  <si>
    <t>26307768</t>
  </si>
  <si>
    <t>991002057409702656</t>
  </si>
  <si>
    <t>2264876490002656</t>
  </si>
  <si>
    <t>9780820419749</t>
  </si>
  <si>
    <t>32285002077658</t>
  </si>
  <si>
    <t>893510241</t>
  </si>
  <si>
    <t>PQ8497.A56 M8 1978</t>
  </si>
  <si>
    <t>0                      PQ 8497000A  56                 M  8           1978</t>
  </si>
  <si>
    <t>El mundo es ancho y ajeno / Ciro Alegría ; prólogo, notas y cronología, Antonio Cornejo Polar.</t>
  </si>
  <si>
    <t>Alegría, Ciro, 1909-1967.</t>
  </si>
  <si>
    <t>Caracas : Biblioteca Ayacucho, [1978]</t>
  </si>
  <si>
    <t>Biblioteca Ayacucho ; 41</t>
  </si>
  <si>
    <t>1573995:spa</t>
  </si>
  <si>
    <t>6196863</t>
  </si>
  <si>
    <t>991003682189702656</t>
  </si>
  <si>
    <t>2266423890002656</t>
  </si>
  <si>
    <t>32285004412515</t>
  </si>
  <si>
    <t>893627704</t>
  </si>
  <si>
    <t>PQ8497.A56 P3 1963</t>
  </si>
  <si>
    <t>0                      PQ 8497000A  56                 P  3           1963</t>
  </si>
  <si>
    <t>Los perros hambrientos / Ciro Alegría.</t>
  </si>
  <si>
    <t>[Lima] : Ediciones Nuevo Mundo, [1963]</t>
  </si>
  <si>
    <t>Escritores latinoamericanos</t>
  </si>
  <si>
    <t>2002-05-01</t>
  </si>
  <si>
    <t>5088560:spa</t>
  </si>
  <si>
    <t>6451218</t>
  </si>
  <si>
    <t>991003803739702656</t>
  </si>
  <si>
    <t>2260187330002656</t>
  </si>
  <si>
    <t>32285004485263</t>
  </si>
  <si>
    <t>893699434</t>
  </si>
  <si>
    <t>PQ8497.A65 R5 1998</t>
  </si>
  <si>
    <t>0                      PQ 8497000A  65                 R  5           1998</t>
  </si>
  <si>
    <t>Los ríos profundos / José María Arguedas.</t>
  </si>
  <si>
    <t>Arguedas, José María.</t>
  </si>
  <si>
    <t>Buenos Aires, Argentina : Losada, c1998.</t>
  </si>
  <si>
    <t>3373065729:spa</t>
  </si>
  <si>
    <t>42817066</t>
  </si>
  <si>
    <t>991003253479702656</t>
  </si>
  <si>
    <t>2257457440002656</t>
  </si>
  <si>
    <t>9789500362474</t>
  </si>
  <si>
    <t>32285003760047</t>
  </si>
  <si>
    <t>893428599</t>
  </si>
  <si>
    <t>PQ8497.A65 Z74 1973</t>
  </si>
  <si>
    <t>0                      PQ 8497000A  65                 Z  74          1973</t>
  </si>
  <si>
    <t>La experiencia americana de José María Arguedas / Gladys C. Marín.</t>
  </si>
  <si>
    <t>Marín, Gladys C.</t>
  </si>
  <si>
    <t>Buenos Aires : F. García Cambeiro, c1973.</t>
  </si>
  <si>
    <t>Colección Estudios latinoamericanos ; 7</t>
  </si>
  <si>
    <t>365417997:spa</t>
  </si>
  <si>
    <t>1084782</t>
  </si>
  <si>
    <t>991003846349702656</t>
  </si>
  <si>
    <t>2268933070002656</t>
  </si>
  <si>
    <t>32285004499843</t>
  </si>
  <si>
    <t>893531669</t>
  </si>
  <si>
    <t>PQ8497.M3 A9 1974</t>
  </si>
  <si>
    <t>0                      PQ 8497000M  3                  A  9           1974</t>
  </si>
  <si>
    <t>Aves sin nido / Clorinda Matto de Turner ; [prólogo: Antonio Cornejo Polar]</t>
  </si>
  <si>
    <t>Matto de Turner, Clorinda, 1852-1909.</t>
  </si>
  <si>
    <t>La Habana : Casa de las Américas, 1974.</t>
  </si>
  <si>
    <t>Colección Literatura latinoamericana ; 71</t>
  </si>
  <si>
    <t>597058:spa</t>
  </si>
  <si>
    <t>1898219</t>
  </si>
  <si>
    <t>991003762789702656</t>
  </si>
  <si>
    <t>2264223530002656</t>
  </si>
  <si>
    <t>32285004460894</t>
  </si>
  <si>
    <t>893711753</t>
  </si>
  <si>
    <t>PQ8498.12.R94 A76 1999</t>
  </si>
  <si>
    <t>0                      PQ 8498120R  94                 A  76          1999</t>
  </si>
  <si>
    <t>La amigdalitis de Tarzán / Alfredo Bryce Echenique.</t>
  </si>
  <si>
    <t>Bryce Echenique, Alfredo, 1939-</t>
  </si>
  <si>
    <t>México, D.F. : Alfaguara, c1999.</t>
  </si>
  <si>
    <t>35809805:spa</t>
  </si>
  <si>
    <t>43333508</t>
  </si>
  <si>
    <t>991003253689702656</t>
  </si>
  <si>
    <t>2269456690002656</t>
  </si>
  <si>
    <t>9789681905620</t>
  </si>
  <si>
    <t>32285003763652</t>
  </si>
  <si>
    <t>893893538</t>
  </si>
  <si>
    <t>PQ8498.12.R94 Z8 1994</t>
  </si>
  <si>
    <t>0                      PQ 8498120R  94                 Z  8           1994</t>
  </si>
  <si>
    <t>El hilo del habla : la narrativa de Alfredo Bryce Echenique / Julio Ortega.</t>
  </si>
  <si>
    <t>Guadalajara, Jalisco, México : Universidad de Guadalajara, 1994.</t>
  </si>
  <si>
    <t>1997-03-14</t>
  </si>
  <si>
    <t>351614040:spa</t>
  </si>
  <si>
    <t>31197378</t>
  </si>
  <si>
    <t>991002400079702656</t>
  </si>
  <si>
    <t>2261898030002656</t>
  </si>
  <si>
    <t>9789688954133</t>
  </si>
  <si>
    <t>32285002440054</t>
  </si>
  <si>
    <t>893886230</t>
  </si>
  <si>
    <t>PQ8498.21.O76 O73 1995</t>
  </si>
  <si>
    <t>0                      PQ 8498210O  76                 O  73          1995</t>
  </si>
  <si>
    <t>Oraciones para un dios ausente / Martha Kornblith.</t>
  </si>
  <si>
    <t>Kornblith, Marta, 1959-1997.</t>
  </si>
  <si>
    <t>Caracas : Monte Avila Editores Latinoamericana, 1995.</t>
  </si>
  <si>
    <t>Colección Las Formas del fuego. Poesía</t>
  </si>
  <si>
    <t>148027700:spa</t>
  </si>
  <si>
    <t>34477588</t>
  </si>
  <si>
    <t>991003845649702656</t>
  </si>
  <si>
    <t>2264221510002656</t>
  </si>
  <si>
    <t>9789800108666</t>
  </si>
  <si>
    <t>32285004499611</t>
  </si>
  <si>
    <t>893324602</t>
  </si>
  <si>
    <t>PQ8498.32.A65 Z95 2001</t>
  </si>
  <si>
    <t>0                      PQ 8498320A  65                 Z  95          2001</t>
  </si>
  <si>
    <t>Vargas Llosa : otra historia de un deicidio / Raymond L. Williams.</t>
  </si>
  <si>
    <t>Col. del Valle, México, D.F. : Taurus : Universidad Nacional Autónoma de México, 2001.</t>
  </si>
  <si>
    <t>35972412:spa</t>
  </si>
  <si>
    <t>47767074</t>
  </si>
  <si>
    <t>991003924539702656</t>
  </si>
  <si>
    <t>2254849890002656</t>
  </si>
  <si>
    <t>9789681908140</t>
  </si>
  <si>
    <t>32285004661129</t>
  </si>
  <si>
    <t>893794270</t>
  </si>
  <si>
    <t>PQ8515 .F8</t>
  </si>
  <si>
    <t>0                      PQ 8515000F  8</t>
  </si>
  <si>
    <t>Antología y crítica de literatura uruguaya ... Prólogo de Raúl Montero Bustamante.</t>
  </si>
  <si>
    <t>Fusco Sansone, Nicolás, 1904- editor.</t>
  </si>
  <si>
    <t>Montevideo, C. García &amp; cía., 1940.</t>
  </si>
  <si>
    <t>1940</t>
  </si>
  <si>
    <t xml:space="preserve">uy </t>
  </si>
  <si>
    <t>Colección Cultura</t>
  </si>
  <si>
    <t>20651108:spa</t>
  </si>
  <si>
    <t>6014196</t>
  </si>
  <si>
    <t>991004914179702656</t>
  </si>
  <si>
    <t>2267075230002656</t>
  </si>
  <si>
    <t>32285003062170</t>
  </si>
  <si>
    <t>893260314</t>
  </si>
  <si>
    <t>PQ8519.B292 G7 1980</t>
  </si>
  <si>
    <t>0                      PQ 8519000B  292                G  7           1980</t>
  </si>
  <si>
    <t>Gracias por el fuego / Mario Benedetti.</t>
  </si>
  <si>
    <t>Benedetti, Mario, 1920-2009.</t>
  </si>
  <si>
    <t>Bogotá : La Oveja Negra, 1980.</t>
  </si>
  <si>
    <t>1a ed. colombiana.</t>
  </si>
  <si>
    <t>4790754083:spa</t>
  </si>
  <si>
    <t>8869286</t>
  </si>
  <si>
    <t>991003677889702656</t>
  </si>
  <si>
    <t>2254912400002656</t>
  </si>
  <si>
    <t>32285004411202</t>
  </si>
  <si>
    <t>893598843</t>
  </si>
  <si>
    <t>PQ8519.H34 Z64 1977</t>
  </si>
  <si>
    <t>0                      PQ 8519000H  34                 Z  64          1977</t>
  </si>
  <si>
    <t>Felisberto Hernández ante la crítica actual / Alain Sicard [editor].</t>
  </si>
  <si>
    <t>Caracas : Monte Avila Editores, [1977]</t>
  </si>
  <si>
    <t>13286766:spa</t>
  </si>
  <si>
    <t>3966361</t>
  </si>
  <si>
    <t>991003757689702656</t>
  </si>
  <si>
    <t>2263871950002656</t>
  </si>
  <si>
    <t>32285004459615</t>
  </si>
  <si>
    <t>893435393</t>
  </si>
  <si>
    <t>PQ8519.O59 C78 1987</t>
  </si>
  <si>
    <t>0                      PQ 8519000O  59                 C  78          1987</t>
  </si>
  <si>
    <t>Cuando entonces / Juan Carlos Onetti.</t>
  </si>
  <si>
    <t>Onetti, Juan Carlos, 1909-1994.</t>
  </si>
  <si>
    <t>Madrid : Mondadori, c1987.</t>
  </si>
  <si>
    <t>Narrativa Mondadori</t>
  </si>
  <si>
    <t>1993-03-22</t>
  </si>
  <si>
    <t>148036927:spa</t>
  </si>
  <si>
    <t>17792666</t>
  </si>
  <si>
    <t>991001264019702656</t>
  </si>
  <si>
    <t>2269815350002656</t>
  </si>
  <si>
    <t>9788439712008</t>
  </si>
  <si>
    <t>32285001497865</t>
  </si>
  <si>
    <t>893709143</t>
  </si>
  <si>
    <t>PQ8519.O59 P34 1978</t>
  </si>
  <si>
    <t>0                      PQ 8519000O  59                 P  34          1978</t>
  </si>
  <si>
    <t>Para una tumba sin nombre / Juan Carlos Onetti ; estudio preliminar por Josefina Ludmer.</t>
  </si>
  <si>
    <t>Barcelona : EDHASA, c1978.</t>
  </si>
  <si>
    <t>Pocket Edhasa ; 17</t>
  </si>
  <si>
    <t>148038627:spa</t>
  </si>
  <si>
    <t>4666339</t>
  </si>
  <si>
    <t>991004700509702656</t>
  </si>
  <si>
    <t>2257945620002656</t>
  </si>
  <si>
    <t>9788435002134</t>
  </si>
  <si>
    <t>32285000684331</t>
  </si>
  <si>
    <t>893624985</t>
  </si>
  <si>
    <t>PQ8519.O59 Z76 1977</t>
  </si>
  <si>
    <t>0                      PQ 8519000O  59                 Z  76          1977</t>
  </si>
  <si>
    <t>Onetti : los procesos de construcciaon del relato / Josefina Ludmer.</t>
  </si>
  <si>
    <t>Buenos Aires : Editorial Sudamericana, c1977.</t>
  </si>
  <si>
    <t>796697754:spa</t>
  </si>
  <si>
    <t>3382009</t>
  </si>
  <si>
    <t>991004339469702656</t>
  </si>
  <si>
    <t>2267325870002656</t>
  </si>
  <si>
    <t>32285004929344</t>
  </si>
  <si>
    <t>893693825</t>
  </si>
  <si>
    <t>PQ8519.Q5 C8 1968</t>
  </si>
  <si>
    <t>0                      PQ 8519000Q  5                  C  8           1968</t>
  </si>
  <si>
    <t>Cuentos / Horacio Quiroga ; selección según orden cronológico, estudio preliminar y notas crtíticas e informativas por Raimundo Lazo.</t>
  </si>
  <si>
    <t>Quiroga, Horacio, 1878-1937.</t>
  </si>
  <si>
    <t>México : Editorial Porrúa, 1968.</t>
  </si>
  <si>
    <t>Colección "Sepan cuantos" ; 97</t>
  </si>
  <si>
    <t>1862911695:spa</t>
  </si>
  <si>
    <t>755305</t>
  </si>
  <si>
    <t>991003230539702656</t>
  </si>
  <si>
    <t>2267160290002656</t>
  </si>
  <si>
    <t>9789684320772</t>
  </si>
  <si>
    <t>32285003062253</t>
  </si>
  <si>
    <t>893323893</t>
  </si>
  <si>
    <t>PQ8519.V4 Z68</t>
  </si>
  <si>
    <t>0                      PQ 8519000V  4                  Z  68</t>
  </si>
  <si>
    <t>Javier de Viana / by John F. Garganigo.</t>
  </si>
  <si>
    <t>Garganigo, John F., 1937-</t>
  </si>
  <si>
    <t>New York : Twayne, [1972]</t>
  </si>
  <si>
    <t>Twayne's world authors series, TWAS 226. Uruguay</t>
  </si>
  <si>
    <t>3769039259:eng</t>
  </si>
  <si>
    <t>533483</t>
  </si>
  <si>
    <t>991002936429702656</t>
  </si>
  <si>
    <t>2264370320002656</t>
  </si>
  <si>
    <t>32285000684356</t>
  </si>
  <si>
    <t>893692185</t>
  </si>
  <si>
    <t>PQ8519.V628 N5 1980</t>
  </si>
  <si>
    <t>0                      PQ 8519000V  628                N  5           1980</t>
  </si>
  <si>
    <t>No / Idea Vilariño.</t>
  </si>
  <si>
    <t>Vilariño, Idea.</t>
  </si>
  <si>
    <t>Buenos Aires : Calicanto Editorial, 1980.</t>
  </si>
  <si>
    <t>24660922:spa</t>
  </si>
  <si>
    <t>7009701</t>
  </si>
  <si>
    <t>991003693119702656</t>
  </si>
  <si>
    <t>2262666170002656</t>
  </si>
  <si>
    <t>32285004426895</t>
  </si>
  <si>
    <t>893262873</t>
  </si>
  <si>
    <t>PQ8519.V628 Z54 1994</t>
  </si>
  <si>
    <t>0                      PQ 8519000V  628                Z  54          1994</t>
  </si>
  <si>
    <t>Texts and contexts of Idea Vilariño's poetry / Judy Berry-Bravo.</t>
  </si>
  <si>
    <t>Berry-Bravo, Judy.</t>
  </si>
  <si>
    <t>York, S.C. : Spanish Literature Publications Co., 1994.</t>
  </si>
  <si>
    <t>2003-04-14</t>
  </si>
  <si>
    <t>2487681935:eng</t>
  </si>
  <si>
    <t>32169016</t>
  </si>
  <si>
    <t>991004027659702656</t>
  </si>
  <si>
    <t>2264005800002656</t>
  </si>
  <si>
    <t>9780938972211</t>
  </si>
  <si>
    <t>32285004742242</t>
  </si>
  <si>
    <t>893699746</t>
  </si>
  <si>
    <t>PQ8519.V72 J3 1980</t>
  </si>
  <si>
    <t>0                      PQ 8519000V  72                 J  3           1980</t>
  </si>
  <si>
    <t>Jardín de sílice / Ida Vitale.</t>
  </si>
  <si>
    <t>Vitale, Ida.</t>
  </si>
  <si>
    <t>Caracas, Venezuela : Monte Avila Editores, [1980]</t>
  </si>
  <si>
    <t>Colección Altazor</t>
  </si>
  <si>
    <t>28872449:spa</t>
  </si>
  <si>
    <t>7575152</t>
  </si>
  <si>
    <t>991003810589702656</t>
  </si>
  <si>
    <t>2265679510002656</t>
  </si>
  <si>
    <t>32285004489141</t>
  </si>
  <si>
    <t>893699440</t>
  </si>
  <si>
    <t>PQ8520.17.A4 A72 1998</t>
  </si>
  <si>
    <t>0                      PQ 8520170A  4                  A  72          1998</t>
  </si>
  <si>
    <t>Amares : antología de relatos / Eduardo Galeano.</t>
  </si>
  <si>
    <t>Galeano, Eduardo, 1940-2015.</t>
  </si>
  <si>
    <t>Madrid : Alianza, 1999.</t>
  </si>
  <si>
    <t>Libro de Bolsillo. Literatura Hispanoamericana. Contemporáneos</t>
  </si>
  <si>
    <t>155685300:spa</t>
  </si>
  <si>
    <t>46547524</t>
  </si>
  <si>
    <t>991003253969702656</t>
  </si>
  <si>
    <t>2257035660002656</t>
  </si>
  <si>
    <t>9788420634197</t>
  </si>
  <si>
    <t>32285003763736</t>
  </si>
  <si>
    <t>893240015</t>
  </si>
  <si>
    <t>PQ8520.17.A4 A8 1997</t>
  </si>
  <si>
    <t>0                      PQ 8520170A  4                  A  8           1997</t>
  </si>
  <si>
    <t>Apuntes para el fin de siglo : antología / Eduardo Galeano.</t>
  </si>
  <si>
    <t>Santiago, Chile: LOM, 1997.</t>
  </si>
  <si>
    <t>27896413:spa</t>
  </si>
  <si>
    <t>39792562</t>
  </si>
  <si>
    <t>991003253999702656</t>
  </si>
  <si>
    <t>2268543610002656</t>
  </si>
  <si>
    <t>9789562820349</t>
  </si>
  <si>
    <t>32285004306394</t>
  </si>
  <si>
    <t>893592335</t>
  </si>
  <si>
    <t>PQ8520.17.A4 L5 1991</t>
  </si>
  <si>
    <t>0                      PQ 8520170A  4                  L  5           1991</t>
  </si>
  <si>
    <t>El libro de los abrazos : imágenes y palabras / de Eduardo Galeano.</t>
  </si>
  <si>
    <t>México, D.F. : Siglo Veintiuno Editores ; Madrid, España : Siglo Veintiuno de España Editores ; Bogotá, D.E., Colombia : Siglo Veintiuno Editores, 1991.</t>
  </si>
  <si>
    <t>1996-11-08</t>
  </si>
  <si>
    <t>9682591:spa</t>
  </si>
  <si>
    <t>27952249</t>
  </si>
  <si>
    <t>991002171969702656</t>
  </si>
  <si>
    <t>2269306750002656</t>
  </si>
  <si>
    <t>9789682315886</t>
  </si>
  <si>
    <t>32285002395068</t>
  </si>
  <si>
    <t>893256963</t>
  </si>
  <si>
    <t>PQ8520.17.A4 Z645 2002</t>
  </si>
  <si>
    <t>0                      PQ 8520170A  4                  Z  645         2002</t>
  </si>
  <si>
    <t>Eduardo Galeano : through the looking glass / Daniel Fischlin, Martha Nandorfy.</t>
  </si>
  <si>
    <t>Fischlin, Daniel.</t>
  </si>
  <si>
    <t>Montréal Black Rose Books, 2002.</t>
  </si>
  <si>
    <t>2003-08-22</t>
  </si>
  <si>
    <t>2002-09-10</t>
  </si>
  <si>
    <t>285037361:eng</t>
  </si>
  <si>
    <t>43884445</t>
  </si>
  <si>
    <t>991003867109702656</t>
  </si>
  <si>
    <t>2256916880002656</t>
  </si>
  <si>
    <t>9781551641782</t>
  </si>
  <si>
    <t>32285004646781</t>
  </si>
  <si>
    <t>893525339</t>
  </si>
  <si>
    <t>PQ8520.22.E43 J8 1985</t>
  </si>
  <si>
    <t>0                      PQ 8520220E  43                 J  8           1985</t>
  </si>
  <si>
    <t>Juan sin miedo rompe filas / Judith Lémez.</t>
  </si>
  <si>
    <t>Lémez, Judith.</t>
  </si>
  <si>
    <t>Caracas, Venezuela : Ediciones Centauro, [19]85.</t>
  </si>
  <si>
    <t>7680239:spa</t>
  </si>
  <si>
    <t>13239954</t>
  </si>
  <si>
    <t>991003759349702656</t>
  </si>
  <si>
    <t>2264974860002656</t>
  </si>
  <si>
    <t>9789802630097</t>
  </si>
  <si>
    <t>32285004460092</t>
  </si>
  <si>
    <t>893900316</t>
  </si>
  <si>
    <t>PQ8530.15 .S56 1995</t>
  </si>
  <si>
    <t>0                      PQ 8530150S  56          1995</t>
  </si>
  <si>
    <t>XX simposio de docentes e investigadores de la literatura venezolana : memoria y cuenta.</t>
  </si>
  <si>
    <t>Simposio de Docentes e Investigadores de la Literatura Venezolana (20th : 1994 : San Cristóbal, Táchira, Venezuela)</t>
  </si>
  <si>
    <t>San Cristóbal, Venezuela : [s.n., 1995]</t>
  </si>
  <si>
    <t>147788798:spa</t>
  </si>
  <si>
    <t>50132734</t>
  </si>
  <si>
    <t>991003848509702656</t>
  </si>
  <si>
    <t>2271241640002656</t>
  </si>
  <si>
    <t>9789806263949</t>
  </si>
  <si>
    <t>32285004630173</t>
  </si>
  <si>
    <t>893512445</t>
  </si>
  <si>
    <t>PQ8531 .C37 1987</t>
  </si>
  <si>
    <t>0                      PQ 8531000C  37          1987</t>
  </si>
  <si>
    <t>Debajo de un considero me puse a considerar-- / Lubio Cardozo.</t>
  </si>
  <si>
    <t>Caracas : Academia Nacional de la Historia, 1987.</t>
  </si>
  <si>
    <t>El Libro menor ; 114</t>
  </si>
  <si>
    <t>21335847:spa</t>
  </si>
  <si>
    <t>19513911</t>
  </si>
  <si>
    <t>991004340519702656</t>
  </si>
  <si>
    <t>2260500520002656</t>
  </si>
  <si>
    <t>9789802221202</t>
  </si>
  <si>
    <t>32285004929807</t>
  </si>
  <si>
    <t>893337599</t>
  </si>
  <si>
    <t>PQ8531 .D5 1966</t>
  </si>
  <si>
    <t>0                      PQ 8531000D  5           1966</t>
  </si>
  <si>
    <t>La antigua y la moderna literatura venezolana : estudio histórico-crítico, con antología / Pedro Diaz Seijas.</t>
  </si>
  <si>
    <t>Caracas : Ediciones Armitano, 1966.</t>
  </si>
  <si>
    <t>2001-10-30</t>
  </si>
  <si>
    <t>2001-10-29</t>
  </si>
  <si>
    <t>367280535:spa</t>
  </si>
  <si>
    <t>603272</t>
  </si>
  <si>
    <t>991003664659702656</t>
  </si>
  <si>
    <t>2260294090002656</t>
  </si>
  <si>
    <t>32285004416201</t>
  </si>
  <si>
    <t>893893972</t>
  </si>
  <si>
    <t>PQ8531 .D54 1974</t>
  </si>
  <si>
    <t>0                      PQ 8531000D  54          1974</t>
  </si>
  <si>
    <t>Diccionario general de la literatura venezolana : autores.</t>
  </si>
  <si>
    <t>Mérida, Venezuela, Centro de Investigaciones Literarias, Universidad de los Andes, 1974.</t>
  </si>
  <si>
    <t>2171835:spa</t>
  </si>
  <si>
    <t>1303601</t>
  </si>
  <si>
    <t>991004342619702656</t>
  </si>
  <si>
    <t>2267775490002656</t>
  </si>
  <si>
    <t>32285004980156</t>
  </si>
  <si>
    <t>893593574</t>
  </si>
  <si>
    <t>PQ8531 .M37 1991</t>
  </si>
  <si>
    <t>0                      PQ 8531000M  37          1991</t>
  </si>
  <si>
    <t>Relecturas : ensayos de crítica literaria venezolana / Alexis Márquez Rodríguez.</t>
  </si>
  <si>
    <t>Caracas : Contexto Audiovisual 3 : Pomaire, 1991.</t>
  </si>
  <si>
    <t>906124783:spa</t>
  </si>
  <si>
    <t>25423447</t>
  </si>
  <si>
    <t>991003818639702656</t>
  </si>
  <si>
    <t>2256768320002656</t>
  </si>
  <si>
    <t>9789802900558</t>
  </si>
  <si>
    <t>32285004494117</t>
  </si>
  <si>
    <t>893781446</t>
  </si>
  <si>
    <t>PQ8532 .L37 1996</t>
  </si>
  <si>
    <t>0                      PQ 8532000L  37          1996</t>
  </si>
  <si>
    <t>Bibliografía integral de la novela venezolana (1842-1994) / Osvaldo Larrazábal Henríquez, Gustavo Luis Carrera.</t>
  </si>
  <si>
    <t>Larrazábal Henríquez, Osvaldo.</t>
  </si>
  <si>
    <t>Caracas : Universidad Central de Venezuela, Facultad de Humanidades y Educación, Instituto de Investigaciones Literarias, Comisión de Estudios de Postgrado, 1996.</t>
  </si>
  <si>
    <t>3857042774:spa</t>
  </si>
  <si>
    <t>36963970</t>
  </si>
  <si>
    <t>991004342169702656</t>
  </si>
  <si>
    <t>2258065150002656</t>
  </si>
  <si>
    <t>9789800009932</t>
  </si>
  <si>
    <t>32285004980107</t>
  </si>
  <si>
    <t>893775908</t>
  </si>
  <si>
    <t>PQ8532 .P5 1961</t>
  </si>
  <si>
    <t>0                      PQ 8532000P  5           1961</t>
  </si>
  <si>
    <t>Estudios de literatura venezolana / Mariano Picon Salas.</t>
  </si>
  <si>
    <t>Picón-Salas, Mariano, 1901-1965.</t>
  </si>
  <si>
    <t>Caracas : Ediciones EDIME, 1961.</t>
  </si>
  <si>
    <t>Grandes libros venezolanos</t>
  </si>
  <si>
    <t>3856383320:spa</t>
  </si>
  <si>
    <t>2569740</t>
  </si>
  <si>
    <t>991003829389702656</t>
  </si>
  <si>
    <t>2269021040002656</t>
  </si>
  <si>
    <t>32285004495304</t>
  </si>
  <si>
    <t>893535646</t>
  </si>
  <si>
    <t>PQ8532 .P5 1984</t>
  </si>
  <si>
    <t>0                      PQ 8532000P  5           1984</t>
  </si>
  <si>
    <t>Formaciaon y proceso de la literatura venezolana / Mariano Picaon Salas ; presentaciaon de Maraia Fernanda Palacios ; bibliografaia de Rafael Angel Rivas.</t>
  </si>
  <si>
    <t>Caracas : Monte Avila, 1984.</t>
  </si>
  <si>
    <t>1a ed. en M.A.</t>
  </si>
  <si>
    <t>1800320:spa</t>
  </si>
  <si>
    <t>12495782</t>
  </si>
  <si>
    <t>991004334009702656</t>
  </si>
  <si>
    <t>2267655060002656</t>
  </si>
  <si>
    <t>32285004927405</t>
  </si>
  <si>
    <t>893888582</t>
  </si>
  <si>
    <t>PQ8532 .R3 1990</t>
  </si>
  <si>
    <t>0                      PQ 8532000R  3           1990</t>
  </si>
  <si>
    <t>Ensayos sobre literatura venezolana / Angel Rama ; prólogo, Rafael Castillo Zapata.</t>
  </si>
  <si>
    <t>Caracas : Monte Avila Editores, 1990, c1985.</t>
  </si>
  <si>
    <t>1. ed. en M.A.</t>
  </si>
  <si>
    <t>2005-05-12</t>
  </si>
  <si>
    <t>24629418:spa</t>
  </si>
  <si>
    <t>23089781</t>
  </si>
  <si>
    <t>991003730359702656</t>
  </si>
  <si>
    <t>2263350880002656</t>
  </si>
  <si>
    <t>9789800103050</t>
  </si>
  <si>
    <t>32285004452339</t>
  </si>
  <si>
    <t>893318340</t>
  </si>
  <si>
    <t>PQ8532 .R3 1991</t>
  </si>
  <si>
    <t>0                      PQ 8532000R  3           1991</t>
  </si>
  <si>
    <t>Caracas : Monte Avila Editores, 1991.</t>
  </si>
  <si>
    <t>26821860</t>
  </si>
  <si>
    <t>991002090929702656</t>
  </si>
  <si>
    <t>2268571830002656</t>
  </si>
  <si>
    <t>32285002080470</t>
  </si>
  <si>
    <t>893898374</t>
  </si>
  <si>
    <t>PQ8532 .S26 1988</t>
  </si>
  <si>
    <t>0                      PQ 8532000S  26          1988</t>
  </si>
  <si>
    <t>La lámpara encendida : ensayos / Juan Carlos Santaella.</t>
  </si>
  <si>
    <t>Caracas : Academia Nacional de la Historia, 1988.</t>
  </si>
  <si>
    <t>El Libro menor ; 126</t>
  </si>
  <si>
    <t>908495730:spa</t>
  </si>
  <si>
    <t>22656774</t>
  </si>
  <si>
    <t>991004335289702656</t>
  </si>
  <si>
    <t>2272671180002656</t>
  </si>
  <si>
    <t>9789802222193</t>
  </si>
  <si>
    <t>32285004927801</t>
  </si>
  <si>
    <t>893417502</t>
  </si>
  <si>
    <t>PQ8537 .T4 1973</t>
  </si>
  <si>
    <t>0                      PQ 8537000T  4           1973</t>
  </si>
  <si>
    <t>Perfiles venezolanos. Prólogo de Pedro Díaz Seijas.</t>
  </si>
  <si>
    <t>Tejera, Felipe.</t>
  </si>
  <si>
    <t>Caracas, Presidencia de la República, 1973.</t>
  </si>
  <si>
    <t>Fuentes para la historia de la literatura venezolana ; no. 5</t>
  </si>
  <si>
    <t>3855319458:spa</t>
  </si>
  <si>
    <t>1353840</t>
  </si>
  <si>
    <t>991003870069702656</t>
  </si>
  <si>
    <t>2262566980002656</t>
  </si>
  <si>
    <t>32285004644984</t>
  </si>
  <si>
    <t>893881650</t>
  </si>
  <si>
    <t>PQ8538 .M43 1980</t>
  </si>
  <si>
    <t>0                      PQ 8538000M  43          1980</t>
  </si>
  <si>
    <t>Ochenta años de literatura venezolana : (1900-1980) / José Ramón Medina ; cronología y bibliografía por Horacio Jorge Becco.</t>
  </si>
  <si>
    <t>Medina, José Ramón.</t>
  </si>
  <si>
    <t>Caracas : Monte Avila, c1980.</t>
  </si>
  <si>
    <t>12383916:spa</t>
  </si>
  <si>
    <t>16628331</t>
  </si>
  <si>
    <t>991003730409702656</t>
  </si>
  <si>
    <t>2272217300002656</t>
  </si>
  <si>
    <t>32285004452362</t>
  </si>
  <si>
    <t>893810140</t>
  </si>
  <si>
    <t>PQ8540 .C362 1997</t>
  </si>
  <si>
    <t>0                      PQ 8540000C  362         1997</t>
  </si>
  <si>
    <t>Paseo por el bosque de la palabra encantada : (ensayos sobre poetas venezolanos contemporáneos, 1940-1980) / Lubio Cardozo.</t>
  </si>
  <si>
    <t>[Mérida, Venezuela] : Casa de las Letras "Mariano Picón Salas", Consejo de Desarrollo Científico, Humanístico y Tecnológico ULA, 1997.</t>
  </si>
  <si>
    <t>Ensayo</t>
  </si>
  <si>
    <t>19515815:spa</t>
  </si>
  <si>
    <t>39042091</t>
  </si>
  <si>
    <t>991004336239702656</t>
  </si>
  <si>
    <t>2270112300002656</t>
  </si>
  <si>
    <t>9789802925872</t>
  </si>
  <si>
    <t>32285004928387</t>
  </si>
  <si>
    <t>893605893</t>
  </si>
  <si>
    <t>PQ8541 .M6 1975</t>
  </si>
  <si>
    <t>0                      PQ 8541000M  6           1975</t>
  </si>
  <si>
    <t>Un enfoque crítico del teatro venezolano / Rubén Monasterios.</t>
  </si>
  <si>
    <t>Monasterios, Rubén.</t>
  </si>
  <si>
    <t>Caracas : Monte Avila Editores, [1975]</t>
  </si>
  <si>
    <t>Colección Temas venezolanos</t>
  </si>
  <si>
    <t>348554091:spa</t>
  </si>
  <si>
    <t>2043418</t>
  </si>
  <si>
    <t>991003699959702656</t>
  </si>
  <si>
    <t>2272548090002656</t>
  </si>
  <si>
    <t>32285004428867</t>
  </si>
  <si>
    <t>893416688</t>
  </si>
  <si>
    <t>PQ8542 .H53 1995</t>
  </si>
  <si>
    <t>0                      PQ 8542000H  53          1995</t>
  </si>
  <si>
    <t>La novela moderna en Venezuela / Amarilis Hidalgo de Jesús.</t>
  </si>
  <si>
    <t>Hidalgo de Jesús, Amarilis, 1962-</t>
  </si>
  <si>
    <t>New York : P. Lang, c1995.</t>
  </si>
  <si>
    <t>Wor(l)ds of change, 1072-334X ; vol. 1</t>
  </si>
  <si>
    <t>1997-04-04</t>
  </si>
  <si>
    <t>10568556432:spa</t>
  </si>
  <si>
    <t>31239463</t>
  </si>
  <si>
    <t>991002402419702656</t>
  </si>
  <si>
    <t>2265738900002656</t>
  </si>
  <si>
    <t>9780820423128</t>
  </si>
  <si>
    <t>32285002479490</t>
  </si>
  <si>
    <t>893322894</t>
  </si>
  <si>
    <t>PQ8542 .L3 1972</t>
  </si>
  <si>
    <t>0                      PQ 8542000L  3           1972</t>
  </si>
  <si>
    <t>10 [i.e. Diez] novelas venezolanas /c [por] Oswaldo Larrazábal.</t>
  </si>
  <si>
    <t>146591227:spa</t>
  </si>
  <si>
    <t>1035835</t>
  </si>
  <si>
    <t>991003739969702656</t>
  </si>
  <si>
    <t>2262801600002656</t>
  </si>
  <si>
    <t>32285004454897</t>
  </si>
  <si>
    <t>893875099</t>
  </si>
  <si>
    <t>PQ8542 .O76 1984</t>
  </si>
  <si>
    <t>0                      PQ 8542000O  76          1984</t>
  </si>
  <si>
    <t>Para fijar un rostro : notas sobre la novelística venezolana actual / José Napoleón Oropeza.</t>
  </si>
  <si>
    <t>Oropeza, José Napoleón.</t>
  </si>
  <si>
    <t>Valencia, Venezuela : Vadell Hnos. Editores, 1984.</t>
  </si>
  <si>
    <t>4757802:spa</t>
  </si>
  <si>
    <t>12668265</t>
  </si>
  <si>
    <t>991003818009702656</t>
  </si>
  <si>
    <t>2266548550002656</t>
  </si>
  <si>
    <t>32285004494166</t>
  </si>
  <si>
    <t>893693180</t>
  </si>
  <si>
    <t>PQ8542 .R29 1979</t>
  </si>
  <si>
    <t>0                      PQ 8542000R  29          1979</t>
  </si>
  <si>
    <t>El cuento venezolano (1950-1970) : estudio temático y estilístico / Elías A. Ramos Q.</t>
  </si>
  <si>
    <t>Madrid : Playor, D.L. 1979.</t>
  </si>
  <si>
    <t>2001-10-23</t>
  </si>
  <si>
    <t>3856923069:spa</t>
  </si>
  <si>
    <t>6709596</t>
  </si>
  <si>
    <t>991003659029702656</t>
  </si>
  <si>
    <t>2256614440002656</t>
  </si>
  <si>
    <t>9788435902113</t>
  </si>
  <si>
    <t>32285004399936</t>
  </si>
  <si>
    <t>893717943</t>
  </si>
  <si>
    <t>PQ8542 .R38 1966</t>
  </si>
  <si>
    <t>0                      PQ 8542000R  38          1966</t>
  </si>
  <si>
    <t>La prosa de ficcion en Venezuela / Traducción: Rafael di Prisco.</t>
  </si>
  <si>
    <t>Ratcliff, Dillwyn F. (Dillwyn Fritschel), 1898-</t>
  </si>
  <si>
    <t>Caracas : Universidad Central de Venezuela, 1966.</t>
  </si>
  <si>
    <t>Colección Avance</t>
  </si>
  <si>
    <t>9349250769:spa</t>
  </si>
  <si>
    <t>2344931</t>
  </si>
  <si>
    <t>991003830089702656</t>
  </si>
  <si>
    <t>2262301200002656</t>
  </si>
  <si>
    <t>32285004495353</t>
  </si>
  <si>
    <t>893605262</t>
  </si>
  <si>
    <t>PQ8542 .S17 1992</t>
  </si>
  <si>
    <t>0                      PQ 8542000S  17          1992</t>
  </si>
  <si>
    <t>Ideología y lenguaje en la narrativa de la modernidad / Yolanda Salas de Lecuna.</t>
  </si>
  <si>
    <t>Salas de Lecuna, Yolanda.</t>
  </si>
  <si>
    <t>[Caracas, Venezuela] : Monte Avila Editores : Centro de Estudios Latinoamericanos Rómulo Gallegos, 1992.</t>
  </si>
  <si>
    <t>30415712:spa</t>
  </si>
  <si>
    <t>28309848</t>
  </si>
  <si>
    <t>991003806609702656</t>
  </si>
  <si>
    <t>2271863200002656</t>
  </si>
  <si>
    <t>9789800105986</t>
  </si>
  <si>
    <t>32285004486907</t>
  </si>
  <si>
    <t>893324505</t>
  </si>
  <si>
    <t>PQ8542 .T45 1992</t>
  </si>
  <si>
    <t>0                      PQ 8542000T  45          1992</t>
  </si>
  <si>
    <t>Teoraia y praxis del cuento en Venezuela / Pilar Almoina de Carrera ... [et al.].</t>
  </si>
  <si>
    <t>Caracas, Venezuela : Monte Avila Editores, 1992.</t>
  </si>
  <si>
    <t>434704653:spa</t>
  </si>
  <si>
    <t>26921947</t>
  </si>
  <si>
    <t>991004335229702656</t>
  </si>
  <si>
    <t>2261671220002656</t>
  </si>
  <si>
    <t>9789800105498</t>
  </si>
  <si>
    <t>32285004927736</t>
  </si>
  <si>
    <t>893532280</t>
  </si>
  <si>
    <t>PQ8543 .P5 1965</t>
  </si>
  <si>
    <t>0                      PQ 8543000P  5           1965</t>
  </si>
  <si>
    <t>Dos siglos de prosa venezolana / selecciaon de Mariano Picaon-Salas.</t>
  </si>
  <si>
    <t>Picón-Salas, Mariano, 1901-1965, editor.</t>
  </si>
  <si>
    <t>Madrid : Ediciones Edime, 1965.</t>
  </si>
  <si>
    <t>Claasicos y modernos hispanoamericanos</t>
  </si>
  <si>
    <t>13125443:spa</t>
  </si>
  <si>
    <t>3911534</t>
  </si>
  <si>
    <t>991004339929702656</t>
  </si>
  <si>
    <t>2259889810002656</t>
  </si>
  <si>
    <t>32285004929575</t>
  </si>
  <si>
    <t>893259611</t>
  </si>
  <si>
    <t>PQ8543 .R6 1975</t>
  </si>
  <si>
    <t>0                      PQ 8543000R  6           1975</t>
  </si>
  <si>
    <t>Biblioteca de escritores venezolanos contemporáneos : ordenada con noticias biográficas / por José M. Rójas.</t>
  </si>
  <si>
    <t>Rojas, José María, 1828-1907.</t>
  </si>
  <si>
    <t>Caracas : Concejo Municipal del Distrito Federal, 1975.</t>
  </si>
  <si>
    <t>1458450:spa</t>
  </si>
  <si>
    <t>2669379</t>
  </si>
  <si>
    <t>991003694669702656</t>
  </si>
  <si>
    <t>2258180530002656</t>
  </si>
  <si>
    <t>32285004427489</t>
  </si>
  <si>
    <t>893717983</t>
  </si>
  <si>
    <t>PQ8544 .B3 1976</t>
  </si>
  <si>
    <t>0                      PQ 8544000B  3           1976</t>
  </si>
  <si>
    <t>Las cien mejores poesaias lairicas venezolanas / selecciaon y praologo de Pedro P. Barnola.</t>
  </si>
  <si>
    <t>Barnola, Pedro Pablo.</t>
  </si>
  <si>
    <t>Barcelona, Espaana : Publicaciones Reunidas ; Caracas : distribuidores exclusivos, Distribuidora Estudios, [1976]</t>
  </si>
  <si>
    <t>424831585:spa</t>
  </si>
  <si>
    <t>3840050</t>
  </si>
  <si>
    <t>991004337539702656</t>
  </si>
  <si>
    <t>2267761450002656</t>
  </si>
  <si>
    <t>32285004927926</t>
  </si>
  <si>
    <t>893869602</t>
  </si>
  <si>
    <t>PQ8544 .C6 1947</t>
  </si>
  <si>
    <t>0                      PQ 8544000C  6           1947</t>
  </si>
  <si>
    <t>Breve antología de poetas universitarios : (Facultades de Economía y Derecho) / selección, prólogo y notas de Guillermo Alberto Cook.</t>
  </si>
  <si>
    <t>Cook, Guillermo Alberto, compiler.</t>
  </si>
  <si>
    <t>Caracas : Centros de Estudiantes de Economía y Derecho, 1947.</t>
  </si>
  <si>
    <t>4575316089:spa</t>
  </si>
  <si>
    <t>557511</t>
  </si>
  <si>
    <t>991003870499702656</t>
  </si>
  <si>
    <t>2261569500002656</t>
  </si>
  <si>
    <t>32285004645064</t>
  </si>
  <si>
    <t>893423072</t>
  </si>
  <si>
    <t>PQ8544 .C795 1994</t>
  </si>
  <si>
    <t>0                      PQ 8544000C  795         1994</t>
  </si>
  <si>
    <t>Cuarenta poetas se balancean : poesia venezolana (1967-1990) : antologia / Javier Lasarte [compilador].</t>
  </si>
  <si>
    <t>Caracas : Fundarte/Alcaldía de Caracas, 1994.</t>
  </si>
  <si>
    <t>Colección Cuadernos de difusión ; no. 228</t>
  </si>
  <si>
    <t>55615557:spa</t>
  </si>
  <si>
    <t>34998197</t>
  </si>
  <si>
    <t>991003694799702656</t>
  </si>
  <si>
    <t>2268890500002656</t>
  </si>
  <si>
    <t>32285004427737</t>
  </si>
  <si>
    <t>893234460</t>
  </si>
  <si>
    <t>PQ8544 .E8 1966</t>
  </si>
  <si>
    <t>0                      PQ 8544000E  8           1966</t>
  </si>
  <si>
    <t>Antología general de la poesía venezolana. Selección, prólogo y notas de J.A. Escalona-Escalona.</t>
  </si>
  <si>
    <t>Escalona-Escalona, José Antonio, 1917- editor.</t>
  </si>
  <si>
    <t>Madrid, Ediciones Edime, 1966.</t>
  </si>
  <si>
    <t>Clásicos y modernos hispanoamericanos</t>
  </si>
  <si>
    <t>13125290:spa</t>
  </si>
  <si>
    <t>3911526</t>
  </si>
  <si>
    <t>991004339819702656</t>
  </si>
  <si>
    <t>2259888000002656</t>
  </si>
  <si>
    <t>32285004929617</t>
  </si>
  <si>
    <t>893693826</t>
  </si>
  <si>
    <t>PQ8546 .C84 1990</t>
  </si>
  <si>
    <t>0                      PQ 8546000C  84          1990</t>
  </si>
  <si>
    <t>El Cuento venezolano : antología / José Balza.</t>
  </si>
  <si>
    <t>Caracas : Dirección de Cultura, Universidad Central de Venezuela, 1990.</t>
  </si>
  <si>
    <t>Colección Letras de Venezuela ; 83. Serie Narrativa</t>
  </si>
  <si>
    <t>918152716:spa</t>
  </si>
  <si>
    <t>25509458</t>
  </si>
  <si>
    <t>991004332569702656</t>
  </si>
  <si>
    <t>2272121140002656</t>
  </si>
  <si>
    <t>9789800000311</t>
  </si>
  <si>
    <t>32285004927074</t>
  </si>
  <si>
    <t>893624610</t>
  </si>
  <si>
    <t>PQ8546.S5 A7 1968</t>
  </si>
  <si>
    <t>0                      PQ 8546000S  5                  A  7           1968</t>
  </si>
  <si>
    <t>Aquí Venezuela cuenta [por] J. Garmendia [et al.] Selección: Edmundo Aray. Prólogo: Angel Rama.</t>
  </si>
  <si>
    <t>Aray, Edmundo compiler.</t>
  </si>
  <si>
    <t>Montevideo, Arca [1968]</t>
  </si>
  <si>
    <t>Narrativa latinoamericana ; 13</t>
  </si>
  <si>
    <t>1468317:spa</t>
  </si>
  <si>
    <t>289770</t>
  </si>
  <si>
    <t>991004341519702656</t>
  </si>
  <si>
    <t>2261911680002656</t>
  </si>
  <si>
    <t>32285004929013</t>
  </si>
  <si>
    <t>893605902</t>
  </si>
  <si>
    <t>PQ8549 .R3 1980</t>
  </si>
  <si>
    <t>0                      PQ 8549000R  3           1980</t>
  </si>
  <si>
    <t>Obra completa / José Antonio Ramos Sucre ; prólogo, José Ramón Medina ; cronología, Sonia García.</t>
  </si>
  <si>
    <t>Ramos Sucre, José Antonio.</t>
  </si>
  <si>
    <t>Caracas, Venezuela : Biblioteca Ayacucho, [1980]</t>
  </si>
  <si>
    <t>Biblioteca Ayacucho ; 73</t>
  </si>
  <si>
    <t>204669992:spa</t>
  </si>
  <si>
    <t>7944976</t>
  </si>
  <si>
    <t>991003681829702656</t>
  </si>
  <si>
    <t>2271753230002656</t>
  </si>
  <si>
    <t>9788466000444</t>
  </si>
  <si>
    <t>32285004412416</t>
  </si>
  <si>
    <t>893505865</t>
  </si>
  <si>
    <t>PQ8549.A18 Z5 1964</t>
  </si>
  <si>
    <t>0                      PQ 8549000A  18                 Z  5           1964</t>
  </si>
  <si>
    <t>Se llamaba S. N. : novela-testimonio / Jose Vicente Abreu ; introduccion, notas y apéndice del editor.</t>
  </si>
  <si>
    <t>Abreu, José Vicente.</t>
  </si>
  <si>
    <t>Caracas : J. A. Catalá, 1964.</t>
  </si>
  <si>
    <t>Los Libros de la resistencia, 1</t>
  </si>
  <si>
    <t>10567256215:spa</t>
  </si>
  <si>
    <t>3089322</t>
  </si>
  <si>
    <t>991003739169702656</t>
  </si>
  <si>
    <t>2262805080002656</t>
  </si>
  <si>
    <t>32285004455159</t>
  </si>
  <si>
    <t>893234514</t>
  </si>
  <si>
    <t>PQ8549.A682 C53 1970</t>
  </si>
  <si>
    <t>0                      PQ 8549000A  682                C  53          1970</t>
  </si>
  <si>
    <t>Los cielos de la muerte : cuentos escogidos, 1949-1969 / Alfredo Armas Alfonzo.</t>
  </si>
  <si>
    <t>Armas Alfonzo, Alfredo, 1921-</t>
  </si>
  <si>
    <t>Caracas : Monte Avila, 1970.</t>
  </si>
  <si>
    <t>370122038:spa</t>
  </si>
  <si>
    <t>1745569</t>
  </si>
  <si>
    <t>991003739459702656</t>
  </si>
  <si>
    <t>2262494890002656</t>
  </si>
  <si>
    <t>32285004455068</t>
  </si>
  <si>
    <t>893435373</t>
  </si>
  <si>
    <t>PQ8549.A696 A6 1964</t>
  </si>
  <si>
    <t>0                      PQ 8549000A  696                A  6           1964</t>
  </si>
  <si>
    <t>Poesías / [por] J. T. Arreaza Calatrava. Selección: Oscar Sambrano Urdaneta. Prólogo: Fernando Paz-Castillo.</t>
  </si>
  <si>
    <t>Arreaza Calatrava, José Tadeo, 1885-1970.</t>
  </si>
  <si>
    <t>Caracas : Ediciones del Ministerio de Educación, Dirección de Cultura y Bellas Artes, Departamento de Publicaciones, 1964.</t>
  </si>
  <si>
    <t>Biblioteca popular venezolana ; 98</t>
  </si>
  <si>
    <t>1909438542:spa</t>
  </si>
  <si>
    <t>3012027</t>
  </si>
  <si>
    <t>991003758829702656</t>
  </si>
  <si>
    <t>2269473500002656</t>
  </si>
  <si>
    <t>32285004460035</t>
  </si>
  <si>
    <t>893512332</t>
  </si>
  <si>
    <t>PQ8549.A696 Z57 1990</t>
  </si>
  <si>
    <t>0                      PQ 8549000A  696                Z  57          1990</t>
  </si>
  <si>
    <t>José Tadeo Arreaza Calatrava y su manuscrito de El héroe / Basilio Tejedor B.</t>
  </si>
  <si>
    <t>Tejedor B., Basilio.</t>
  </si>
  <si>
    <t>Caracas, Venezuela : Ediciones Presidencia de la República, 1990.</t>
  </si>
  <si>
    <t>26989727:spa</t>
  </si>
  <si>
    <t>24431537</t>
  </si>
  <si>
    <t>991003847239702656</t>
  </si>
  <si>
    <t>2265382400002656</t>
  </si>
  <si>
    <t>9789806103108</t>
  </si>
  <si>
    <t>32285004640388</t>
  </si>
  <si>
    <t>893718136</t>
  </si>
  <si>
    <t>PQ8549.A73 A17 1976</t>
  </si>
  <si>
    <t>0                      PQ 8549000A  73                 A  17          1976</t>
  </si>
  <si>
    <t>Antologia poética / Enriqueta Arvelo Larriva ; selección y prefacio de Alfredo Silva Estrada.</t>
  </si>
  <si>
    <t>Arvelo Larriva, Enriqueta.</t>
  </si>
  <si>
    <t>Caracas, Venezuela : Monte Avila Editores, [1976]</t>
  </si>
  <si>
    <t>1909714837:spa</t>
  </si>
  <si>
    <t>3733271</t>
  </si>
  <si>
    <t>991003829879702656</t>
  </si>
  <si>
    <t>2270363570002656</t>
  </si>
  <si>
    <t>32285004494331</t>
  </si>
  <si>
    <t>893423024</t>
  </si>
  <si>
    <t>PQ8549.B3 Z613 1979</t>
  </si>
  <si>
    <t>0                      PQ 8549000B  3                  Z  613         1979</t>
  </si>
  <si>
    <t>Bello y Caracas : primer congreso del bicentenario.</t>
  </si>
  <si>
    <t>Caracas : Fundación La Casa de Bello, 1979.</t>
  </si>
  <si>
    <t>815041276:spa</t>
  </si>
  <si>
    <t>7836604</t>
  </si>
  <si>
    <t>991003806309702656</t>
  </si>
  <si>
    <t>2255408360002656</t>
  </si>
  <si>
    <t>32285004487046</t>
  </si>
  <si>
    <t>893246754</t>
  </si>
  <si>
    <t>PQ8549.B3 Z614 1980</t>
  </si>
  <si>
    <t>0                      PQ 8549000B  3                  Z  614         1980</t>
  </si>
  <si>
    <t>Bello y Londres : segundo congreso del bicentenario.</t>
  </si>
  <si>
    <t>Caracas : Fundación La Casa de Bello, 1980-1981.</t>
  </si>
  <si>
    <t>905864469:eng</t>
  </si>
  <si>
    <t>8728261</t>
  </si>
  <si>
    <t>991003765139702656</t>
  </si>
  <si>
    <t>2271210440002656</t>
  </si>
  <si>
    <t>32285004461041</t>
  </si>
  <si>
    <t>893686929</t>
  </si>
  <si>
    <t>PQ8549.B3 Z617 1978</t>
  </si>
  <si>
    <t>0                      PQ 8549000B  3                  Z  617         1978</t>
  </si>
  <si>
    <t>El solar caraqueño de Andrés Bello / Alfredo Boulton.</t>
  </si>
  <si>
    <t>Boulton, Alfredo.</t>
  </si>
  <si>
    <t>Caracas : La Casa de Bello, 1978.</t>
  </si>
  <si>
    <t>2002-09-24</t>
  </si>
  <si>
    <t>376021905:spa</t>
  </si>
  <si>
    <t>5829723</t>
  </si>
  <si>
    <t>991003894369702656</t>
  </si>
  <si>
    <t>2261029970002656</t>
  </si>
  <si>
    <t>32285004649124</t>
  </si>
  <si>
    <t>893605366</t>
  </si>
  <si>
    <t>PQ8549.B3 Z6485 1973</t>
  </si>
  <si>
    <t>0                      PQ 8549000B  3                  Z  6485        1973</t>
  </si>
  <si>
    <t>Los dramas psíquicos y estéticos de Andrés Bello / Edoardo Crema.</t>
  </si>
  <si>
    <t>Crema, Edoardo, 1892-1974.</t>
  </si>
  <si>
    <t>Caracas : Ediciones de la Presidencia de la República, 1973.</t>
  </si>
  <si>
    <t>423508404:spa</t>
  </si>
  <si>
    <t>1984123</t>
  </si>
  <si>
    <t>991003894239702656</t>
  </si>
  <si>
    <t>2260571750002656</t>
  </si>
  <si>
    <t>32285004647417</t>
  </si>
  <si>
    <t>893687097</t>
  </si>
  <si>
    <t>PQ8549.B3 Z6486 1973</t>
  </si>
  <si>
    <t>0                      PQ 8549000B  3                  Z  6486        1973</t>
  </si>
  <si>
    <t>Las amarguras de Bello en Chile / Edoardo Crema.</t>
  </si>
  <si>
    <t>425055687:spa</t>
  </si>
  <si>
    <t>4323739</t>
  </si>
  <si>
    <t>991003894269702656</t>
  </si>
  <si>
    <t>2261486150002656</t>
  </si>
  <si>
    <t>32285004647425</t>
  </si>
  <si>
    <t>893617966</t>
  </si>
  <si>
    <t>PQ8549.B3 Z6486 1987</t>
  </si>
  <si>
    <t>0                      PQ 8549000B  3                  Z  6486        1987</t>
  </si>
  <si>
    <t>Estudios sobre Andraes Bello / Edoardo Crema ; preliminar de Oscar Sambrano Urdaneta.</t>
  </si>
  <si>
    <t>Caracas : La Casa de Bello, 1987.</t>
  </si>
  <si>
    <t>Anexos a las obras completas de Andraes Bello ; 7</t>
  </si>
  <si>
    <t>19078197:spa</t>
  </si>
  <si>
    <t>18985458</t>
  </si>
  <si>
    <t>991004332149702656</t>
  </si>
  <si>
    <t>2267847900002656</t>
  </si>
  <si>
    <t>9789802140220</t>
  </si>
  <si>
    <t>32285004927090</t>
  </si>
  <si>
    <t>893810471</t>
  </si>
  <si>
    <t>PQ8549.B3 Z654 1978</t>
  </si>
  <si>
    <t>0                      PQ 8549000B  3                  Z  654         1978</t>
  </si>
  <si>
    <t>Los antepasados de Bello / David W. Fernández.</t>
  </si>
  <si>
    <t>Fernández, David W.</t>
  </si>
  <si>
    <t>470649753:spa</t>
  </si>
  <si>
    <t>8518817</t>
  </si>
  <si>
    <t>991003803429702656</t>
  </si>
  <si>
    <t>2260387530002656</t>
  </si>
  <si>
    <t>32285004485396</t>
  </si>
  <si>
    <t>893686994</t>
  </si>
  <si>
    <t>PQ8549.B3 Z6576 1978</t>
  </si>
  <si>
    <t>0                      PQ 8549000B  3                  Z  6576        1978</t>
  </si>
  <si>
    <t>El Grado de bachiller en artes de Andrés Bello.</t>
  </si>
  <si>
    <t>425944120:spa</t>
  </si>
  <si>
    <t>5566105</t>
  </si>
  <si>
    <t>991003894399702656</t>
  </si>
  <si>
    <t>2266493530002656</t>
  </si>
  <si>
    <t>32285004649116</t>
  </si>
  <si>
    <t>893499852</t>
  </si>
  <si>
    <t>PQ8549.B3 Z667 1979</t>
  </si>
  <si>
    <t>0                      PQ 8549000B  3                  Z  667         1979</t>
  </si>
  <si>
    <t>El Helechal, posesión rural de los Bello.</t>
  </si>
  <si>
    <t>Caracas : Casa de Bello, 1979.</t>
  </si>
  <si>
    <t>368426813:spa</t>
  </si>
  <si>
    <t>5566190</t>
  </si>
  <si>
    <t>991003810759702656</t>
  </si>
  <si>
    <t>2266583280002656</t>
  </si>
  <si>
    <t>32285004489067</t>
  </si>
  <si>
    <t>893775223</t>
  </si>
  <si>
    <t>PQ8549.B3 Z73 1978</t>
  </si>
  <si>
    <t>0                      PQ 8549000B  3                  Z  73          1978</t>
  </si>
  <si>
    <t>Libros de Bello editados en Caracas en el siglo XIX / Pedro Grases.</t>
  </si>
  <si>
    <t>Grases, Pedro, 1909-2004.</t>
  </si>
  <si>
    <t>Caracas : Casa de Bello, 1978.</t>
  </si>
  <si>
    <t>19918753:spa</t>
  </si>
  <si>
    <t>5727638</t>
  </si>
  <si>
    <t>991003894299702656</t>
  </si>
  <si>
    <t>2263770870002656</t>
  </si>
  <si>
    <t>32285004649108</t>
  </si>
  <si>
    <t>893881791</t>
  </si>
  <si>
    <t>PQ8549.B3 Z787 1969</t>
  </si>
  <si>
    <t>0                      PQ 8549000B  3                  Z  787         1969</t>
  </si>
  <si>
    <t>El otro Andrés Bello / Emir Rodríguez Monegal.</t>
  </si>
  <si>
    <t>365548706:spa</t>
  </si>
  <si>
    <t>1004516</t>
  </si>
  <si>
    <t>991004339029702656</t>
  </si>
  <si>
    <t>2254738630002656</t>
  </si>
  <si>
    <t>32285004929518</t>
  </si>
  <si>
    <t>893612232</t>
  </si>
  <si>
    <t>PQ8549.B32 A6 1993</t>
  </si>
  <si>
    <t>0                      PQ 8549000B  32                 A  6           1993</t>
  </si>
  <si>
    <t>Ensayos y poesías / Luis Beltrán Guerrero ; selección, prólogo y cronología, Juandemaro Querales ; bibliografía, Juandemaro Querales y Horacio Jorge Becco.</t>
  </si>
  <si>
    <t>Beltrán Guerrero, Luis, 1914-1997.</t>
  </si>
  <si>
    <t>Biblioteca Ayacucho ; 192</t>
  </si>
  <si>
    <t>232092677:spa</t>
  </si>
  <si>
    <t>31918463</t>
  </si>
  <si>
    <t>991003681479702656</t>
  </si>
  <si>
    <t>2262734880002656</t>
  </si>
  <si>
    <t>9789802762347</t>
  </si>
  <si>
    <t>32285004412309</t>
  </si>
  <si>
    <t>893512241</t>
  </si>
  <si>
    <t>PQ8549.B44 Z9 1972</t>
  </si>
  <si>
    <t>0                      PQ 8549000B  44                 Z  9           1972</t>
  </si>
  <si>
    <t>Andres Bello / Rafael Caldera.</t>
  </si>
  <si>
    <t>Caldera, Rafael, 1916-2009.</t>
  </si>
  <si>
    <t>Caracas : Monte Avila, 1972.</t>
  </si>
  <si>
    <t>Biblioteca popular Eldorado ; 63</t>
  </si>
  <si>
    <t>369181775:spa</t>
  </si>
  <si>
    <t>1849981</t>
  </si>
  <si>
    <t>991004337679702656</t>
  </si>
  <si>
    <t>2258042670002656</t>
  </si>
  <si>
    <t>32285004928130</t>
  </si>
  <si>
    <t>893888586</t>
  </si>
  <si>
    <t>PQ8549.B47 A17 1980</t>
  </si>
  <si>
    <t>0                      PQ 8549000B  47                 A  17          1980</t>
  </si>
  <si>
    <t>Poesía / Andrés Eloy Blanco ; pórtico, José Ramón Medina.</t>
  </si>
  <si>
    <t>Blanco, Andrés Eloy, 1898-1955.</t>
  </si>
  <si>
    <t>Caracas, Venezuela : Ediciones Centauro, 1980-</t>
  </si>
  <si>
    <t>2004-05-26</t>
  </si>
  <si>
    <t>3372183309:spa</t>
  </si>
  <si>
    <t>10457950</t>
  </si>
  <si>
    <t>991003802069702656</t>
  </si>
  <si>
    <t>2265714890002656</t>
  </si>
  <si>
    <t>32285004907571</t>
  </si>
  <si>
    <t>893318425</t>
  </si>
  <si>
    <t>32285004484373</t>
  </si>
  <si>
    <t>893330830</t>
  </si>
  <si>
    <t>32285004484381</t>
  </si>
  <si>
    <t>893343037</t>
  </si>
  <si>
    <t>PQ8549.B47 A6 1996</t>
  </si>
  <si>
    <t>0                      PQ 8549000B  47                 A  6           1996</t>
  </si>
  <si>
    <t>Poesía / Andres Eloy Blanco ; selección y prólogo, Domingo Miliani ; compilación del apéndice, cronología y bibliografía, Rafael Angel Rivas Dugarte ; cuidado de la edición, José Ramón Medina.</t>
  </si>
  <si>
    <t>Caracas, Venezuela : Biblioteca Ayacucho, 1996.</t>
  </si>
  <si>
    <t>Biblioteca Ayacucho ; 214</t>
  </si>
  <si>
    <t>9093651256:spa</t>
  </si>
  <si>
    <t>37431505</t>
  </si>
  <si>
    <t>991003681409702656</t>
  </si>
  <si>
    <t>2262799470002656</t>
  </si>
  <si>
    <t>9789802763153</t>
  </si>
  <si>
    <t>32285004412283</t>
  </si>
  <si>
    <t>893611317</t>
  </si>
  <si>
    <t>PQ8549.B47 A62 1996</t>
  </si>
  <si>
    <t>0                      PQ 8549000B  47                 A  62          1996</t>
  </si>
  <si>
    <t>Ingenio y gracia de Andrés Eloy Blanco / José Rivas Rivas [compilador ; ilustraciones de Pedro León Zapata].</t>
  </si>
  <si>
    <t>Caracas : Fundarte/Alcaldía de Caracas, 1996.</t>
  </si>
  <si>
    <t>2002-08-29</t>
  </si>
  <si>
    <t>1374711:spa</t>
  </si>
  <si>
    <t>37004641</t>
  </si>
  <si>
    <t>991003872359702656</t>
  </si>
  <si>
    <t>2272572640002656</t>
  </si>
  <si>
    <t>9789802532919</t>
  </si>
  <si>
    <t>32285004645734</t>
  </si>
  <si>
    <t>893441862</t>
  </si>
  <si>
    <t>PQ8549.B49 Z234 1963</t>
  </si>
  <si>
    <t>0                      PQ 8549000B  49                 Z  234         1963</t>
  </si>
  <si>
    <t>Eduardo Blanco, creador de la novela venezolana : estudio crítico de su novela "Zárate" / Pedro P. Barnola</t>
  </si>
  <si>
    <t>Caracas : Tip. Vargas, 1963.</t>
  </si>
  <si>
    <t>Biblioteca venezolana de cultura</t>
  </si>
  <si>
    <t>290164573:spa</t>
  </si>
  <si>
    <t>3865424</t>
  </si>
  <si>
    <t>991003803459702656</t>
  </si>
  <si>
    <t>2272150880002656</t>
  </si>
  <si>
    <t>32285004485313</t>
  </si>
  <si>
    <t>893794075</t>
  </si>
  <si>
    <t>PQ8549.B5 A6 1958</t>
  </si>
  <si>
    <t>0                      PQ 8549000B  5                  A  6           1958</t>
  </si>
  <si>
    <t>Obras selectas / Rufino Blanco-Fombona ; selecciaon, prolaogo y estudio bibliograafico par Edgar Gabaldaon Maarquez.</t>
  </si>
  <si>
    <t>Blanco-Fombona, Rufino, 1874-1944.</t>
  </si>
  <si>
    <t>Madrid : Ediciones EDIME, 1958.</t>
  </si>
  <si>
    <t>Claasicos y modernos hispanoamericanas</t>
  </si>
  <si>
    <t>334510892:spa</t>
  </si>
  <si>
    <t>1829864</t>
  </si>
  <si>
    <t>991004339849702656</t>
  </si>
  <si>
    <t>2271904790002656</t>
  </si>
  <si>
    <t>32285004929609</t>
  </si>
  <si>
    <t>893693827</t>
  </si>
  <si>
    <t>PQ8549.C284 C76 1982</t>
  </si>
  <si>
    <t>0                      PQ 8549000C  284                C  76          1982</t>
  </si>
  <si>
    <t>Cristal de aumento : cuentos / Lucila Palacios.</t>
  </si>
  <si>
    <t>Palacios, Lucila, 1902-</t>
  </si>
  <si>
    <t>Caracas : [s.n.], 1982</t>
  </si>
  <si>
    <t>2001-12-20</t>
  </si>
  <si>
    <t>905193468:spa</t>
  </si>
  <si>
    <t>10368745</t>
  </si>
  <si>
    <t>991003701579702656</t>
  </si>
  <si>
    <t>2272313000002656</t>
  </si>
  <si>
    <t>32285004429329</t>
  </si>
  <si>
    <t>893252654</t>
  </si>
  <si>
    <t>PQ8549.D5 A6 1982</t>
  </si>
  <si>
    <t>0                      PQ 8549000D  5                  A  6           1982</t>
  </si>
  <si>
    <t>Narrativa y ensayo / Manuel Díaz Rodríguez ; selección y prólogo, Orlando Araujo ; cronología, María Beatriz Medina.</t>
  </si>
  <si>
    <t>Díaz Rodríguez, Manuel, 1871-1927.</t>
  </si>
  <si>
    <t>Caracas, Venezuela : Biblioteca Ayacucho, [1982]</t>
  </si>
  <si>
    <t>Biblioteca Ayacucho ; 86</t>
  </si>
  <si>
    <t>197306501:spa</t>
  </si>
  <si>
    <t>13560419</t>
  </si>
  <si>
    <t>991003681739702656</t>
  </si>
  <si>
    <t>2263549090002656</t>
  </si>
  <si>
    <t>9788466000833</t>
  </si>
  <si>
    <t>32285004412382</t>
  </si>
  <si>
    <t>893592759</t>
  </si>
  <si>
    <t>PQ8549.D55 C5 1963</t>
  </si>
  <si>
    <t>0                      PQ 8549000D  55                 C  5           1963</t>
  </si>
  <si>
    <t>Cinco cuentos / Gustavo Diaz Solis ; estudio preliminar de Oscar Sambrano Urdaneta.</t>
  </si>
  <si>
    <t>Díaz-Solís, Gustavo, 1920-</t>
  </si>
  <si>
    <t>Cuadernos literarios de la Asociacíon de Escritores Venezolanos, 120</t>
  </si>
  <si>
    <t>10677854557:spa</t>
  </si>
  <si>
    <t>2660540</t>
  </si>
  <si>
    <t>991003846839702656</t>
  </si>
  <si>
    <t>2262176800002656</t>
  </si>
  <si>
    <t>32285004500004</t>
  </si>
  <si>
    <t>893875272</t>
  </si>
  <si>
    <t>PQ8549.G24 A6 1981</t>
  </si>
  <si>
    <t>0                      PQ 8549000G  24                 A  6           1981</t>
  </si>
  <si>
    <t>Cuentos completos / Rómulo Gallegos ; prólogo de Gustavo Luis Carrera.</t>
  </si>
  <si>
    <t>Gallegos, Rómulo, 1884-1969.</t>
  </si>
  <si>
    <t>Caracas, Venezuela : Monte Avila Editores, c1981.</t>
  </si>
  <si>
    <t>199049782:spa</t>
  </si>
  <si>
    <t>8242616</t>
  </si>
  <si>
    <t>991003816679702656</t>
  </si>
  <si>
    <t>2262390180002656</t>
  </si>
  <si>
    <t>32285004493572</t>
  </si>
  <si>
    <t>893416830</t>
  </si>
  <si>
    <t>PQ8549.G24 B7 1979</t>
  </si>
  <si>
    <t>0                      PQ 8549000G  24                 B  7           1979</t>
  </si>
  <si>
    <t>La brizna de paja en el viento / Rómulo Gallegos.</t>
  </si>
  <si>
    <t>Salsadella, España : Los libros de plon, 1979.</t>
  </si>
  <si>
    <t>Colección La palma viajera ; no. 12</t>
  </si>
  <si>
    <t>368226869:spa</t>
  </si>
  <si>
    <t>14269503</t>
  </si>
  <si>
    <t>991004333919702656</t>
  </si>
  <si>
    <t>2256697720002656</t>
  </si>
  <si>
    <t>9788485056187</t>
  </si>
  <si>
    <t>32285004925698</t>
  </si>
  <si>
    <t>893612227</t>
  </si>
  <si>
    <t>PQ8549.G24 Z645 1967</t>
  </si>
  <si>
    <t>0                      PQ 8549000G  24                 Z  645         1967</t>
  </si>
  <si>
    <t>Raomulo Gallegos : realidad y saimbolo / Pedro Diaz Seijas ; praologo de Demetrio Aguilera Malta.</t>
  </si>
  <si>
    <t>Maexico : B. Costa-Amic, 1967.</t>
  </si>
  <si>
    <t>223602781:spa</t>
  </si>
  <si>
    <t>1704976</t>
  </si>
  <si>
    <t>991004333719702656</t>
  </si>
  <si>
    <t>2265704710002656</t>
  </si>
  <si>
    <t>32285004925748</t>
  </si>
  <si>
    <t>893331464</t>
  </si>
  <si>
    <t>PQ8549.G24 Z65 1954</t>
  </si>
  <si>
    <t>0                      PQ 8549000G  24                 Z  65          1954</t>
  </si>
  <si>
    <t>Romulo Gallegos : estudio sobre el arte de novelar / Ulrich Leo.</t>
  </si>
  <si>
    <t>Leo, Ulrich, 1890-1964.</t>
  </si>
  <si>
    <t>Caracas : [Editorial Arte, 1954]</t>
  </si>
  <si>
    <t>Biblioteca popular venezolana ; 109</t>
  </si>
  <si>
    <t>2377764:spa</t>
  </si>
  <si>
    <t>3912083</t>
  </si>
  <si>
    <t>991004333859702656</t>
  </si>
  <si>
    <t>2260225260002656</t>
  </si>
  <si>
    <t>32285004925706</t>
  </si>
  <si>
    <t>893788573</t>
  </si>
  <si>
    <t>PQ8549.G24 Z66 1985</t>
  </si>
  <si>
    <t>0                      PQ 8549000G  24                 Z  66          1985</t>
  </si>
  <si>
    <t>Raomulo Gallegos : la realidad, la ficciaon, el saimbolo : un estudio del momento primero de la escritura galleguiana / Rafael Fauquiae Bescaos.</t>
  </si>
  <si>
    <t>Fauquiae Bescaos, Rafael, 1954-</t>
  </si>
  <si>
    <t>Biblioteca de la Academia Nacional de la Historia. Estudios, monografaias y ensayos ; 64</t>
  </si>
  <si>
    <t>908082467:spa</t>
  </si>
  <si>
    <t>13549047</t>
  </si>
  <si>
    <t>991004335669702656</t>
  </si>
  <si>
    <t>2267188530002656</t>
  </si>
  <si>
    <t>9789802220076</t>
  </si>
  <si>
    <t>32285004928239</t>
  </si>
  <si>
    <t>893599717</t>
  </si>
  <si>
    <t>PQ8549.G24 Z825 1966</t>
  </si>
  <si>
    <t>0                      PQ 8549000G  24                 Z  825         1966</t>
  </si>
  <si>
    <t>Raomulo Gallegos : ensayo biograafico /cJose Ramon Medina.</t>
  </si>
  <si>
    <t>Medina, Josae Ramaon.</t>
  </si>
  <si>
    <t>Caracas : Editorial Arte, 1966.</t>
  </si>
  <si>
    <t>1699316:spa</t>
  </si>
  <si>
    <t>574827</t>
  </si>
  <si>
    <t>991004333579702656</t>
  </si>
  <si>
    <t>2257601210002656</t>
  </si>
  <si>
    <t>32285004925763</t>
  </si>
  <si>
    <t>893706272</t>
  </si>
  <si>
    <t>PQ8549.G24 Z84 1984</t>
  </si>
  <si>
    <t>0                      PQ 8549000G  24                 Z  84          1984</t>
  </si>
  <si>
    <t>Homenaje a Rómulo Gallegos / Guillermo Morón.</t>
  </si>
  <si>
    <t>Caracas : Academia Nacional de la Historia, 1984.</t>
  </si>
  <si>
    <t>El Libro menor ; 60</t>
  </si>
  <si>
    <t>5105064:spa</t>
  </si>
  <si>
    <t>12616621</t>
  </si>
  <si>
    <t>991004340459702656</t>
  </si>
  <si>
    <t>2263244540002656</t>
  </si>
  <si>
    <t>32285004929872</t>
  </si>
  <si>
    <t>893875982</t>
  </si>
  <si>
    <t>PQ8549.G38 C38 1995</t>
  </si>
  <si>
    <t>0                      PQ 8549000G  38                 C  38          1995</t>
  </si>
  <si>
    <t>La casa del tiempo : cuentos / Salvador Garmendia.</t>
  </si>
  <si>
    <t>Garmendia, Salvador.</t>
  </si>
  <si>
    <t>[Caracas] : Grijalbo Mondadori, c1995.</t>
  </si>
  <si>
    <t>Colección La Tuna de oro</t>
  </si>
  <si>
    <t>2005-05-10</t>
  </si>
  <si>
    <t>476001038:spa</t>
  </si>
  <si>
    <t>36582215</t>
  </si>
  <si>
    <t>991004335829702656</t>
  </si>
  <si>
    <t>2263301110002656</t>
  </si>
  <si>
    <t>9789802931972</t>
  </si>
  <si>
    <t>32285004928247</t>
  </si>
  <si>
    <t>893519522</t>
  </si>
  <si>
    <t>PQ8549.G38 D53 1973</t>
  </si>
  <si>
    <t>0                      PQ 8549000G  38                 D  53          1973</t>
  </si>
  <si>
    <t>Día de ceniza / Salvador Garmendia.</t>
  </si>
  <si>
    <t>Barcelona, Spain : Círculo de Lectores, 1973.</t>
  </si>
  <si>
    <t>2002-12-18</t>
  </si>
  <si>
    <t>2002-12-03</t>
  </si>
  <si>
    <t>318782493:spa</t>
  </si>
  <si>
    <t>51063449</t>
  </si>
  <si>
    <t>991003953679702656</t>
  </si>
  <si>
    <t>2261803350002656</t>
  </si>
  <si>
    <t>9788422604150</t>
  </si>
  <si>
    <t>32285004631205</t>
  </si>
  <si>
    <t>893599245</t>
  </si>
  <si>
    <t>PQ8549.G38 M4 1974</t>
  </si>
  <si>
    <t>0                      PQ 8549000G  38                 M  4           1974</t>
  </si>
  <si>
    <t>Memorias de Altagracia / Salvador Garmendia.</t>
  </si>
  <si>
    <t>Barcelona : Barral, 1974.</t>
  </si>
  <si>
    <t>Hispánica nova ; 93</t>
  </si>
  <si>
    <t>2108277:spa</t>
  </si>
  <si>
    <t>1168787</t>
  </si>
  <si>
    <t>991003740219702656</t>
  </si>
  <si>
    <t>2265270770002656</t>
  </si>
  <si>
    <t>9788421102930</t>
  </si>
  <si>
    <t>32285004454723</t>
  </si>
  <si>
    <t>893262896</t>
  </si>
  <si>
    <t>PQ8549.G38 P4 1977</t>
  </si>
  <si>
    <t>0                      PQ 8549000G  38                 P  4           1977</t>
  </si>
  <si>
    <t>Los pequeños seres : Los habitantes / Salvador Garmendia.</t>
  </si>
  <si>
    <t>Colección Letra viva</t>
  </si>
  <si>
    <t>3943311110:spa</t>
  </si>
  <si>
    <t>5616049</t>
  </si>
  <si>
    <t>991003739589702656</t>
  </si>
  <si>
    <t>2260925380002656</t>
  </si>
  <si>
    <t>9789800100097</t>
  </si>
  <si>
    <t>32285004455050</t>
  </si>
  <si>
    <t>893342944</t>
  </si>
  <si>
    <t>PQ8549.G7 A5 1970</t>
  </si>
  <si>
    <t>0                      PQ 8549000G  7                  A  5           1970</t>
  </si>
  <si>
    <t>La andanza y el hallazgo : antología / Ida Gramcko.</t>
  </si>
  <si>
    <t>Gramcko, Ida.</t>
  </si>
  <si>
    <t>[Caracas] : Monte Avila Editores, [c1970]</t>
  </si>
  <si>
    <t>Colección Altazar</t>
  </si>
  <si>
    <t>367193532:spa</t>
  </si>
  <si>
    <t>1191990</t>
  </si>
  <si>
    <t>991003818469702656</t>
  </si>
  <si>
    <t>2261903990002656</t>
  </si>
  <si>
    <t>32285004494083</t>
  </si>
  <si>
    <t>893349184</t>
  </si>
  <si>
    <t>PQ8549.G7 S34 1985</t>
  </si>
  <si>
    <t>0                      PQ 8549000G  7                  S  34          1985</t>
  </si>
  <si>
    <t>Salto angel : poemas / Ida Gramcko.</t>
  </si>
  <si>
    <t>Caracas : Fundarte, 1985.</t>
  </si>
  <si>
    <t>Colección Delta ; no. 16</t>
  </si>
  <si>
    <t>475279440:spa</t>
  </si>
  <si>
    <t>14173906</t>
  </si>
  <si>
    <t>991003813729702656</t>
  </si>
  <si>
    <t>2261709660002656</t>
  </si>
  <si>
    <t>32285004490057</t>
  </si>
  <si>
    <t>893228497</t>
  </si>
  <si>
    <t>PQ8549.G7 S62 1972</t>
  </si>
  <si>
    <t>0                      PQ 8549000G  7                  S  62          1972</t>
  </si>
  <si>
    <t>Sonetos del origen / Ida Gramcko.</t>
  </si>
  <si>
    <t>[s.l. : s.n., 1972]</t>
  </si>
  <si>
    <t>6475096:spa</t>
  </si>
  <si>
    <t>2836112</t>
  </si>
  <si>
    <t>991003813969702656</t>
  </si>
  <si>
    <t>2264155190002656</t>
  </si>
  <si>
    <t>32285004490040</t>
  </si>
  <si>
    <t>893611478</t>
  </si>
  <si>
    <t>PQ8549.G77 A6 1965</t>
  </si>
  <si>
    <t>0                      PQ 8549000G  77                 A  6           1965</t>
  </si>
  <si>
    <t>Poesías / Jacinto Gutierrez Coll.</t>
  </si>
  <si>
    <t>Gutiérrez Coll, Jacinto, 1836-1901.</t>
  </si>
  <si>
    <t>Caracas : Ediciones Poesía de Venezuela, 1965.</t>
  </si>
  <si>
    <t>Ediciones Poesía de Venezuela ; 10</t>
  </si>
  <si>
    <t>147893875:spa</t>
  </si>
  <si>
    <t>2757058</t>
  </si>
  <si>
    <t>991003846909702656</t>
  </si>
  <si>
    <t>2261051340002656</t>
  </si>
  <si>
    <t>32285004640024</t>
  </si>
  <si>
    <t>893423044</t>
  </si>
  <si>
    <t>PQ8549.L55 A6 1993</t>
  </si>
  <si>
    <t>0                      PQ 8549000L  55                 A  6           1993</t>
  </si>
  <si>
    <t>Antología poética : 1942-1991 / Juan Liscano ; prólogo, Oscar Rodríguez Ortiz.</t>
  </si>
  <si>
    <t>Liscano, Juan, 1915-</t>
  </si>
  <si>
    <t>Altazor</t>
  </si>
  <si>
    <t>2002-01-17</t>
  </si>
  <si>
    <t>1059163266:spa</t>
  </si>
  <si>
    <t>32166313</t>
  </si>
  <si>
    <t>991003713719702656</t>
  </si>
  <si>
    <t>2266199990002656</t>
  </si>
  <si>
    <t>9789800107683</t>
  </si>
  <si>
    <t>32285004449749</t>
  </si>
  <si>
    <t>893894026</t>
  </si>
  <si>
    <t>PQ8549.L55 N6 1968</t>
  </si>
  <si>
    <t>0                      PQ 8549000L  55                 N  6           1968</t>
  </si>
  <si>
    <t>Nombrar contra el tiempo : antología / [por] Juan Liscano.</t>
  </si>
  <si>
    <t>2344417:spa</t>
  </si>
  <si>
    <t>1440531</t>
  </si>
  <si>
    <t>991004336749702656</t>
  </si>
  <si>
    <t>2257737960002656</t>
  </si>
  <si>
    <t>32285004927942</t>
  </si>
  <si>
    <t>893417504</t>
  </si>
  <si>
    <t>PQ8549.M349 D4 1970</t>
  </si>
  <si>
    <t>0                      PQ 8549000M  349                D  4           1970</t>
  </si>
  <si>
    <t>El día implacable : cuentos escogidas, 1947-69 / Antonio Marquez Salas.</t>
  </si>
  <si>
    <t>Márquez Salas, Antonio, 1919-</t>
  </si>
  <si>
    <t>[Caracas] : Monte Avila, c1970.</t>
  </si>
  <si>
    <t>433292267:spa</t>
  </si>
  <si>
    <t>604660</t>
  </si>
  <si>
    <t>991003846769702656</t>
  </si>
  <si>
    <t>2260808110002656</t>
  </si>
  <si>
    <t>32285004499983</t>
  </si>
  <si>
    <t>893868950</t>
  </si>
  <si>
    <t>PQ8549.M426 A6 1981</t>
  </si>
  <si>
    <t>0                      PQ 8549000M  426                A  6           1981</t>
  </si>
  <si>
    <t>Espejos y disfraces / Guillermo Meneses ; selección y prólogo, José Balza ; cronología, Salvador Tenreiro.</t>
  </si>
  <si>
    <t>Meneses, Guillermo, 1911-1978.</t>
  </si>
  <si>
    <t>Caracas, Venezuela : Biblioteca Ayacucho, [1981]</t>
  </si>
  <si>
    <t>Biblioteca Ayacucho ; 81</t>
  </si>
  <si>
    <t>210045124:spa</t>
  </si>
  <si>
    <t>9149637</t>
  </si>
  <si>
    <t>991003681799702656</t>
  </si>
  <si>
    <t>2268193660002656</t>
  </si>
  <si>
    <t>9788466000666</t>
  </si>
  <si>
    <t>32285004412408</t>
  </si>
  <si>
    <t>893349002</t>
  </si>
  <si>
    <t>PQ8549.N8 A6 1987</t>
  </si>
  <si>
    <t>0                      PQ 8549000N  8                  A  6           1987</t>
  </si>
  <si>
    <t>Novelas y ensayos / Enrique Bernardo Núñez ; compilación, prólogo y notas, Osvaldo Larrazábal Henríquez ; cronología y bibliografía, R.J. Lovera De-Sola.</t>
  </si>
  <si>
    <t>Núñez, Enrique Bernardo, 1895-1964.</t>
  </si>
  <si>
    <t>Caracas, Venezuela : Biblioteca Ayachucho, [1987]</t>
  </si>
  <si>
    <t>Biblioteca Ayacucho ; 124</t>
  </si>
  <si>
    <t>16172422:spa</t>
  </si>
  <si>
    <t>17297284</t>
  </si>
  <si>
    <t>991003681589702656</t>
  </si>
  <si>
    <t>2265197160002656</t>
  </si>
  <si>
    <t>9789802760381</t>
  </si>
  <si>
    <t>32285004412341</t>
  </si>
  <si>
    <t>893793906</t>
  </si>
  <si>
    <t>PQ8549.O8 A6 1998</t>
  </si>
  <si>
    <t>0                      PQ 8549000O  8                  A  6           1998</t>
  </si>
  <si>
    <t>Miguel Otero Silva : escritos periodísticos / selección, Jesús Sanoja Hernández.</t>
  </si>
  <si>
    <t>Otero Silva, Miguel.</t>
  </si>
  <si>
    <t>Caracas, Venezuela : Los Libros de El Nacional, 1998.</t>
  </si>
  <si>
    <t>Colección Ares</t>
  </si>
  <si>
    <t>28124769:spa</t>
  </si>
  <si>
    <t>40414506</t>
  </si>
  <si>
    <t>991003252219702656</t>
  </si>
  <si>
    <t>2261670090002656</t>
  </si>
  <si>
    <t>32285003760013</t>
  </si>
  <si>
    <t>893692530</t>
  </si>
  <si>
    <t>PQ8549.O8 C8 1973</t>
  </si>
  <si>
    <t>0                      PQ 8549000O  8                  C  8           1973</t>
  </si>
  <si>
    <t>Cuando quiero llorar no lloro / Miguel Otero Silva.</t>
  </si>
  <si>
    <t>Barcelona : Cairculo de lectores, 1973.</t>
  </si>
  <si>
    <t>199511786:spa</t>
  </si>
  <si>
    <t>10630805</t>
  </si>
  <si>
    <t>991004333629702656</t>
  </si>
  <si>
    <t>2265826980002656</t>
  </si>
  <si>
    <t>9788422604853</t>
  </si>
  <si>
    <t>32285004925631</t>
  </si>
  <si>
    <t>893712464</t>
  </si>
  <si>
    <t>PQ8549.O8 L6 1979</t>
  </si>
  <si>
    <t>0                      PQ 8549000O  8                  L  6           1979</t>
  </si>
  <si>
    <t>Lope de Aguirre, praincipe de la libertad / Miguel Otero Silva.</t>
  </si>
  <si>
    <t>Barcelona : Seix Barral, 1979.</t>
  </si>
  <si>
    <t>4560052:spa</t>
  </si>
  <si>
    <t>5708300</t>
  </si>
  <si>
    <t>991004333339702656</t>
  </si>
  <si>
    <t>2261021840002656</t>
  </si>
  <si>
    <t>9788432203503</t>
  </si>
  <si>
    <t>32285004925649</t>
  </si>
  <si>
    <t>893436163</t>
  </si>
  <si>
    <t>PQ8549.O8 O27 1976</t>
  </si>
  <si>
    <t>0                      PQ 8549000O  8                  O  27          1976</t>
  </si>
  <si>
    <t>Obra poética / Miguel Otero Silva.</t>
  </si>
  <si>
    <t>Barcelona : Seix Barral, 1976.</t>
  </si>
  <si>
    <t>1 ed.</t>
  </si>
  <si>
    <t>7853160:spa</t>
  </si>
  <si>
    <t>3038953</t>
  </si>
  <si>
    <t>991003750269702656</t>
  </si>
  <si>
    <t>2260157370002656</t>
  </si>
  <si>
    <t>9788432213625</t>
  </si>
  <si>
    <t>32285004457437</t>
  </si>
  <si>
    <t>893234527</t>
  </si>
  <si>
    <t>PQ8549.O8 T54 1983</t>
  </si>
  <si>
    <t>0                      PQ 8549000O  8                  T  54          1983</t>
  </si>
  <si>
    <t>Tiempo de hablar / Miguel Otero Silva.</t>
  </si>
  <si>
    <t>El Libro menor ; 36</t>
  </si>
  <si>
    <t>3571531:spa</t>
  </si>
  <si>
    <t>10841682</t>
  </si>
  <si>
    <t>991003714719702656</t>
  </si>
  <si>
    <t>2263244310002656</t>
  </si>
  <si>
    <t>32285004449897</t>
  </si>
  <si>
    <t>893499610</t>
  </si>
  <si>
    <t>PQ8549.O8 Z85 1975</t>
  </si>
  <si>
    <t>0                      PQ 8549000O  8                  Z  85          1975</t>
  </si>
  <si>
    <t>Miguel Otero Silva, su obra literaria / Fernando Paz Castillo.</t>
  </si>
  <si>
    <t>Paz Castillo, Fernando, 1893-1981.</t>
  </si>
  <si>
    <t>Caracas : Dirección de Cultura, Universidad Central de Venezuela, 1975.</t>
  </si>
  <si>
    <t>Cuadernos de crítica literaria ; 2. ser., 4</t>
  </si>
  <si>
    <t>4228728:spa</t>
  </si>
  <si>
    <t>2137925</t>
  </si>
  <si>
    <t>991003834419702656</t>
  </si>
  <si>
    <t>2267497490002656</t>
  </si>
  <si>
    <t>32285004495734</t>
  </si>
  <si>
    <t>893410748</t>
  </si>
  <si>
    <t>PQ8549.P26 A15 1972</t>
  </si>
  <si>
    <t>0                      PQ 8549000P  26                 A  15          1972</t>
  </si>
  <si>
    <t>Los insulares : relatos (1965-1967) / Antonia Palacios.</t>
  </si>
  <si>
    <t>Palacios, Antonia.</t>
  </si>
  <si>
    <t>[Caracas] : Monte Avila, 1972.</t>
  </si>
  <si>
    <t>423645649:spa</t>
  </si>
  <si>
    <t>2088064</t>
  </si>
  <si>
    <t>991003724189702656</t>
  </si>
  <si>
    <t>2260757900002656</t>
  </si>
  <si>
    <t>32285004450895</t>
  </si>
  <si>
    <t>893324396</t>
  </si>
  <si>
    <t>PQ8549.P35 Z78 1980</t>
  </si>
  <si>
    <t>0                      PQ 8549000P  35                 Z  78          1980</t>
  </si>
  <si>
    <t>Teresa de la Parra ante la crítica / Lisandro Alvarado ... et [al.] ; selección, prólogo, cronología, hemerografía y foro imaginario de Velia Bosch.</t>
  </si>
  <si>
    <t>Caracas : Monte Avila, 1980.</t>
  </si>
  <si>
    <t>Colección Ante la crítica</t>
  </si>
  <si>
    <t>372930176:spa</t>
  </si>
  <si>
    <t>9694965</t>
  </si>
  <si>
    <t>991003870379702656</t>
  </si>
  <si>
    <t>2268231300002656</t>
  </si>
  <si>
    <t>32285004644919</t>
  </si>
  <si>
    <t>893781542</t>
  </si>
  <si>
    <t>PQ8549.P37 A17 1986</t>
  </si>
  <si>
    <t>0                      PQ 8549000P  37                 A  17          1986</t>
  </si>
  <si>
    <t>Poesía / Fernando Paz Castillo ; selección, prólogo y cronología, Oscar Sambrano Urdaneta ; bibliografía, Horacio Jorge Becco.</t>
  </si>
  <si>
    <t>Caracas, Venezuela : Biblioteca Ayacucho, [1986]</t>
  </si>
  <si>
    <t>Biblioteca Ayacucho ; 120</t>
  </si>
  <si>
    <t>8531979:spa</t>
  </si>
  <si>
    <t>15543274</t>
  </si>
  <si>
    <t>991003681619702656</t>
  </si>
  <si>
    <t>2263689590002656</t>
  </si>
  <si>
    <t>9789802760077</t>
  </si>
  <si>
    <t>32285004412358</t>
  </si>
  <si>
    <t>893252635</t>
  </si>
  <si>
    <t>PQ8549.P5 A6 1962</t>
  </si>
  <si>
    <t>0                      PQ 8549000P  5                  A  6           1962</t>
  </si>
  <si>
    <t>Obras selectas / Mariano Picon-Salas.</t>
  </si>
  <si>
    <t>Madrid : Ediciones Edime, 1962.</t>
  </si>
  <si>
    <t>2. ed., corr. y augm.</t>
  </si>
  <si>
    <t>4134123:spa</t>
  </si>
  <si>
    <t>2170577</t>
  </si>
  <si>
    <t>991004339899702656</t>
  </si>
  <si>
    <t>2262077370002656</t>
  </si>
  <si>
    <t>32285004929583</t>
  </si>
  <si>
    <t>893331468</t>
  </si>
  <si>
    <t>PQ8549.P5 A6 1983</t>
  </si>
  <si>
    <t>0                      PQ 8549000P  5                  A  6           1983</t>
  </si>
  <si>
    <t>Viejos y nuevos mundos / Mariano Picón Salas ; selección, prólogo y cronología, Guillermo Sucre.</t>
  </si>
  <si>
    <t>Caracas, Venezuela : Biblioteca Ayacucho, [1983]</t>
  </si>
  <si>
    <t>Biblioteca Ayacucho ; 101</t>
  </si>
  <si>
    <t>227662069:spa</t>
  </si>
  <si>
    <t>10802644</t>
  </si>
  <si>
    <t>991003681679702656</t>
  </si>
  <si>
    <t>2267764300002656</t>
  </si>
  <si>
    <t>9788466001120</t>
  </si>
  <si>
    <t>32285004412366</t>
  </si>
  <si>
    <t>893711651</t>
  </si>
  <si>
    <t>PQ8549.R6 P4x 1976</t>
  </si>
  <si>
    <t>0                      PQ 8549000R  6                  P  4x          1976</t>
  </si>
  <si>
    <t>Peonía : (semi-novela) / Manuel Vicente Romero García ; prólogo de Edoardo Crema.</t>
  </si>
  <si>
    <t>Romero García, Manuel Vicente, 1865-1917.</t>
  </si>
  <si>
    <t>2a ed. en Colección Eldorado.</t>
  </si>
  <si>
    <t>Colección Eldorado</t>
  </si>
  <si>
    <t>3943265777:spa</t>
  </si>
  <si>
    <t>3083877</t>
  </si>
  <si>
    <t>991004341549702656</t>
  </si>
  <si>
    <t>2267797890002656</t>
  </si>
  <si>
    <t>32285004929070</t>
  </si>
  <si>
    <t>893417511</t>
  </si>
  <si>
    <t>PQ8549.T7 A8 1968</t>
  </si>
  <si>
    <t>0                      PQ 8549000T  7                  A  8           1968</t>
  </si>
  <si>
    <t>Andén lejano : novela / Oswaldo Trejo.</t>
  </si>
  <si>
    <t>Trejo, Oswaldo.</t>
  </si>
  <si>
    <t>Caracas : Monte Avila Editores, [1968]</t>
  </si>
  <si>
    <t>1718523:spa</t>
  </si>
  <si>
    <t>785221</t>
  </si>
  <si>
    <t>991003817949702656</t>
  </si>
  <si>
    <t>2265613750002656</t>
  </si>
  <si>
    <t>32285004494513</t>
  </si>
  <si>
    <t>893330845</t>
  </si>
  <si>
    <t>PQ8549.U7 A16 1969</t>
  </si>
  <si>
    <t>0                      PQ 8549000U  7                  A  16          1969</t>
  </si>
  <si>
    <t>En busca del Nuevo Mundo / Arturo Uslar-Pietri.</t>
  </si>
  <si>
    <t>México : Fondo de Cultura Económica, [1969]</t>
  </si>
  <si>
    <t>Colección popular ; 93</t>
  </si>
  <si>
    <t>148061858:spa</t>
  </si>
  <si>
    <t>1123596</t>
  </si>
  <si>
    <t>991004339569702656</t>
  </si>
  <si>
    <t>2265313510002656</t>
  </si>
  <si>
    <t>32285004929211</t>
  </si>
  <si>
    <t>893794748</t>
  </si>
  <si>
    <t>PQ8549.U7 B3 1978</t>
  </si>
  <si>
    <t>0                      PQ 8549000U  7                  B  3           1978</t>
  </si>
  <si>
    <t>Barrabas y otros relatos / Arturo Uslar Pietri.</t>
  </si>
  <si>
    <t>Caracas : Monte Avila Editores, c1978.</t>
  </si>
  <si>
    <t>2452440144:spa</t>
  </si>
  <si>
    <t>5173389</t>
  </si>
  <si>
    <t>991003750499702656</t>
  </si>
  <si>
    <t>2257574760002656</t>
  </si>
  <si>
    <t>32285004457429</t>
  </si>
  <si>
    <t>893445832</t>
  </si>
  <si>
    <t>PQ8549.U7 I8 1981</t>
  </si>
  <si>
    <t>0                      PQ 8549000U  7                  I  8           1981</t>
  </si>
  <si>
    <t>La isla de Raobinson / Arturo Uslar Pietri.</t>
  </si>
  <si>
    <t>Barcelona : Editorial Seix Barral, 1981.</t>
  </si>
  <si>
    <t>Biblioteca breve ; 473</t>
  </si>
  <si>
    <t>5619814323:spa</t>
  </si>
  <si>
    <t>8042636</t>
  </si>
  <si>
    <t>991004332869702656</t>
  </si>
  <si>
    <t>2257771300002656</t>
  </si>
  <si>
    <t>9788432203923</t>
  </si>
  <si>
    <t>32285004925359</t>
  </si>
  <si>
    <t>893436160</t>
  </si>
  <si>
    <t>PQ8549.U7 O4 1976</t>
  </si>
  <si>
    <t>0                      PQ 8549000U  7                  O  4           1976</t>
  </si>
  <si>
    <t>Oficio de difuntos / Arturo Uslar Pietri.</t>
  </si>
  <si>
    <t>Biblioteca breve ; 419 : Novela</t>
  </si>
  <si>
    <t>48396720:spa</t>
  </si>
  <si>
    <t>3033382</t>
  </si>
  <si>
    <t>991004026799702656</t>
  </si>
  <si>
    <t>2264097710002656</t>
  </si>
  <si>
    <t>9788432203039</t>
  </si>
  <si>
    <t>32285004742416</t>
  </si>
  <si>
    <t>893429571</t>
  </si>
  <si>
    <t>PQ8549.U7 Z8 1969</t>
  </si>
  <si>
    <t>0                      PQ 8549000U  7                  Z  8           1969</t>
  </si>
  <si>
    <t>Uslar Pietri : renovador del cuento venezolano / Domingo Miliani.</t>
  </si>
  <si>
    <t>Miliani, Domingo.</t>
  </si>
  <si>
    <t>Caracas : Monte Avila Editores, 1969.</t>
  </si>
  <si>
    <t>147689070:spa</t>
  </si>
  <si>
    <t>47229818</t>
  </si>
  <si>
    <t>991003730739702656</t>
  </si>
  <si>
    <t>2272322660002656</t>
  </si>
  <si>
    <t>32285004452214</t>
  </si>
  <si>
    <t>893800083</t>
  </si>
  <si>
    <t>PQ8549.U7 Z89 1984</t>
  </si>
  <si>
    <t>0                      PQ 8549000U  7                  Z  89          1984</t>
  </si>
  <si>
    <t>El Valor humano de Arturo Uslar Pietri : homenaje de la Academia Nacional de la Historia a su numerario Dr. Arturo Uslar Pietri / Academia Nacional de la Historia ; ediciaon dirigida por Tomaas Polanco Alcaantara.</t>
  </si>
  <si>
    <t>Caracas : La Academia, 1984.</t>
  </si>
  <si>
    <t>918626598:spa</t>
  </si>
  <si>
    <t>13359967</t>
  </si>
  <si>
    <t>991004333059702656</t>
  </si>
  <si>
    <t>2261495360002656</t>
  </si>
  <si>
    <t>32285004925318</t>
  </si>
  <si>
    <t>893436162</t>
  </si>
  <si>
    <t>PQ8549.U7 Z9 1963</t>
  </si>
  <si>
    <t>0                      PQ 8549000U  7                  Z  9           1963</t>
  </si>
  <si>
    <t>La cuentística de Arturo Uslar Pietri / [por] José Luis Vivas.</t>
  </si>
  <si>
    <t>Vivas Maldonado, José Luis.</t>
  </si>
  <si>
    <t>Caracas : Universidad Central de Venezuela, Facultad de Humanidades y Educación, 1963.</t>
  </si>
  <si>
    <t>Publicaciones del Decanato</t>
  </si>
  <si>
    <t>366794555:spa</t>
  </si>
  <si>
    <t>630922</t>
  </si>
  <si>
    <t>991003810969702656</t>
  </si>
  <si>
    <t>2262318180002656</t>
  </si>
  <si>
    <t>32285004489109</t>
  </si>
  <si>
    <t>893429250</t>
  </si>
  <si>
    <t>PQ8550.1.L5 E8 1972</t>
  </si>
  <si>
    <t>0                      PQ 8550100L  5                  E  8           1972</t>
  </si>
  <si>
    <t>Esta vida del diablo : novela / David Alizo.</t>
  </si>
  <si>
    <t>Alizo, David.</t>
  </si>
  <si>
    <t>[Caracas] : Monte Avila Editores, [c1972]</t>
  </si>
  <si>
    <t>Colección Continente ; 406</t>
  </si>
  <si>
    <t>365800618:spa</t>
  </si>
  <si>
    <t>1886883</t>
  </si>
  <si>
    <t>991004052489702656</t>
  </si>
  <si>
    <t>2255820940002656</t>
  </si>
  <si>
    <t>32285004632542</t>
  </si>
  <si>
    <t>893881998</t>
  </si>
  <si>
    <t>PQ8550.12.R5 A64 1979</t>
  </si>
  <si>
    <t>0                      PQ 8550120R  5                  A  64          1979</t>
  </si>
  <si>
    <t>Abrapalabra / Luis Britto García</t>
  </si>
  <si>
    <t>Britto García, Luis.</t>
  </si>
  <si>
    <t>Caracas : Monte Avila Editores, 1979</t>
  </si>
  <si>
    <t>Colección Continentes</t>
  </si>
  <si>
    <t>921035:spa</t>
  </si>
  <si>
    <t>6655450</t>
  </si>
  <si>
    <t>991003830119702656</t>
  </si>
  <si>
    <t>2261136820002656</t>
  </si>
  <si>
    <t>32285004495320</t>
  </si>
  <si>
    <t>893429274</t>
  </si>
  <si>
    <t>PQ8550.12.R5 R3 1970</t>
  </si>
  <si>
    <t>0                      PQ 8550120R  5                  R  3           1970</t>
  </si>
  <si>
    <t>Rajatabla / Luis Brito Garcia.</t>
  </si>
  <si>
    <t>1440250:spa</t>
  </si>
  <si>
    <t>2481758</t>
  </si>
  <si>
    <t>991003817989702656</t>
  </si>
  <si>
    <t>2263549660002656</t>
  </si>
  <si>
    <t>32285004494554</t>
  </si>
  <si>
    <t>893875229</t>
  </si>
  <si>
    <t>PQ8550.13.A37 B5 1978</t>
  </si>
  <si>
    <t>0                      PQ 8550130A  37                 B  5           1978</t>
  </si>
  <si>
    <t>Bicéfalo / Juan Calzadilla.</t>
  </si>
  <si>
    <t>Calzadilla, Juan.</t>
  </si>
  <si>
    <t>Caracas : Monte Avila Editores, [1978]</t>
  </si>
  <si>
    <t>15039366:spa</t>
  </si>
  <si>
    <t>4825982</t>
  </si>
  <si>
    <t>991003835009702656</t>
  </si>
  <si>
    <t>2258363090002656</t>
  </si>
  <si>
    <t>32285004496187</t>
  </si>
  <si>
    <t>893258930</t>
  </si>
  <si>
    <t>PQ8550.17.U26 E86 1969</t>
  </si>
  <si>
    <t>0                      PQ 8550170U  26                 E  86          1969</t>
  </si>
  <si>
    <t>El espejo negro : cuentos / Mary Guerrero.</t>
  </si>
  <si>
    <t>Guerrero, Mary.</t>
  </si>
  <si>
    <t>365545348:spa</t>
  </si>
  <si>
    <t>2079173</t>
  </si>
  <si>
    <t>991003759229702656</t>
  </si>
  <si>
    <t>2260106220002656</t>
  </si>
  <si>
    <t>32285004459904</t>
  </si>
  <si>
    <t>893598946</t>
  </si>
  <si>
    <t>PQ8550.22.E6 O8 1968</t>
  </si>
  <si>
    <t>0                      PQ 8550220E  6                  O  8           1968</t>
  </si>
  <si>
    <t>Otra memoria : relatos / Jesus Alberto Leon.</t>
  </si>
  <si>
    <t>León, Jesús Alberto, 1940-</t>
  </si>
  <si>
    <t>147840943:spa</t>
  </si>
  <si>
    <t>1049466</t>
  </si>
  <si>
    <t>991003759249702656</t>
  </si>
  <si>
    <t>2268043130002656</t>
  </si>
  <si>
    <t>32285004460134</t>
  </si>
  <si>
    <t>893794001</t>
  </si>
  <si>
    <t>PQ8550.22.I3 S5 1989</t>
  </si>
  <si>
    <t>0                      PQ 8550220I  3                  S  5           1989</t>
  </si>
  <si>
    <t>Si yo fuera Pedro Infante / Eduardo Liendo.</t>
  </si>
  <si>
    <t>Liendo, Eduardo.</t>
  </si>
  <si>
    <t>Caracas, Venezuela : Alfadil Ediciones, 1989.</t>
  </si>
  <si>
    <t>Colección Orinoco ; 23</t>
  </si>
  <si>
    <t>24438104:spa</t>
  </si>
  <si>
    <t>22533975</t>
  </si>
  <si>
    <t>991004334439702656</t>
  </si>
  <si>
    <t>2263445510002656</t>
  </si>
  <si>
    <t>9789806005716</t>
  </si>
  <si>
    <t>32285004927488</t>
  </si>
  <si>
    <t>893593557</t>
  </si>
  <si>
    <t>PQ8550.23.A8 L55 1975</t>
  </si>
  <si>
    <t>0                      PQ 8550230A  8                  L  55          1975</t>
  </si>
  <si>
    <t>El Llanero Solitario tiene la cabeza pelada como un cepillo de dientes : relatos / Francisco Massiani.</t>
  </si>
  <si>
    <t>Massiani, Francisco, 1944-</t>
  </si>
  <si>
    <t>Caracas : Monte Avila Editores, c1975.</t>
  </si>
  <si>
    <t>423755343:spa</t>
  </si>
  <si>
    <t>2418346</t>
  </si>
  <si>
    <t>991003846739702656</t>
  </si>
  <si>
    <t>2268966880002656</t>
  </si>
  <si>
    <t>32285004499975</t>
  </si>
  <si>
    <t>893693209</t>
  </si>
  <si>
    <t>PQ8550.23.O7 A6 1995</t>
  </si>
  <si>
    <t>0                      PQ 8550230O  7                  A  6           1995</t>
  </si>
  <si>
    <t>Obra escogida / Guillermo Morón ; selección y prólogo, José Ramón Medina ; cronología y bibliografía, Roberto J. Lovera De-Sola.</t>
  </si>
  <si>
    <t>Caracas : Biblioteca Ayacucho, 1995.</t>
  </si>
  <si>
    <t>Biblioteca Ayacucho ; 211</t>
  </si>
  <si>
    <t>5218502385:spa</t>
  </si>
  <si>
    <t>35226099</t>
  </si>
  <si>
    <t>991003681449702656</t>
  </si>
  <si>
    <t>2256148950002656</t>
  </si>
  <si>
    <t>9789802763139</t>
  </si>
  <si>
    <t>32285004412291</t>
  </si>
  <si>
    <t>893699282</t>
  </si>
  <si>
    <t>PQ8550.24.O52 H57 1971</t>
  </si>
  <si>
    <t>0                      PQ 8550240O  52                 H  57          1971</t>
  </si>
  <si>
    <t>Historias de la calle Lincoln / Carlos Noguera.</t>
  </si>
  <si>
    <t>Noguera, Carlos.</t>
  </si>
  <si>
    <t>[Caracas, Venezuela] : Monte Avila Editores, 1971.</t>
  </si>
  <si>
    <t>1897511:spa</t>
  </si>
  <si>
    <t>939490</t>
  </si>
  <si>
    <t>991003846679702656</t>
  </si>
  <si>
    <t>2264916860002656</t>
  </si>
  <si>
    <t>32285004499959</t>
  </si>
  <si>
    <t>893506057</t>
  </si>
  <si>
    <t>PQ8550.24.O52 I5 1979</t>
  </si>
  <si>
    <t>0                      PQ 8550240O  52                 I  5           1979</t>
  </si>
  <si>
    <t>Inventando los días : novela / Carlos Noguera ; [portada, Juan Fresán].</t>
  </si>
  <si>
    <t>Caracas, Venezuela : Monte Avila Editores, [1979]</t>
  </si>
  <si>
    <t>917118521:spa</t>
  </si>
  <si>
    <t>6393058</t>
  </si>
  <si>
    <t>991003762399702656</t>
  </si>
  <si>
    <t>2260086150002656</t>
  </si>
  <si>
    <t>32285004460639</t>
  </si>
  <si>
    <t>893499667</t>
  </si>
  <si>
    <t>PQ8550.26.A48 A64 1969</t>
  </si>
  <si>
    <t>0                      PQ 8550260A  48                 A  64          1969</t>
  </si>
  <si>
    <t>Ana Isabel : una niña decente : novela / Antonia Palacios.</t>
  </si>
  <si>
    <t>4202293140:spa</t>
  </si>
  <si>
    <t>2458193</t>
  </si>
  <si>
    <t>991003762719702656</t>
  </si>
  <si>
    <t>2268275540002656</t>
  </si>
  <si>
    <t>32285004460852</t>
  </si>
  <si>
    <t>893252753</t>
  </si>
  <si>
    <t>PQ8550.26.A48 F5 1989</t>
  </si>
  <si>
    <t>0                      PQ 8550260A  48                 F  5           1989</t>
  </si>
  <si>
    <t>Ficciones y aflicciones / Antonia Palacios ; selección y prólogo, Luis Alberto Crespo ; cronología y bibliografía, Antonio López Ortega.</t>
  </si>
  <si>
    <t>Caracas, Venezuela : Biblioteca Ayacucho, [1989]</t>
  </si>
  <si>
    <t>Biblioteca Ayacucho ; 146</t>
  </si>
  <si>
    <t>26298893:spa</t>
  </si>
  <si>
    <t>24147941</t>
  </si>
  <si>
    <t>991003714839702656</t>
  </si>
  <si>
    <t>2268446570002656</t>
  </si>
  <si>
    <t>9789802761036</t>
  </si>
  <si>
    <t>32285004449574</t>
  </si>
  <si>
    <t>893336838</t>
  </si>
  <si>
    <t>PQ8550.26.A67 L5 1970</t>
  </si>
  <si>
    <t>0                      PQ 8550260A  67                 L  5           1970</t>
  </si>
  <si>
    <t>El libro de Fenris : poemas / Pedro Parayma.</t>
  </si>
  <si>
    <t>Parayma, Pedro, 1941-</t>
  </si>
  <si>
    <t>Caracas : Monte Avila Editores, 1970.</t>
  </si>
  <si>
    <t>495489833:spa</t>
  </si>
  <si>
    <t>1984719</t>
  </si>
  <si>
    <t>991003750429702656</t>
  </si>
  <si>
    <t>2260493230002656</t>
  </si>
  <si>
    <t>32285004457411</t>
  </si>
  <si>
    <t>893775109</t>
  </si>
  <si>
    <t>PQ8850.2.I48 A6 1995</t>
  </si>
  <si>
    <t>0                      PQ 8850200I  48                 A  6           1995</t>
  </si>
  <si>
    <t>Cuentos escogidos / Alberto Jimaenez Ure.</t>
  </si>
  <si>
    <t>Jiménez Ure, Alberto, 1952-</t>
  </si>
  <si>
    <t>Caracas : Monte Avila Editores Latinoamericana, 1995, c1993.</t>
  </si>
  <si>
    <t>3901465780:spa</t>
  </si>
  <si>
    <t>33408346</t>
  </si>
  <si>
    <t>991004334829702656</t>
  </si>
  <si>
    <t>2255855710002656</t>
  </si>
  <si>
    <t>9789800108543</t>
  </si>
  <si>
    <t>32285004928155</t>
  </si>
  <si>
    <t>893253571</t>
  </si>
  <si>
    <t>PQ9261.R536 C6413 1991</t>
  </si>
  <si>
    <t>0                      PQ 9261000R  536                C  6413        1991</t>
  </si>
  <si>
    <t>Tales from the mountain / Miguel Torga ; translated by Ivana Carlsen.</t>
  </si>
  <si>
    <t>Torga, Miguel, 1907-1995.</t>
  </si>
  <si>
    <t>Fort Bragg, Calif. : Q.E.D. Press, c1991.</t>
  </si>
  <si>
    <t>1996-12-14</t>
  </si>
  <si>
    <t>5090450398:eng</t>
  </si>
  <si>
    <t>23649830</t>
  </si>
  <si>
    <t>991001872469702656</t>
  </si>
  <si>
    <t>2261829130002656</t>
  </si>
  <si>
    <t>9780936609249</t>
  </si>
  <si>
    <t>32285002396850</t>
  </si>
  <si>
    <t>893590705</t>
  </si>
  <si>
    <t>PQ9511 .G6 1978</t>
  </si>
  <si>
    <t>0                      PQ 9511000G  6           1978</t>
  </si>
  <si>
    <t>Brazilian literature / Isaac Goldberg ; with a foreword by J. D. M. Ford.</t>
  </si>
  <si>
    <t>Goldberg, Isaac, 1887-1938.</t>
  </si>
  <si>
    <t>Great Neck, N.Y. : Core Collection Books, 1978.</t>
  </si>
  <si>
    <t>Essay index in reprint</t>
  </si>
  <si>
    <t>1994-09-19</t>
  </si>
  <si>
    <t>583404:eng</t>
  </si>
  <si>
    <t>4555360</t>
  </si>
  <si>
    <t>991004679709702656</t>
  </si>
  <si>
    <t>2256494910002656</t>
  </si>
  <si>
    <t>9780848630195</t>
  </si>
  <si>
    <t>32285000684505</t>
  </si>
  <si>
    <t>893344126</t>
  </si>
  <si>
    <t>PQ9697.A6 M418 1977</t>
  </si>
  <si>
    <t>0                      PQ 9697000A  6                  M  418         1977</t>
  </si>
  <si>
    <t>Memorias de un sargento de milicias / Manuel Antônio de Almeida ; prólogo y notas, Antonio Cándido ; cronología, Laura de Campos Vergueira ; traducción, Elvio Romero.</t>
  </si>
  <si>
    <t>Almeida, Manuel Antônio de, 1831-1861.</t>
  </si>
  <si>
    <t>Caracas, Venezuela : Biblioteca Ayacucho, 1977.</t>
  </si>
  <si>
    <t>Biblioteca Ayacucho ; 25</t>
  </si>
  <si>
    <t>10567637897:spa</t>
  </si>
  <si>
    <t>25827246</t>
  </si>
  <si>
    <t>991003682829702656</t>
  </si>
  <si>
    <t>2267451740002656</t>
  </si>
  <si>
    <t>32285004412598</t>
  </si>
  <si>
    <t>893252636</t>
  </si>
  <si>
    <t>PQ9697.L544 Q8 1978</t>
  </si>
  <si>
    <t>0                      PQ 9697000L  544                Q  8           1978</t>
  </si>
  <si>
    <t>Dos novelas / Lima Barreto ; prólogo y cronología Francisco de Assis Barbosa.</t>
  </si>
  <si>
    <t>Barreto, Lima, 1881-1922.</t>
  </si>
  <si>
    <t>Biblioteca Ayacucho ; 49</t>
  </si>
  <si>
    <t>4925235461:spa</t>
  </si>
  <si>
    <t>13565994</t>
  </si>
  <si>
    <t>991003682059702656</t>
  </si>
  <si>
    <t>2257295230002656</t>
  </si>
  <si>
    <t>9788449900587</t>
  </si>
  <si>
    <t>32285004412481</t>
  </si>
  <si>
    <t>893349003</t>
  </si>
  <si>
    <t>PQ9697.L555 R313 1995</t>
  </si>
  <si>
    <t>0                      PQ 9697000L  555                R  313         1995</t>
  </si>
  <si>
    <t>The queen of the prisons of Greece / Osman Lins ; translated by Adria Frizzi.</t>
  </si>
  <si>
    <t>Lins, Osman, 1924-1978.</t>
  </si>
  <si>
    <t>Normal, IL : Dalkey Archive Press, 1995.</t>
  </si>
  <si>
    <t>World literature series</t>
  </si>
  <si>
    <t>2005-04-04</t>
  </si>
  <si>
    <t>110062123:eng</t>
  </si>
  <si>
    <t>30031056</t>
  </si>
  <si>
    <t>991004505609702656</t>
  </si>
  <si>
    <t>2269468750002656</t>
  </si>
  <si>
    <t>9781564780560</t>
  </si>
  <si>
    <t>32285005047724</t>
  </si>
  <si>
    <t>893801026</t>
  </si>
  <si>
    <t>PQ9697.L585 P318 1969</t>
  </si>
  <si>
    <t>0                      PQ 9697000L  585                P  318         1969</t>
  </si>
  <si>
    <t>La pasión segun G.H. : novela / Clarice Lispector ; [versión castellana: Juan Garcia Gayo]. --</t>
  </si>
  <si>
    <t>Lispector, Clarice.</t>
  </si>
  <si>
    <t>[Caracas] : Monte Avila Editores, [1969]</t>
  </si>
  <si>
    <t>10567871752:spa</t>
  </si>
  <si>
    <t>1370257</t>
  </si>
  <si>
    <t>991003816449702656</t>
  </si>
  <si>
    <t>2261762920002656</t>
  </si>
  <si>
    <t>32285004493606</t>
  </si>
  <si>
    <t>893718106</t>
  </si>
  <si>
    <t>PQ9697.M18 Q537 1979</t>
  </si>
  <si>
    <t>0                      PQ 9697000M  18                 Q  537         1979</t>
  </si>
  <si>
    <t>Quincas Borba / Joaquín Machado M. de Assis ; traducción Juan García Gayo ; prólogo y notas, Roberto Schwarz ; cronología, Neusa Pinsard Caccese ; [diseño, Juan Fresán].</t>
  </si>
  <si>
    <t>Machado de Assis, 1839-1908.</t>
  </si>
  <si>
    <t>Caracas : Biblioteca Ayacucho, [1979]</t>
  </si>
  <si>
    <t>Biblioteca Ayacucho ; 52</t>
  </si>
  <si>
    <t>596978:spa</t>
  </si>
  <si>
    <t>6655510</t>
  </si>
  <si>
    <t>991003681929702656</t>
  </si>
  <si>
    <t>2260984210002656</t>
  </si>
  <si>
    <t>9788466000086</t>
  </si>
  <si>
    <t>32285004412457</t>
  </si>
  <si>
    <t>893775037</t>
  </si>
  <si>
    <t>PQ9698.26.I5 D613 1992</t>
  </si>
  <si>
    <t>0                      PQ 9698260I  5                  D  613         1992</t>
  </si>
  <si>
    <t>Caetana's sweet song / Nélida Piñon ; translated from the Portuguese by Helen Lane.</t>
  </si>
  <si>
    <t>Piñon, Nélida.</t>
  </si>
  <si>
    <t>New York : Knopf : Distributed by Random House, 1992.</t>
  </si>
  <si>
    <t>1992-07-27</t>
  </si>
  <si>
    <t>1992-07-22</t>
  </si>
  <si>
    <t>2287099764:eng</t>
  </si>
  <si>
    <t>24218359</t>
  </si>
  <si>
    <t>991001918619702656</t>
  </si>
  <si>
    <t>2271759880002656</t>
  </si>
  <si>
    <t>9780394589978</t>
  </si>
  <si>
    <t>32285001159820</t>
  </si>
  <si>
    <t>893322357</t>
  </si>
  <si>
    <t>PQ9939.M66 N413 2001</t>
  </si>
  <si>
    <t>0                      PQ 9939000M  66                 N  413         2001</t>
  </si>
  <si>
    <t>Neighbours : the story of a murder / Lília Momplé ; translated by Richard Bartlett and Isaura de Oliveira.</t>
  </si>
  <si>
    <t>Momplé, Lilia, 1935-</t>
  </si>
  <si>
    <t>Oxford : Heinemann, 2001.</t>
  </si>
  <si>
    <t>African writers series</t>
  </si>
  <si>
    <t>6162159:eng</t>
  </si>
  <si>
    <t>48110567</t>
  </si>
  <si>
    <t>991004017999702656</t>
  </si>
  <si>
    <t>2259252610002656</t>
  </si>
  <si>
    <t>9780435912093</t>
  </si>
  <si>
    <t>32285004740915</t>
  </si>
  <si>
    <t>893324829</t>
  </si>
  <si>
    <t>Collection Code</t>
  </si>
  <si>
    <t>Location Code</t>
  </si>
  <si>
    <t>Display Call Number</t>
  </si>
  <si>
    <t>Display Call Number Normalized</t>
  </si>
  <si>
    <t>Title</t>
  </si>
  <si>
    <t>Enumeration</t>
  </si>
  <si>
    <t>Possible Multi-Volume Set</t>
  </si>
  <si>
    <t>Copy Number</t>
  </si>
  <si>
    <t>Possible Duplicate</t>
  </si>
  <si>
    <t>Multi-Edition Title</t>
  </si>
  <si>
    <t>Number of Related Ebooks</t>
  </si>
  <si>
    <t>Author</t>
  </si>
  <si>
    <t>Publisher</t>
  </si>
  <si>
    <t>Publication Year</t>
  </si>
  <si>
    <t>Edition</t>
  </si>
  <si>
    <t>Primary Language</t>
  </si>
  <si>
    <t>Place of Publication</t>
  </si>
  <si>
    <t>Series</t>
  </si>
  <si>
    <t>LC Subclass</t>
  </si>
  <si>
    <t>Recorded Uses - Item</t>
  </si>
  <si>
    <t>Recorded Uses - Title</t>
  </si>
  <si>
    <t>Last Charge Date - Item</t>
  </si>
  <si>
    <t>Last Charge Date - Title</t>
  </si>
  <si>
    <t>Last Add Date - Item</t>
  </si>
  <si>
    <t>Last Add Date - Title</t>
  </si>
  <si>
    <t>Global Holdings - Same Edition</t>
  </si>
  <si>
    <t>US Holdings - Same Edition</t>
  </si>
  <si>
    <t>Nebraska Holdings - Same Edition</t>
  </si>
  <si>
    <t>All Comparator Library Holdings - Same Edition</t>
  </si>
  <si>
    <t>Affinity Libraries - Same Edition</t>
  </si>
  <si>
    <t>Affinity Libraries - Any Edition</t>
  </si>
  <si>
    <t>Big East - Same Edition</t>
  </si>
  <si>
    <t>Big East - Any Edition</t>
  </si>
  <si>
    <t>AJCU - Same Edition</t>
  </si>
  <si>
    <t>AJCU - Any Edition</t>
  </si>
  <si>
    <t>Nebraska Colleges &amp; Universities - Same Edition</t>
  </si>
  <si>
    <t>Nebraska Colleges &amp; Universities - Any Edition</t>
  </si>
  <si>
    <t>MALLCO - Same Edition</t>
  </si>
  <si>
    <t>MALLCO - Any Edition</t>
  </si>
  <si>
    <t>HathiTrust Public Domain</t>
  </si>
  <si>
    <t>HathiTrust In Copyright</t>
  </si>
  <si>
    <t>HathiTrust URL</t>
  </si>
  <si>
    <t>OPAC URL</t>
  </si>
  <si>
    <t>WorldCat URL</t>
  </si>
  <si>
    <t>OCLC Work ID</t>
  </si>
  <si>
    <t>WorldCat OCLC Number</t>
  </si>
  <si>
    <t>Bib Record Number</t>
  </si>
  <si>
    <t>Bib Control Number</t>
  </si>
  <si>
    <t>Item Control Number</t>
  </si>
  <si>
    <t>Item Type Code</t>
  </si>
  <si>
    <t>Item Status Code</t>
  </si>
  <si>
    <t>ISBN</t>
  </si>
  <si>
    <t>Barcode</t>
  </si>
  <si>
    <t>SCS Item ID</t>
  </si>
  <si>
    <t>Keep in Collection? (Yes/No)</t>
  </si>
  <si>
    <t>US Holdings</t>
  </si>
  <si>
    <t xml:space="preserve">Nebraska Holdings </t>
  </si>
  <si>
    <t>All Comparator Library Holdings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</si>
</sst>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Protection="1">
      <protection locked="0"/>
    </xf>
    <xf numFmtId="0" fontId="1" fillId="2" borderId="0" xfId="0" applyFont="1" applyFill="1" applyAlignment="1" applyProtection="1">
      <alignment horizontal="center" vertical="center" wrapText="1"/>
      <protection locked="0"/>
    </xf>
    <xf numFmtId="3" fontId="0" fillId="0" borderId="0" xfId="0" applyNumberFormat="1" applyFill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2FEA7-F2E8-4ECC-A985-714FF8747902}">
  <dimension ref="A1:BF1304"/>
  <sheetViews>
    <sheetView tabSelected="1" workbookViewId="0">
      <pane ySplit="1" topLeftCell="A2" activePane="bottomLeft" state="frozen"/>
      <selection pane="bottomLeft" activeCell="D2" sqref="D2"/>
    </sheetView>
  </sheetViews>
  <sheetFormatPr defaultRowHeight="15" x14ac:dyDescent="0.25"/>
  <cols>
    <col min="1" max="1" width="13.28515625" customWidth="1"/>
    <col min="2" max="3" width="0" hidden="1" customWidth="1"/>
    <col min="5" max="5" width="0" hidden="1" customWidth="1"/>
    <col min="6" max="6" width="66.85546875" customWidth="1"/>
    <col min="8" max="12" width="0" hidden="1" customWidth="1"/>
    <col min="16" max="19" width="0" hidden="1" customWidth="1"/>
    <col min="22" max="28" width="0" hidden="1" customWidth="1"/>
    <col min="30" max="30" width="0" hidden="1" customWidth="1"/>
    <col min="31" max="31" width="9.140625" style="10"/>
    <col min="32" max="32" width="0" style="10" hidden="1" customWidth="1"/>
    <col min="33" max="33" width="9.140625" style="10"/>
    <col min="34" max="43" width="0" hidden="1" customWidth="1"/>
    <col min="49" max="58" width="0" hidden="1" customWidth="1"/>
  </cols>
  <sheetData>
    <row r="1" spans="1:58" ht="39.75" customHeight="1" x14ac:dyDescent="0.25">
      <c r="A1" s="8" t="s">
        <v>16012</v>
      </c>
      <c r="B1" s="6" t="s">
        <v>15958</v>
      </c>
      <c r="C1" s="6" t="s">
        <v>15959</v>
      </c>
      <c r="D1" s="6" t="s">
        <v>15960</v>
      </c>
      <c r="E1" s="6" t="s">
        <v>15961</v>
      </c>
      <c r="F1" s="6" t="s">
        <v>15962</v>
      </c>
      <c r="G1" s="6" t="s">
        <v>15963</v>
      </c>
      <c r="H1" s="6" t="s">
        <v>15964</v>
      </c>
      <c r="I1" s="6" t="s">
        <v>15965</v>
      </c>
      <c r="J1" s="6" t="s">
        <v>15966</v>
      </c>
      <c r="K1" s="6" t="s">
        <v>15967</v>
      </c>
      <c r="L1" s="6" t="s">
        <v>15968</v>
      </c>
      <c r="M1" s="6" t="s">
        <v>15969</v>
      </c>
      <c r="N1" s="6" t="s">
        <v>15970</v>
      </c>
      <c r="O1" s="6" t="s">
        <v>15971</v>
      </c>
      <c r="P1" s="6" t="s">
        <v>15972</v>
      </c>
      <c r="Q1" s="6" t="s">
        <v>15973</v>
      </c>
      <c r="R1" s="6" t="s">
        <v>15974</v>
      </c>
      <c r="S1" s="6" t="s">
        <v>15975</v>
      </c>
      <c r="T1" s="6" t="s">
        <v>15976</v>
      </c>
      <c r="U1" s="6" t="s">
        <v>15977</v>
      </c>
      <c r="V1" s="6" t="s">
        <v>15978</v>
      </c>
      <c r="W1" s="6" t="s">
        <v>15979</v>
      </c>
      <c r="X1" s="6" t="s">
        <v>15980</v>
      </c>
      <c r="Y1" s="6" t="s">
        <v>15981</v>
      </c>
      <c r="Z1" s="6" t="s">
        <v>15982</v>
      </c>
      <c r="AA1" s="6" t="s">
        <v>15983</v>
      </c>
      <c r="AB1" s="6" t="s">
        <v>15984</v>
      </c>
      <c r="AC1" s="6" t="s">
        <v>16013</v>
      </c>
      <c r="AD1" s="6" t="s">
        <v>15985</v>
      </c>
      <c r="AE1" s="6" t="s">
        <v>16014</v>
      </c>
      <c r="AF1" s="6" t="s">
        <v>15986</v>
      </c>
      <c r="AG1" s="6" t="s">
        <v>16015</v>
      </c>
      <c r="AH1" s="6" t="s">
        <v>15987</v>
      </c>
      <c r="AI1" s="6" t="s">
        <v>15988</v>
      </c>
      <c r="AJ1" s="6" t="s">
        <v>15989</v>
      </c>
      <c r="AK1" s="6" t="s">
        <v>15990</v>
      </c>
      <c r="AL1" s="6" t="s">
        <v>15991</v>
      </c>
      <c r="AM1" s="6" t="s">
        <v>15992</v>
      </c>
      <c r="AN1" s="6" t="s">
        <v>15993</v>
      </c>
      <c r="AO1" s="6" t="s">
        <v>15994</v>
      </c>
      <c r="AP1" s="6" t="s">
        <v>15995</v>
      </c>
      <c r="AQ1" s="6" t="s">
        <v>15996</v>
      </c>
      <c r="AR1" s="6" t="s">
        <v>15997</v>
      </c>
      <c r="AS1" s="6" t="s">
        <v>15998</v>
      </c>
      <c r="AT1" s="6" t="s">
        <v>15999</v>
      </c>
      <c r="AU1" s="6" t="s">
        <v>16000</v>
      </c>
      <c r="AV1" s="6" t="s">
        <v>16001</v>
      </c>
      <c r="AW1" s="6" t="s">
        <v>16002</v>
      </c>
      <c r="AX1" s="6" t="s">
        <v>16003</v>
      </c>
      <c r="AY1" s="6" t="s">
        <v>16004</v>
      </c>
      <c r="AZ1" s="6" t="s">
        <v>16005</v>
      </c>
      <c r="BA1" s="6" t="s">
        <v>16006</v>
      </c>
      <c r="BB1" s="6" t="s">
        <v>16007</v>
      </c>
      <c r="BC1" s="6" t="s">
        <v>16008</v>
      </c>
      <c r="BD1" s="6" t="s">
        <v>16009</v>
      </c>
      <c r="BE1" s="6" t="s">
        <v>16010</v>
      </c>
      <c r="BF1" s="6" t="s">
        <v>16011</v>
      </c>
    </row>
    <row r="2" spans="1:58" ht="39.75" customHeight="1" x14ac:dyDescent="0.25">
      <c r="A2" s="7" t="s">
        <v>5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H2" s="2" t="s">
        <v>5</v>
      </c>
      <c r="I2" s="2" t="s">
        <v>6</v>
      </c>
      <c r="J2" s="2" t="s">
        <v>5</v>
      </c>
      <c r="K2" s="2" t="s">
        <v>5</v>
      </c>
      <c r="L2" s="2" t="s">
        <v>7</v>
      </c>
      <c r="M2" s="1" t="s">
        <v>8</v>
      </c>
      <c r="N2" s="1" t="s">
        <v>9</v>
      </c>
      <c r="O2" s="2" t="s">
        <v>10</v>
      </c>
      <c r="Q2" s="2" t="s">
        <v>11</v>
      </c>
      <c r="R2" s="2" t="s">
        <v>12</v>
      </c>
      <c r="T2" s="2" t="s">
        <v>13</v>
      </c>
      <c r="U2" s="3">
        <v>1</v>
      </c>
      <c r="V2" s="3">
        <v>1</v>
      </c>
      <c r="W2" s="4" t="s">
        <v>14</v>
      </c>
      <c r="X2" s="4" t="s">
        <v>14</v>
      </c>
      <c r="Y2" s="4" t="s">
        <v>15</v>
      </c>
      <c r="Z2" s="4" t="s">
        <v>15</v>
      </c>
      <c r="AA2" s="3">
        <v>318</v>
      </c>
      <c r="AB2" s="3">
        <v>212</v>
      </c>
      <c r="AC2" s="3">
        <v>213</v>
      </c>
      <c r="AD2" s="3">
        <v>3</v>
      </c>
      <c r="AE2" s="9">
        <v>3</v>
      </c>
      <c r="AF2" s="9">
        <v>13</v>
      </c>
      <c r="AG2" s="9">
        <v>13</v>
      </c>
      <c r="AH2" s="3">
        <v>1</v>
      </c>
      <c r="AI2" s="3">
        <v>1</v>
      </c>
      <c r="AJ2" s="3">
        <v>3</v>
      </c>
      <c r="AK2" s="3">
        <v>3</v>
      </c>
      <c r="AL2" s="3">
        <v>9</v>
      </c>
      <c r="AM2" s="3">
        <v>9</v>
      </c>
      <c r="AN2" s="3">
        <v>2</v>
      </c>
      <c r="AO2" s="3">
        <v>2</v>
      </c>
      <c r="AP2" s="3">
        <v>0</v>
      </c>
      <c r="AQ2" s="3">
        <v>0</v>
      </c>
      <c r="AR2" s="2" t="s">
        <v>5</v>
      </c>
      <c r="AS2" s="2" t="s">
        <v>5</v>
      </c>
      <c r="AU2" s="5" t="str">
        <f>HYPERLINK("https://creighton-primo.hosted.exlibrisgroup.com/primo-explore/search?tab=default_tab&amp;search_scope=EVERYTHING&amp;vid=01CRU&amp;lang=en_US&amp;offset=0&amp;query=any,contains,991003698499702656","Catalog Record")</f>
        <v>Catalog Record</v>
      </c>
      <c r="AV2" s="5" t="str">
        <f>HYPERLINK("http://www.worldcat.org/oclc/1332798","WorldCat Record")</f>
        <v>WorldCat Record</v>
      </c>
      <c r="AW2" s="2" t="s">
        <v>16</v>
      </c>
      <c r="AX2" s="2" t="s">
        <v>17</v>
      </c>
      <c r="AY2" s="2" t="s">
        <v>18</v>
      </c>
      <c r="AZ2" s="2" t="s">
        <v>18</v>
      </c>
      <c r="BA2" s="2" t="s">
        <v>19</v>
      </c>
      <c r="BB2" s="2" t="s">
        <v>20</v>
      </c>
      <c r="BE2" s="2" t="s">
        <v>21</v>
      </c>
      <c r="BF2" s="2" t="s">
        <v>22</v>
      </c>
    </row>
    <row r="3" spans="1:58" ht="39.75" customHeight="1" x14ac:dyDescent="0.25">
      <c r="A3" s="7" t="s">
        <v>5</v>
      </c>
      <c r="B3" s="1" t="s">
        <v>0</v>
      </c>
      <c r="C3" s="1" t="s">
        <v>1</v>
      </c>
      <c r="D3" s="1" t="s">
        <v>23</v>
      </c>
      <c r="E3" s="1" t="s">
        <v>24</v>
      </c>
      <c r="F3" s="1" t="s">
        <v>25</v>
      </c>
      <c r="H3" s="2" t="s">
        <v>5</v>
      </c>
      <c r="I3" s="2" t="s">
        <v>6</v>
      </c>
      <c r="J3" s="2" t="s">
        <v>5</v>
      </c>
      <c r="K3" s="2" t="s">
        <v>5</v>
      </c>
      <c r="L3" s="2" t="s">
        <v>7</v>
      </c>
      <c r="N3" s="1" t="s">
        <v>26</v>
      </c>
      <c r="O3" s="2" t="s">
        <v>27</v>
      </c>
      <c r="Q3" s="2" t="s">
        <v>11</v>
      </c>
      <c r="R3" s="2" t="s">
        <v>28</v>
      </c>
      <c r="T3" s="2" t="s">
        <v>13</v>
      </c>
      <c r="U3" s="3">
        <v>8</v>
      </c>
      <c r="V3" s="3">
        <v>8</v>
      </c>
      <c r="W3" s="4" t="s">
        <v>29</v>
      </c>
      <c r="X3" s="4" t="s">
        <v>29</v>
      </c>
      <c r="Y3" s="4" t="s">
        <v>30</v>
      </c>
      <c r="Z3" s="4" t="s">
        <v>30</v>
      </c>
      <c r="AA3" s="3">
        <v>204</v>
      </c>
      <c r="AB3" s="3">
        <v>150</v>
      </c>
      <c r="AC3" s="3">
        <v>152</v>
      </c>
      <c r="AD3" s="3">
        <v>2</v>
      </c>
      <c r="AE3" s="9">
        <v>2</v>
      </c>
      <c r="AF3" s="9">
        <v>6</v>
      </c>
      <c r="AG3" s="9">
        <v>6</v>
      </c>
      <c r="AH3" s="3">
        <v>2</v>
      </c>
      <c r="AI3" s="3">
        <v>2</v>
      </c>
      <c r="AJ3" s="3">
        <v>2</v>
      </c>
      <c r="AK3" s="3">
        <v>2</v>
      </c>
      <c r="AL3" s="3">
        <v>1</v>
      </c>
      <c r="AM3" s="3">
        <v>1</v>
      </c>
      <c r="AN3" s="3">
        <v>1</v>
      </c>
      <c r="AO3" s="3">
        <v>1</v>
      </c>
      <c r="AP3" s="3">
        <v>0</v>
      </c>
      <c r="AQ3" s="3">
        <v>0</v>
      </c>
      <c r="AR3" s="2" t="s">
        <v>5</v>
      </c>
      <c r="AS3" s="2" t="s">
        <v>5</v>
      </c>
      <c r="AU3" s="5" t="str">
        <f>HYPERLINK("https://creighton-primo.hosted.exlibrisgroup.com/primo-explore/search?tab=default_tab&amp;search_scope=EVERYTHING&amp;vid=01CRU&amp;lang=en_US&amp;offset=0&amp;query=any,contains,991002497339702656","Catalog Record")</f>
        <v>Catalog Record</v>
      </c>
      <c r="AV3" s="5" t="str">
        <f>HYPERLINK("http://www.worldcat.org/oclc/32477465","WorldCat Record")</f>
        <v>WorldCat Record</v>
      </c>
      <c r="AW3" s="2" t="s">
        <v>31</v>
      </c>
      <c r="AX3" s="2" t="s">
        <v>32</v>
      </c>
      <c r="AY3" s="2" t="s">
        <v>33</v>
      </c>
      <c r="AZ3" s="2" t="s">
        <v>33</v>
      </c>
      <c r="BA3" s="2" t="s">
        <v>34</v>
      </c>
      <c r="BB3" s="2" t="s">
        <v>20</v>
      </c>
      <c r="BD3" s="2" t="s">
        <v>35</v>
      </c>
      <c r="BE3" s="2" t="s">
        <v>36</v>
      </c>
      <c r="BF3" s="2" t="s">
        <v>37</v>
      </c>
    </row>
    <row r="4" spans="1:58" ht="39.75" customHeight="1" x14ac:dyDescent="0.25">
      <c r="A4" s="7" t="s">
        <v>5</v>
      </c>
      <c r="B4" s="1" t="s">
        <v>0</v>
      </c>
      <c r="C4" s="1" t="s">
        <v>1</v>
      </c>
      <c r="D4" s="1" t="s">
        <v>38</v>
      </c>
      <c r="E4" s="1" t="s">
        <v>39</v>
      </c>
      <c r="F4" s="1" t="s">
        <v>40</v>
      </c>
      <c r="H4" s="2" t="s">
        <v>5</v>
      </c>
      <c r="I4" s="2" t="s">
        <v>6</v>
      </c>
      <c r="J4" s="2" t="s">
        <v>5</v>
      </c>
      <c r="K4" s="2" t="s">
        <v>5</v>
      </c>
      <c r="L4" s="2" t="s">
        <v>7</v>
      </c>
      <c r="N4" s="1" t="s">
        <v>41</v>
      </c>
      <c r="O4" s="2" t="s">
        <v>42</v>
      </c>
      <c r="Q4" s="2" t="s">
        <v>11</v>
      </c>
      <c r="R4" s="2" t="s">
        <v>43</v>
      </c>
      <c r="T4" s="2" t="s">
        <v>13</v>
      </c>
      <c r="U4" s="3">
        <v>3</v>
      </c>
      <c r="V4" s="3">
        <v>3</v>
      </c>
      <c r="W4" s="4" t="s">
        <v>44</v>
      </c>
      <c r="X4" s="4" t="s">
        <v>44</v>
      </c>
      <c r="Y4" s="4" t="s">
        <v>45</v>
      </c>
      <c r="Z4" s="4" t="s">
        <v>45</v>
      </c>
      <c r="AA4" s="3">
        <v>269</v>
      </c>
      <c r="AB4" s="3">
        <v>240</v>
      </c>
      <c r="AC4" s="3">
        <v>247</v>
      </c>
      <c r="AD4" s="3">
        <v>2</v>
      </c>
      <c r="AE4" s="9">
        <v>2</v>
      </c>
      <c r="AF4" s="9">
        <v>12</v>
      </c>
      <c r="AG4" s="9">
        <v>12</v>
      </c>
      <c r="AH4" s="3">
        <v>5</v>
      </c>
      <c r="AI4" s="3">
        <v>5</v>
      </c>
      <c r="AJ4" s="3">
        <v>4</v>
      </c>
      <c r="AK4" s="3">
        <v>4</v>
      </c>
      <c r="AL4" s="3">
        <v>6</v>
      </c>
      <c r="AM4" s="3">
        <v>6</v>
      </c>
      <c r="AN4" s="3">
        <v>1</v>
      </c>
      <c r="AO4" s="3">
        <v>1</v>
      </c>
      <c r="AP4" s="3">
        <v>0</v>
      </c>
      <c r="AQ4" s="3">
        <v>0</v>
      </c>
      <c r="AR4" s="2" t="s">
        <v>5</v>
      </c>
      <c r="AS4" s="2" t="s">
        <v>46</v>
      </c>
      <c r="AT4" s="5" t="str">
        <f>HYPERLINK("http://catalog.hathitrust.org/Record/002473507","HathiTrust Record")</f>
        <v>HathiTrust Record</v>
      </c>
      <c r="AU4" s="5" t="str">
        <f>HYPERLINK("https://creighton-primo.hosted.exlibrisgroup.com/primo-explore/search?tab=default_tab&amp;search_scope=EVERYTHING&amp;vid=01CRU&amp;lang=en_US&amp;offset=0&amp;query=any,contains,991001672539702656","Catalog Record")</f>
        <v>Catalog Record</v>
      </c>
      <c r="AV4" s="5" t="str">
        <f>HYPERLINK("http://www.worldcat.org/oclc/21298612","WorldCat Record")</f>
        <v>WorldCat Record</v>
      </c>
      <c r="AW4" s="2" t="s">
        <v>47</v>
      </c>
      <c r="AX4" s="2" t="s">
        <v>48</v>
      </c>
      <c r="AY4" s="2" t="s">
        <v>49</v>
      </c>
      <c r="AZ4" s="2" t="s">
        <v>49</v>
      </c>
      <c r="BA4" s="2" t="s">
        <v>50</v>
      </c>
      <c r="BB4" s="2" t="s">
        <v>20</v>
      </c>
      <c r="BD4" s="2" t="s">
        <v>51</v>
      </c>
      <c r="BE4" s="2" t="s">
        <v>52</v>
      </c>
      <c r="BF4" s="2" t="s">
        <v>53</v>
      </c>
    </row>
    <row r="5" spans="1:58" ht="39.75" customHeight="1" x14ac:dyDescent="0.25">
      <c r="A5" s="7" t="s">
        <v>5</v>
      </c>
      <c r="B5" s="1" t="s">
        <v>0</v>
      </c>
      <c r="C5" s="1" t="s">
        <v>1</v>
      </c>
      <c r="D5" s="1" t="s">
        <v>54</v>
      </c>
      <c r="E5" s="1" t="s">
        <v>55</v>
      </c>
      <c r="F5" s="1" t="s">
        <v>56</v>
      </c>
      <c r="H5" s="2" t="s">
        <v>5</v>
      </c>
      <c r="I5" s="2" t="s">
        <v>6</v>
      </c>
      <c r="J5" s="2" t="s">
        <v>5</v>
      </c>
      <c r="K5" s="2" t="s">
        <v>5</v>
      </c>
      <c r="L5" s="2" t="s">
        <v>7</v>
      </c>
      <c r="M5" s="1" t="s">
        <v>57</v>
      </c>
      <c r="N5" s="1" t="s">
        <v>58</v>
      </c>
      <c r="O5" s="2" t="s">
        <v>59</v>
      </c>
      <c r="Q5" s="2" t="s">
        <v>60</v>
      </c>
      <c r="R5" s="2" t="s">
        <v>61</v>
      </c>
      <c r="T5" s="2" t="s">
        <v>13</v>
      </c>
      <c r="U5" s="3">
        <v>2</v>
      </c>
      <c r="V5" s="3">
        <v>2</v>
      </c>
      <c r="W5" s="4" t="s">
        <v>62</v>
      </c>
      <c r="X5" s="4" t="s">
        <v>62</v>
      </c>
      <c r="Y5" s="4" t="s">
        <v>63</v>
      </c>
      <c r="Z5" s="4" t="s">
        <v>63</v>
      </c>
      <c r="AA5" s="3">
        <v>281</v>
      </c>
      <c r="AB5" s="3">
        <v>274</v>
      </c>
      <c r="AC5" s="3">
        <v>292</v>
      </c>
      <c r="AD5" s="3">
        <v>4</v>
      </c>
      <c r="AE5" s="9">
        <v>4</v>
      </c>
      <c r="AF5" s="9">
        <v>20</v>
      </c>
      <c r="AG5" s="9">
        <v>20</v>
      </c>
      <c r="AH5" s="3">
        <v>6</v>
      </c>
      <c r="AI5" s="3">
        <v>6</v>
      </c>
      <c r="AJ5" s="3">
        <v>4</v>
      </c>
      <c r="AK5" s="3">
        <v>4</v>
      </c>
      <c r="AL5" s="3">
        <v>11</v>
      </c>
      <c r="AM5" s="3">
        <v>11</v>
      </c>
      <c r="AN5" s="3">
        <v>3</v>
      </c>
      <c r="AO5" s="3">
        <v>3</v>
      </c>
      <c r="AP5" s="3">
        <v>0</v>
      </c>
      <c r="AQ5" s="3">
        <v>0</v>
      </c>
      <c r="AR5" s="2" t="s">
        <v>5</v>
      </c>
      <c r="AS5" s="2" t="s">
        <v>5</v>
      </c>
      <c r="AT5" s="5" t="str">
        <f>HYPERLINK("http://catalog.hathitrust.org/Record/009970932","HathiTrust Record")</f>
        <v>HathiTrust Record</v>
      </c>
      <c r="AU5" s="5" t="str">
        <f>HYPERLINK("https://creighton-primo.hosted.exlibrisgroup.com/primo-explore/search?tab=default_tab&amp;search_scope=EVERYTHING&amp;vid=01CRU&amp;lang=en_US&amp;offset=0&amp;query=any,contains,991002415209702656","Catalog Record")</f>
        <v>Catalog Record</v>
      </c>
      <c r="AV5" s="5" t="str">
        <f>HYPERLINK("http://www.worldcat.org/oclc/341481","WorldCat Record")</f>
        <v>WorldCat Record</v>
      </c>
      <c r="AW5" s="2" t="s">
        <v>64</v>
      </c>
      <c r="AX5" s="2" t="s">
        <v>65</v>
      </c>
      <c r="AY5" s="2" t="s">
        <v>66</v>
      </c>
      <c r="AZ5" s="2" t="s">
        <v>66</v>
      </c>
      <c r="BA5" s="2" t="s">
        <v>67</v>
      </c>
      <c r="BB5" s="2" t="s">
        <v>20</v>
      </c>
      <c r="BE5" s="2" t="s">
        <v>68</v>
      </c>
      <c r="BF5" s="2" t="s">
        <v>69</v>
      </c>
    </row>
    <row r="6" spans="1:58" ht="39.75" customHeight="1" x14ac:dyDescent="0.25">
      <c r="A6" s="7" t="s">
        <v>5</v>
      </c>
      <c r="B6" s="1" t="s">
        <v>0</v>
      </c>
      <c r="C6" s="1" t="s">
        <v>1</v>
      </c>
      <c r="D6" s="1" t="s">
        <v>70</v>
      </c>
      <c r="E6" s="1" t="s">
        <v>71</v>
      </c>
      <c r="F6" s="1" t="s">
        <v>72</v>
      </c>
      <c r="G6" s="2" t="s">
        <v>73</v>
      </c>
      <c r="H6" s="2" t="s">
        <v>46</v>
      </c>
      <c r="I6" s="2" t="s">
        <v>6</v>
      </c>
      <c r="J6" s="2" t="s">
        <v>5</v>
      </c>
      <c r="K6" s="2" t="s">
        <v>5</v>
      </c>
      <c r="L6" s="2" t="s">
        <v>7</v>
      </c>
      <c r="M6" s="1" t="s">
        <v>74</v>
      </c>
      <c r="N6" s="1" t="s">
        <v>75</v>
      </c>
      <c r="O6" s="2" t="s">
        <v>76</v>
      </c>
      <c r="Q6" s="2" t="s">
        <v>11</v>
      </c>
      <c r="R6" s="2" t="s">
        <v>28</v>
      </c>
      <c r="T6" s="2" t="s">
        <v>13</v>
      </c>
      <c r="U6" s="3">
        <v>1</v>
      </c>
      <c r="V6" s="3">
        <v>1</v>
      </c>
      <c r="W6" s="4" t="s">
        <v>77</v>
      </c>
      <c r="X6" s="4" t="s">
        <v>77</v>
      </c>
      <c r="Y6" s="4" t="s">
        <v>78</v>
      </c>
      <c r="Z6" s="4" t="s">
        <v>79</v>
      </c>
      <c r="AA6" s="3">
        <v>338</v>
      </c>
      <c r="AB6" s="3">
        <v>295</v>
      </c>
      <c r="AC6" s="3">
        <v>302</v>
      </c>
      <c r="AD6" s="3">
        <v>4</v>
      </c>
      <c r="AE6" s="9">
        <v>4</v>
      </c>
      <c r="AF6" s="9">
        <v>14</v>
      </c>
      <c r="AG6" s="9">
        <v>14</v>
      </c>
      <c r="AH6" s="3">
        <v>4</v>
      </c>
      <c r="AI6" s="3">
        <v>4</v>
      </c>
      <c r="AJ6" s="3">
        <v>3</v>
      </c>
      <c r="AK6" s="3">
        <v>3</v>
      </c>
      <c r="AL6" s="3">
        <v>9</v>
      </c>
      <c r="AM6" s="3">
        <v>9</v>
      </c>
      <c r="AN6" s="3">
        <v>3</v>
      </c>
      <c r="AO6" s="3">
        <v>3</v>
      </c>
      <c r="AP6" s="3">
        <v>0</v>
      </c>
      <c r="AQ6" s="3">
        <v>0</v>
      </c>
      <c r="AR6" s="2" t="s">
        <v>5</v>
      </c>
      <c r="AS6" s="2" t="s">
        <v>46</v>
      </c>
      <c r="AT6" s="5" t="str">
        <f>HYPERLINK("http://catalog.hathitrust.org/Record/001957743","HathiTrust Record")</f>
        <v>HathiTrust Record</v>
      </c>
      <c r="AU6" s="5" t="str">
        <f>HYPERLINK("https://creighton-primo.hosted.exlibrisgroup.com/primo-explore/search?tab=default_tab&amp;search_scope=EVERYTHING&amp;vid=01CRU&amp;lang=en_US&amp;offset=0&amp;query=any,contains,991001988939702656","Catalog Record")</f>
        <v>Catalog Record</v>
      </c>
      <c r="AV6" s="5" t="str">
        <f>HYPERLINK("http://www.worldcat.org/oclc/254891","WorldCat Record")</f>
        <v>WorldCat Record</v>
      </c>
      <c r="AW6" s="2" t="s">
        <v>80</v>
      </c>
      <c r="AX6" s="2" t="s">
        <v>81</v>
      </c>
      <c r="AY6" s="2" t="s">
        <v>82</v>
      </c>
      <c r="AZ6" s="2" t="s">
        <v>82</v>
      </c>
      <c r="BA6" s="2" t="s">
        <v>83</v>
      </c>
      <c r="BB6" s="2" t="s">
        <v>20</v>
      </c>
      <c r="BE6" s="2" t="s">
        <v>84</v>
      </c>
      <c r="BF6" s="2" t="s">
        <v>85</v>
      </c>
    </row>
    <row r="7" spans="1:58" ht="39.75" customHeight="1" x14ac:dyDescent="0.25">
      <c r="A7" s="7" t="s">
        <v>5</v>
      </c>
      <c r="B7" s="1" t="s">
        <v>0</v>
      </c>
      <c r="C7" s="1" t="s">
        <v>1</v>
      </c>
      <c r="D7" s="1" t="s">
        <v>86</v>
      </c>
      <c r="E7" s="1" t="s">
        <v>87</v>
      </c>
      <c r="F7" s="1" t="s">
        <v>88</v>
      </c>
      <c r="G7" s="2" t="s">
        <v>73</v>
      </c>
      <c r="H7" s="2" t="s">
        <v>46</v>
      </c>
      <c r="I7" s="2" t="s">
        <v>6</v>
      </c>
      <c r="J7" s="2" t="s">
        <v>5</v>
      </c>
      <c r="K7" s="2" t="s">
        <v>5</v>
      </c>
      <c r="L7" s="2" t="s">
        <v>7</v>
      </c>
      <c r="M7" s="1" t="s">
        <v>89</v>
      </c>
      <c r="N7" s="1" t="s">
        <v>90</v>
      </c>
      <c r="O7" s="2" t="s">
        <v>91</v>
      </c>
      <c r="Q7" s="2" t="s">
        <v>11</v>
      </c>
      <c r="R7" s="2" t="s">
        <v>28</v>
      </c>
      <c r="T7" s="2" t="s">
        <v>13</v>
      </c>
      <c r="U7" s="3">
        <v>0</v>
      </c>
      <c r="V7" s="3">
        <v>2</v>
      </c>
      <c r="X7" s="4" t="s">
        <v>92</v>
      </c>
      <c r="Y7" s="4" t="s">
        <v>93</v>
      </c>
      <c r="Z7" s="4" t="s">
        <v>93</v>
      </c>
      <c r="AA7" s="3">
        <v>35</v>
      </c>
      <c r="AB7" s="3">
        <v>11</v>
      </c>
      <c r="AC7" s="3">
        <v>24</v>
      </c>
      <c r="AD7" s="3">
        <v>1</v>
      </c>
      <c r="AE7" s="9">
        <v>1</v>
      </c>
      <c r="AF7" s="9">
        <v>1</v>
      </c>
      <c r="AG7" s="9">
        <v>1</v>
      </c>
      <c r="AH7" s="3">
        <v>0</v>
      </c>
      <c r="AI7" s="3">
        <v>0</v>
      </c>
      <c r="AJ7" s="3">
        <v>1</v>
      </c>
      <c r="AK7" s="3">
        <v>1</v>
      </c>
      <c r="AL7" s="3">
        <v>1</v>
      </c>
      <c r="AM7" s="3">
        <v>1</v>
      </c>
      <c r="AN7" s="3">
        <v>0</v>
      </c>
      <c r="AO7" s="3">
        <v>0</v>
      </c>
      <c r="AP7" s="3">
        <v>0</v>
      </c>
      <c r="AQ7" s="3">
        <v>0</v>
      </c>
      <c r="AR7" s="2" t="s">
        <v>5</v>
      </c>
      <c r="AS7" s="2" t="s">
        <v>5</v>
      </c>
      <c r="AU7" s="5" t="str">
        <f>HYPERLINK("https://creighton-primo.hosted.exlibrisgroup.com/primo-explore/search?tab=default_tab&amp;search_scope=EVERYTHING&amp;vid=01CRU&amp;lang=en_US&amp;offset=0&amp;query=any,contains,991002441879702656","Catalog Record")</f>
        <v>Catalog Record</v>
      </c>
      <c r="AV7" s="5" t="str">
        <f>HYPERLINK("http://www.worldcat.org/oclc/31847108","WorldCat Record")</f>
        <v>WorldCat Record</v>
      </c>
      <c r="AW7" s="2" t="s">
        <v>94</v>
      </c>
      <c r="AX7" s="2" t="s">
        <v>95</v>
      </c>
      <c r="AY7" s="2" t="s">
        <v>96</v>
      </c>
      <c r="AZ7" s="2" t="s">
        <v>96</v>
      </c>
      <c r="BA7" s="2" t="s">
        <v>97</v>
      </c>
      <c r="BB7" s="2" t="s">
        <v>20</v>
      </c>
      <c r="BD7" s="2" t="s">
        <v>98</v>
      </c>
      <c r="BE7" s="2" t="s">
        <v>99</v>
      </c>
      <c r="BF7" s="2" t="s">
        <v>100</v>
      </c>
    </row>
    <row r="8" spans="1:58" ht="39.75" customHeight="1" x14ac:dyDescent="0.25">
      <c r="A8" s="7" t="s">
        <v>5</v>
      </c>
      <c r="B8" s="1" t="s">
        <v>0</v>
      </c>
      <c r="C8" s="1" t="s">
        <v>1</v>
      </c>
      <c r="D8" s="1" t="s">
        <v>86</v>
      </c>
      <c r="E8" s="1" t="s">
        <v>87</v>
      </c>
      <c r="F8" s="1" t="s">
        <v>88</v>
      </c>
      <c r="G8" s="2" t="s">
        <v>101</v>
      </c>
      <c r="H8" s="2" t="s">
        <v>46</v>
      </c>
      <c r="I8" s="2" t="s">
        <v>6</v>
      </c>
      <c r="J8" s="2" t="s">
        <v>5</v>
      </c>
      <c r="K8" s="2" t="s">
        <v>5</v>
      </c>
      <c r="L8" s="2" t="s">
        <v>7</v>
      </c>
      <c r="M8" s="1" t="s">
        <v>89</v>
      </c>
      <c r="N8" s="1" t="s">
        <v>90</v>
      </c>
      <c r="O8" s="2" t="s">
        <v>91</v>
      </c>
      <c r="Q8" s="2" t="s">
        <v>11</v>
      </c>
      <c r="R8" s="2" t="s">
        <v>28</v>
      </c>
      <c r="T8" s="2" t="s">
        <v>13</v>
      </c>
      <c r="U8" s="3">
        <v>2</v>
      </c>
      <c r="V8" s="3">
        <v>2</v>
      </c>
      <c r="W8" s="4" t="s">
        <v>92</v>
      </c>
      <c r="X8" s="4" t="s">
        <v>92</v>
      </c>
      <c r="Y8" s="4" t="s">
        <v>93</v>
      </c>
      <c r="Z8" s="4" t="s">
        <v>93</v>
      </c>
      <c r="AA8" s="3">
        <v>35</v>
      </c>
      <c r="AB8" s="3">
        <v>11</v>
      </c>
      <c r="AC8" s="3">
        <v>24</v>
      </c>
      <c r="AD8" s="3">
        <v>1</v>
      </c>
      <c r="AE8" s="9">
        <v>1</v>
      </c>
      <c r="AF8" s="9">
        <v>1</v>
      </c>
      <c r="AG8" s="9">
        <v>1</v>
      </c>
      <c r="AH8" s="3">
        <v>0</v>
      </c>
      <c r="AI8" s="3">
        <v>0</v>
      </c>
      <c r="AJ8" s="3">
        <v>1</v>
      </c>
      <c r="AK8" s="3">
        <v>1</v>
      </c>
      <c r="AL8" s="3">
        <v>1</v>
      </c>
      <c r="AM8" s="3">
        <v>1</v>
      </c>
      <c r="AN8" s="3">
        <v>0</v>
      </c>
      <c r="AO8" s="3">
        <v>0</v>
      </c>
      <c r="AP8" s="3">
        <v>0</v>
      </c>
      <c r="AQ8" s="3">
        <v>0</v>
      </c>
      <c r="AR8" s="2" t="s">
        <v>5</v>
      </c>
      <c r="AS8" s="2" t="s">
        <v>5</v>
      </c>
      <c r="AU8" s="5" t="str">
        <f>HYPERLINK("https://creighton-primo.hosted.exlibrisgroup.com/primo-explore/search?tab=default_tab&amp;search_scope=EVERYTHING&amp;vid=01CRU&amp;lang=en_US&amp;offset=0&amp;query=any,contains,991002441879702656","Catalog Record")</f>
        <v>Catalog Record</v>
      </c>
      <c r="AV8" s="5" t="str">
        <f>HYPERLINK("http://www.worldcat.org/oclc/31847108","WorldCat Record")</f>
        <v>WorldCat Record</v>
      </c>
      <c r="AW8" s="2" t="s">
        <v>94</v>
      </c>
      <c r="AX8" s="2" t="s">
        <v>95</v>
      </c>
      <c r="AY8" s="2" t="s">
        <v>96</v>
      </c>
      <c r="AZ8" s="2" t="s">
        <v>96</v>
      </c>
      <c r="BA8" s="2" t="s">
        <v>97</v>
      </c>
      <c r="BB8" s="2" t="s">
        <v>20</v>
      </c>
      <c r="BD8" s="2" t="s">
        <v>98</v>
      </c>
      <c r="BE8" s="2" t="s">
        <v>102</v>
      </c>
      <c r="BF8" s="2" t="s">
        <v>103</v>
      </c>
    </row>
    <row r="9" spans="1:58" ht="39.75" customHeight="1" x14ac:dyDescent="0.25">
      <c r="A9" s="7" t="s">
        <v>5</v>
      </c>
      <c r="B9" s="1" t="s">
        <v>0</v>
      </c>
      <c r="C9" s="1" t="s">
        <v>1</v>
      </c>
      <c r="D9" s="1" t="s">
        <v>104</v>
      </c>
      <c r="E9" s="1" t="s">
        <v>105</v>
      </c>
      <c r="F9" s="1" t="s">
        <v>106</v>
      </c>
      <c r="H9" s="2" t="s">
        <v>5</v>
      </c>
      <c r="I9" s="2" t="s">
        <v>6</v>
      </c>
      <c r="J9" s="2" t="s">
        <v>5</v>
      </c>
      <c r="K9" s="2" t="s">
        <v>5</v>
      </c>
      <c r="L9" s="2" t="s">
        <v>7</v>
      </c>
      <c r="N9" s="1" t="s">
        <v>107</v>
      </c>
      <c r="O9" s="2" t="s">
        <v>108</v>
      </c>
      <c r="Q9" s="2" t="s">
        <v>11</v>
      </c>
      <c r="R9" s="2" t="s">
        <v>28</v>
      </c>
      <c r="T9" s="2" t="s">
        <v>13</v>
      </c>
      <c r="U9" s="3">
        <v>3</v>
      </c>
      <c r="V9" s="3">
        <v>3</v>
      </c>
      <c r="W9" s="4" t="s">
        <v>109</v>
      </c>
      <c r="X9" s="4" t="s">
        <v>109</v>
      </c>
      <c r="Y9" s="4" t="s">
        <v>15</v>
      </c>
      <c r="Z9" s="4" t="s">
        <v>15</v>
      </c>
      <c r="AA9" s="3">
        <v>287</v>
      </c>
      <c r="AB9" s="3">
        <v>202</v>
      </c>
      <c r="AC9" s="3">
        <v>333</v>
      </c>
      <c r="AD9" s="3">
        <v>3</v>
      </c>
      <c r="AE9" s="9">
        <v>3</v>
      </c>
      <c r="AF9" s="9">
        <v>15</v>
      </c>
      <c r="AG9" s="9">
        <v>21</v>
      </c>
      <c r="AH9" s="3">
        <v>5</v>
      </c>
      <c r="AI9" s="3">
        <v>7</v>
      </c>
      <c r="AJ9" s="3">
        <v>3</v>
      </c>
      <c r="AK9" s="3">
        <v>6</v>
      </c>
      <c r="AL9" s="3">
        <v>10</v>
      </c>
      <c r="AM9" s="3">
        <v>14</v>
      </c>
      <c r="AN9" s="3">
        <v>2</v>
      </c>
      <c r="AO9" s="3">
        <v>2</v>
      </c>
      <c r="AP9" s="3">
        <v>0</v>
      </c>
      <c r="AQ9" s="3">
        <v>0</v>
      </c>
      <c r="AR9" s="2" t="s">
        <v>5</v>
      </c>
      <c r="AS9" s="2" t="s">
        <v>5</v>
      </c>
      <c r="AU9" s="5" t="str">
        <f>HYPERLINK("https://creighton-primo.hosted.exlibrisgroup.com/primo-explore/search?tab=default_tab&amp;search_scope=EVERYTHING&amp;vid=01CRU&amp;lang=en_US&amp;offset=0&amp;query=any,contains,991003296939702656","Catalog Record")</f>
        <v>Catalog Record</v>
      </c>
      <c r="AV9" s="5" t="str">
        <f>HYPERLINK("http://www.worldcat.org/oclc/819853","WorldCat Record")</f>
        <v>WorldCat Record</v>
      </c>
      <c r="AW9" s="2" t="s">
        <v>110</v>
      </c>
      <c r="AX9" s="2" t="s">
        <v>111</v>
      </c>
      <c r="AY9" s="2" t="s">
        <v>112</v>
      </c>
      <c r="AZ9" s="2" t="s">
        <v>112</v>
      </c>
      <c r="BA9" s="2" t="s">
        <v>113</v>
      </c>
      <c r="BB9" s="2" t="s">
        <v>20</v>
      </c>
      <c r="BE9" s="2" t="s">
        <v>114</v>
      </c>
      <c r="BF9" s="2" t="s">
        <v>115</v>
      </c>
    </row>
    <row r="10" spans="1:58" ht="39.75" customHeight="1" x14ac:dyDescent="0.25">
      <c r="A10" s="7" t="s">
        <v>5</v>
      </c>
      <c r="B10" s="1" t="s">
        <v>0</v>
      </c>
      <c r="C10" s="1" t="s">
        <v>1</v>
      </c>
      <c r="D10" s="1" t="s">
        <v>116</v>
      </c>
      <c r="E10" s="1" t="s">
        <v>117</v>
      </c>
      <c r="F10" s="1" t="s">
        <v>118</v>
      </c>
      <c r="H10" s="2" t="s">
        <v>5</v>
      </c>
      <c r="I10" s="2" t="s">
        <v>6</v>
      </c>
      <c r="J10" s="2" t="s">
        <v>5</v>
      </c>
      <c r="K10" s="2" t="s">
        <v>5</v>
      </c>
      <c r="L10" s="2" t="s">
        <v>7</v>
      </c>
      <c r="M10" s="1" t="s">
        <v>119</v>
      </c>
      <c r="N10" s="1" t="s">
        <v>120</v>
      </c>
      <c r="O10" s="2" t="s">
        <v>121</v>
      </c>
      <c r="Q10" s="2" t="s">
        <v>11</v>
      </c>
      <c r="R10" s="2" t="s">
        <v>28</v>
      </c>
      <c r="T10" s="2" t="s">
        <v>13</v>
      </c>
      <c r="U10" s="3">
        <v>1</v>
      </c>
      <c r="V10" s="3">
        <v>1</v>
      </c>
      <c r="W10" s="4" t="s">
        <v>44</v>
      </c>
      <c r="X10" s="4" t="s">
        <v>44</v>
      </c>
      <c r="Y10" s="4" t="s">
        <v>122</v>
      </c>
      <c r="Z10" s="4" t="s">
        <v>122</v>
      </c>
      <c r="AA10" s="3">
        <v>198</v>
      </c>
      <c r="AB10" s="3">
        <v>144</v>
      </c>
      <c r="AC10" s="3">
        <v>147</v>
      </c>
      <c r="AD10" s="3">
        <v>2</v>
      </c>
      <c r="AE10" s="9">
        <v>2</v>
      </c>
      <c r="AF10" s="9">
        <v>8</v>
      </c>
      <c r="AG10" s="9">
        <v>8</v>
      </c>
      <c r="AH10" s="3">
        <v>2</v>
      </c>
      <c r="AI10" s="3">
        <v>2</v>
      </c>
      <c r="AJ10" s="3">
        <v>3</v>
      </c>
      <c r="AK10" s="3">
        <v>3</v>
      </c>
      <c r="AL10" s="3">
        <v>5</v>
      </c>
      <c r="AM10" s="3">
        <v>5</v>
      </c>
      <c r="AN10" s="3">
        <v>1</v>
      </c>
      <c r="AO10" s="3">
        <v>1</v>
      </c>
      <c r="AP10" s="3">
        <v>0</v>
      </c>
      <c r="AQ10" s="3">
        <v>0</v>
      </c>
      <c r="AR10" s="2" t="s">
        <v>5</v>
      </c>
      <c r="AS10" s="2" t="s">
        <v>46</v>
      </c>
      <c r="AT10" s="5" t="str">
        <f>HYPERLINK("http://catalog.hathitrust.org/Record/001790567","HathiTrust Record")</f>
        <v>HathiTrust Record</v>
      </c>
      <c r="AU10" s="5" t="str">
        <f>HYPERLINK("https://creighton-primo.hosted.exlibrisgroup.com/primo-explore/search?tab=default_tab&amp;search_scope=EVERYTHING&amp;vid=01CRU&amp;lang=en_US&amp;offset=0&amp;query=any,contains,991003088069702656","Catalog Record")</f>
        <v>Catalog Record</v>
      </c>
      <c r="AV10" s="5" t="str">
        <f>HYPERLINK("http://www.worldcat.org/oclc/638259","WorldCat Record")</f>
        <v>WorldCat Record</v>
      </c>
      <c r="AW10" s="2" t="s">
        <v>123</v>
      </c>
      <c r="AX10" s="2" t="s">
        <v>124</v>
      </c>
      <c r="AY10" s="2" t="s">
        <v>125</v>
      </c>
      <c r="AZ10" s="2" t="s">
        <v>125</v>
      </c>
      <c r="BA10" s="2" t="s">
        <v>126</v>
      </c>
      <c r="BB10" s="2" t="s">
        <v>20</v>
      </c>
      <c r="BE10" s="2" t="s">
        <v>127</v>
      </c>
      <c r="BF10" s="2" t="s">
        <v>128</v>
      </c>
    </row>
    <row r="11" spans="1:58" ht="39.75" customHeight="1" x14ac:dyDescent="0.25">
      <c r="A11" s="7" t="s">
        <v>5</v>
      </c>
      <c r="B11" s="1" t="s">
        <v>0</v>
      </c>
      <c r="C11" s="1" t="s">
        <v>1</v>
      </c>
      <c r="D11" s="1" t="s">
        <v>129</v>
      </c>
      <c r="E11" s="1" t="s">
        <v>130</v>
      </c>
      <c r="F11" s="1" t="s">
        <v>131</v>
      </c>
      <c r="H11" s="2" t="s">
        <v>5</v>
      </c>
      <c r="I11" s="2" t="s">
        <v>6</v>
      </c>
      <c r="J11" s="2" t="s">
        <v>5</v>
      </c>
      <c r="K11" s="2" t="s">
        <v>5</v>
      </c>
      <c r="L11" s="2" t="s">
        <v>7</v>
      </c>
      <c r="M11" s="1" t="s">
        <v>132</v>
      </c>
      <c r="N11" s="1" t="s">
        <v>133</v>
      </c>
      <c r="O11" s="2" t="s">
        <v>76</v>
      </c>
      <c r="P11" s="1" t="s">
        <v>134</v>
      </c>
      <c r="Q11" s="2" t="s">
        <v>60</v>
      </c>
      <c r="R11" s="2" t="s">
        <v>61</v>
      </c>
      <c r="T11" s="2" t="s">
        <v>13</v>
      </c>
      <c r="U11" s="3">
        <v>3</v>
      </c>
      <c r="V11" s="3">
        <v>3</v>
      </c>
      <c r="W11" s="4" t="s">
        <v>135</v>
      </c>
      <c r="X11" s="4" t="s">
        <v>135</v>
      </c>
      <c r="Y11" s="4" t="s">
        <v>136</v>
      </c>
      <c r="Z11" s="4" t="s">
        <v>136</v>
      </c>
      <c r="AA11" s="3">
        <v>7</v>
      </c>
      <c r="AB11" s="3">
        <v>6</v>
      </c>
      <c r="AC11" s="3">
        <v>583</v>
      </c>
      <c r="AD11" s="3">
        <v>1</v>
      </c>
      <c r="AE11" s="9">
        <v>4</v>
      </c>
      <c r="AF11" s="9">
        <v>0</v>
      </c>
      <c r="AG11" s="9">
        <v>22</v>
      </c>
      <c r="AH11" s="3">
        <v>0</v>
      </c>
      <c r="AI11" s="3">
        <v>11</v>
      </c>
      <c r="AJ11" s="3">
        <v>0</v>
      </c>
      <c r="AK11" s="3">
        <v>5</v>
      </c>
      <c r="AL11" s="3">
        <v>0</v>
      </c>
      <c r="AM11" s="3">
        <v>12</v>
      </c>
      <c r="AN11" s="3">
        <v>0</v>
      </c>
      <c r="AO11" s="3">
        <v>1</v>
      </c>
      <c r="AP11" s="3">
        <v>0</v>
      </c>
      <c r="AQ11" s="3">
        <v>0</v>
      </c>
      <c r="AR11" s="2" t="s">
        <v>5</v>
      </c>
      <c r="AS11" s="2" t="s">
        <v>5</v>
      </c>
      <c r="AU11" s="5" t="str">
        <f>HYPERLINK("https://creighton-primo.hosted.exlibrisgroup.com/primo-explore/search?tab=default_tab&amp;search_scope=EVERYTHING&amp;vid=01CRU&amp;lang=en_US&amp;offset=0&amp;query=any,contains,991001734939702656","Catalog Record")</f>
        <v>Catalog Record</v>
      </c>
      <c r="AV11" s="5" t="str">
        <f>HYPERLINK("http://www.worldcat.org/oclc/21968746","WorldCat Record")</f>
        <v>WorldCat Record</v>
      </c>
      <c r="AW11" s="2" t="s">
        <v>137</v>
      </c>
      <c r="AX11" s="2" t="s">
        <v>138</v>
      </c>
      <c r="AY11" s="2" t="s">
        <v>139</v>
      </c>
      <c r="AZ11" s="2" t="s">
        <v>139</v>
      </c>
      <c r="BA11" s="2" t="s">
        <v>140</v>
      </c>
      <c r="BB11" s="2" t="s">
        <v>20</v>
      </c>
      <c r="BE11" s="2" t="s">
        <v>141</v>
      </c>
      <c r="BF11" s="2" t="s">
        <v>142</v>
      </c>
    </row>
    <row r="12" spans="1:58" ht="39.75" customHeight="1" x14ac:dyDescent="0.25">
      <c r="A12" s="7" t="s">
        <v>5</v>
      </c>
      <c r="B12" s="1" t="s">
        <v>0</v>
      </c>
      <c r="C12" s="1" t="s">
        <v>1</v>
      </c>
      <c r="D12" s="1" t="s">
        <v>143</v>
      </c>
      <c r="E12" s="1" t="s">
        <v>144</v>
      </c>
      <c r="F12" s="1" t="s">
        <v>145</v>
      </c>
      <c r="H12" s="2" t="s">
        <v>5</v>
      </c>
      <c r="I12" s="2" t="s">
        <v>6</v>
      </c>
      <c r="J12" s="2" t="s">
        <v>5</v>
      </c>
      <c r="K12" s="2" t="s">
        <v>5</v>
      </c>
      <c r="L12" s="2" t="s">
        <v>7</v>
      </c>
      <c r="M12" s="1" t="s">
        <v>146</v>
      </c>
      <c r="N12" s="1" t="s">
        <v>147</v>
      </c>
      <c r="O12" s="2" t="s">
        <v>148</v>
      </c>
      <c r="Q12" s="2" t="s">
        <v>11</v>
      </c>
      <c r="R12" s="2" t="s">
        <v>28</v>
      </c>
      <c r="S12" s="1" t="s">
        <v>149</v>
      </c>
      <c r="T12" s="2" t="s">
        <v>13</v>
      </c>
      <c r="U12" s="3">
        <v>1</v>
      </c>
      <c r="V12" s="3">
        <v>1</v>
      </c>
      <c r="W12" s="4" t="s">
        <v>150</v>
      </c>
      <c r="X12" s="4" t="s">
        <v>150</v>
      </c>
      <c r="Y12" s="4" t="s">
        <v>136</v>
      </c>
      <c r="Z12" s="4" t="s">
        <v>136</v>
      </c>
      <c r="AA12" s="3">
        <v>620</v>
      </c>
      <c r="AB12" s="3">
        <v>481</v>
      </c>
      <c r="AC12" s="3">
        <v>512</v>
      </c>
      <c r="AD12" s="3">
        <v>5</v>
      </c>
      <c r="AE12" s="9">
        <v>5</v>
      </c>
      <c r="AF12" s="9">
        <v>34</v>
      </c>
      <c r="AG12" s="9">
        <v>36</v>
      </c>
      <c r="AH12" s="3">
        <v>13</v>
      </c>
      <c r="AI12" s="3">
        <v>15</v>
      </c>
      <c r="AJ12" s="3">
        <v>8</v>
      </c>
      <c r="AK12" s="3">
        <v>8</v>
      </c>
      <c r="AL12" s="3">
        <v>16</v>
      </c>
      <c r="AM12" s="3">
        <v>16</v>
      </c>
      <c r="AN12" s="3">
        <v>4</v>
      </c>
      <c r="AO12" s="3">
        <v>4</v>
      </c>
      <c r="AP12" s="3">
        <v>0</v>
      </c>
      <c r="AQ12" s="3">
        <v>0</v>
      </c>
      <c r="AR12" s="2" t="s">
        <v>5</v>
      </c>
      <c r="AS12" s="2" t="s">
        <v>5</v>
      </c>
      <c r="AU12" s="5" t="str">
        <f>HYPERLINK("https://creighton-primo.hosted.exlibrisgroup.com/primo-explore/search?tab=default_tab&amp;search_scope=EVERYTHING&amp;vid=01CRU&amp;lang=en_US&amp;offset=0&amp;query=any,contains,991003262889702656","Catalog Record")</f>
        <v>Catalog Record</v>
      </c>
      <c r="AV12" s="5" t="str">
        <f>HYPERLINK("http://www.worldcat.org/oclc/789157","WorldCat Record")</f>
        <v>WorldCat Record</v>
      </c>
      <c r="AW12" s="2" t="s">
        <v>151</v>
      </c>
      <c r="AX12" s="2" t="s">
        <v>152</v>
      </c>
      <c r="AY12" s="2" t="s">
        <v>153</v>
      </c>
      <c r="AZ12" s="2" t="s">
        <v>153</v>
      </c>
      <c r="BA12" s="2" t="s">
        <v>154</v>
      </c>
      <c r="BB12" s="2" t="s">
        <v>20</v>
      </c>
      <c r="BE12" s="2" t="s">
        <v>155</v>
      </c>
      <c r="BF12" s="2" t="s">
        <v>156</v>
      </c>
    </row>
    <row r="13" spans="1:58" ht="39.75" customHeight="1" x14ac:dyDescent="0.25">
      <c r="A13" s="7" t="s">
        <v>5</v>
      </c>
      <c r="B13" s="1" t="s">
        <v>0</v>
      </c>
      <c r="C13" s="1" t="s">
        <v>1</v>
      </c>
      <c r="D13" s="1" t="s">
        <v>157</v>
      </c>
      <c r="E13" s="1" t="s">
        <v>158</v>
      </c>
      <c r="F13" s="1" t="s">
        <v>159</v>
      </c>
      <c r="H13" s="2" t="s">
        <v>5</v>
      </c>
      <c r="I13" s="2" t="s">
        <v>6</v>
      </c>
      <c r="J13" s="2" t="s">
        <v>5</v>
      </c>
      <c r="K13" s="2" t="s">
        <v>5</v>
      </c>
      <c r="L13" s="2" t="s">
        <v>7</v>
      </c>
      <c r="M13" s="1" t="s">
        <v>160</v>
      </c>
      <c r="N13" s="1" t="s">
        <v>161</v>
      </c>
      <c r="O13" s="2" t="s">
        <v>162</v>
      </c>
      <c r="Q13" s="2" t="s">
        <v>60</v>
      </c>
      <c r="R13" s="2" t="s">
        <v>61</v>
      </c>
      <c r="T13" s="2" t="s">
        <v>13</v>
      </c>
      <c r="U13" s="3">
        <v>1</v>
      </c>
      <c r="V13" s="3">
        <v>1</v>
      </c>
      <c r="W13" s="4" t="s">
        <v>163</v>
      </c>
      <c r="X13" s="4" t="s">
        <v>163</v>
      </c>
      <c r="Y13" s="4" t="s">
        <v>164</v>
      </c>
      <c r="Z13" s="4" t="s">
        <v>164</v>
      </c>
      <c r="AA13" s="3">
        <v>154</v>
      </c>
      <c r="AB13" s="3">
        <v>143</v>
      </c>
      <c r="AC13" s="3">
        <v>253</v>
      </c>
      <c r="AD13" s="3">
        <v>3</v>
      </c>
      <c r="AE13" s="9">
        <v>4</v>
      </c>
      <c r="AF13" s="9">
        <v>5</v>
      </c>
      <c r="AG13" s="9">
        <v>12</v>
      </c>
      <c r="AH13" s="3">
        <v>1</v>
      </c>
      <c r="AI13" s="3">
        <v>5</v>
      </c>
      <c r="AJ13" s="3">
        <v>1</v>
      </c>
      <c r="AK13" s="3">
        <v>2</v>
      </c>
      <c r="AL13" s="3">
        <v>3</v>
      </c>
      <c r="AM13" s="3">
        <v>5</v>
      </c>
      <c r="AN13" s="3">
        <v>2</v>
      </c>
      <c r="AO13" s="3">
        <v>3</v>
      </c>
      <c r="AP13" s="3">
        <v>0</v>
      </c>
      <c r="AQ13" s="3">
        <v>0</v>
      </c>
      <c r="AR13" s="2" t="s">
        <v>5</v>
      </c>
      <c r="AS13" s="2" t="s">
        <v>46</v>
      </c>
      <c r="AT13" s="5" t="str">
        <f>HYPERLINK("http://catalog.hathitrust.org/Record/007565960","HathiTrust Record")</f>
        <v>HathiTrust Record</v>
      </c>
      <c r="AU13" s="5" t="str">
        <f>HYPERLINK("https://creighton-primo.hosted.exlibrisgroup.com/primo-explore/search?tab=default_tab&amp;search_scope=EVERYTHING&amp;vid=01CRU&amp;lang=en_US&amp;offset=0&amp;query=any,contains,991000143979702656","Catalog Record")</f>
        <v>Catalog Record</v>
      </c>
      <c r="AV13" s="5" t="str">
        <f>HYPERLINK("http://www.worldcat.org/oclc/58521","WorldCat Record")</f>
        <v>WorldCat Record</v>
      </c>
      <c r="AW13" s="2" t="s">
        <v>165</v>
      </c>
      <c r="AX13" s="2" t="s">
        <v>166</v>
      </c>
      <c r="AY13" s="2" t="s">
        <v>167</v>
      </c>
      <c r="AZ13" s="2" t="s">
        <v>167</v>
      </c>
      <c r="BA13" s="2" t="s">
        <v>168</v>
      </c>
      <c r="BB13" s="2" t="s">
        <v>20</v>
      </c>
      <c r="BD13" s="2" t="s">
        <v>169</v>
      </c>
      <c r="BE13" s="2" t="s">
        <v>170</v>
      </c>
      <c r="BF13" s="2" t="s">
        <v>171</v>
      </c>
    </row>
    <row r="14" spans="1:58" ht="39.75" customHeight="1" x14ac:dyDescent="0.25">
      <c r="A14" s="7" t="s">
        <v>5</v>
      </c>
      <c r="B14" s="1" t="s">
        <v>0</v>
      </c>
      <c r="C14" s="1" t="s">
        <v>1</v>
      </c>
      <c r="D14" s="1" t="s">
        <v>172</v>
      </c>
      <c r="E14" s="1" t="s">
        <v>173</v>
      </c>
      <c r="F14" s="1" t="s">
        <v>174</v>
      </c>
      <c r="H14" s="2" t="s">
        <v>5</v>
      </c>
      <c r="I14" s="2" t="s">
        <v>6</v>
      </c>
      <c r="J14" s="2" t="s">
        <v>5</v>
      </c>
      <c r="K14" s="2" t="s">
        <v>5</v>
      </c>
      <c r="L14" s="2" t="s">
        <v>7</v>
      </c>
      <c r="M14" s="1" t="s">
        <v>175</v>
      </c>
      <c r="N14" s="1" t="s">
        <v>176</v>
      </c>
      <c r="O14" s="2" t="s">
        <v>177</v>
      </c>
      <c r="Q14" s="2" t="s">
        <v>11</v>
      </c>
      <c r="R14" s="2" t="s">
        <v>28</v>
      </c>
      <c r="S14" s="1" t="s">
        <v>178</v>
      </c>
      <c r="T14" s="2" t="s">
        <v>13</v>
      </c>
      <c r="U14" s="3">
        <v>3</v>
      </c>
      <c r="V14" s="3">
        <v>3</v>
      </c>
      <c r="W14" s="4" t="s">
        <v>179</v>
      </c>
      <c r="X14" s="4" t="s">
        <v>179</v>
      </c>
      <c r="Y14" s="4" t="s">
        <v>180</v>
      </c>
      <c r="Z14" s="4" t="s">
        <v>180</v>
      </c>
      <c r="AA14" s="3">
        <v>285</v>
      </c>
      <c r="AB14" s="3">
        <v>208</v>
      </c>
      <c r="AC14" s="3">
        <v>364</v>
      </c>
      <c r="AD14" s="3">
        <v>3</v>
      </c>
      <c r="AE14" s="9">
        <v>3</v>
      </c>
      <c r="AF14" s="9">
        <v>16</v>
      </c>
      <c r="AG14" s="9">
        <v>22</v>
      </c>
      <c r="AH14" s="3">
        <v>3</v>
      </c>
      <c r="AI14" s="3">
        <v>6</v>
      </c>
      <c r="AJ14" s="3">
        <v>4</v>
      </c>
      <c r="AK14" s="3">
        <v>6</v>
      </c>
      <c r="AL14" s="3">
        <v>12</v>
      </c>
      <c r="AM14" s="3">
        <v>14</v>
      </c>
      <c r="AN14" s="3">
        <v>2</v>
      </c>
      <c r="AO14" s="3">
        <v>2</v>
      </c>
      <c r="AP14" s="3">
        <v>0</v>
      </c>
      <c r="AQ14" s="3">
        <v>0</v>
      </c>
      <c r="AR14" s="2" t="s">
        <v>5</v>
      </c>
      <c r="AS14" s="2" t="s">
        <v>5</v>
      </c>
      <c r="AU14" s="5" t="str">
        <f>HYPERLINK("https://creighton-primo.hosted.exlibrisgroup.com/primo-explore/search?tab=default_tab&amp;search_scope=EVERYTHING&amp;vid=01CRU&amp;lang=en_US&amp;offset=0&amp;query=any,contains,991004613069702656","Catalog Record")</f>
        <v>Catalog Record</v>
      </c>
      <c r="AV14" s="5" t="str">
        <f>HYPERLINK("http://www.worldcat.org/oclc/4228086","WorldCat Record")</f>
        <v>WorldCat Record</v>
      </c>
      <c r="AW14" s="2" t="s">
        <v>181</v>
      </c>
      <c r="AX14" s="2" t="s">
        <v>182</v>
      </c>
      <c r="AY14" s="2" t="s">
        <v>183</v>
      </c>
      <c r="AZ14" s="2" t="s">
        <v>183</v>
      </c>
      <c r="BA14" s="2" t="s">
        <v>184</v>
      </c>
      <c r="BB14" s="2" t="s">
        <v>20</v>
      </c>
      <c r="BE14" s="2" t="s">
        <v>185</v>
      </c>
      <c r="BF14" s="2" t="s">
        <v>186</v>
      </c>
    </row>
    <row r="15" spans="1:58" ht="39.75" customHeight="1" x14ac:dyDescent="0.25">
      <c r="A15" s="7" t="s">
        <v>5</v>
      </c>
      <c r="B15" s="1" t="s">
        <v>0</v>
      </c>
      <c r="C15" s="1" t="s">
        <v>1</v>
      </c>
      <c r="D15" s="1" t="s">
        <v>187</v>
      </c>
      <c r="E15" s="1" t="s">
        <v>188</v>
      </c>
      <c r="F15" s="1" t="s">
        <v>189</v>
      </c>
      <c r="H15" s="2" t="s">
        <v>5</v>
      </c>
      <c r="I15" s="2" t="s">
        <v>6</v>
      </c>
      <c r="J15" s="2" t="s">
        <v>5</v>
      </c>
      <c r="K15" s="2" t="s">
        <v>5</v>
      </c>
      <c r="L15" s="2" t="s">
        <v>7</v>
      </c>
      <c r="M15" s="1" t="s">
        <v>190</v>
      </c>
      <c r="N15" s="1" t="s">
        <v>191</v>
      </c>
      <c r="O15" s="2" t="s">
        <v>192</v>
      </c>
      <c r="Q15" s="2" t="s">
        <v>60</v>
      </c>
      <c r="R15" s="2" t="s">
        <v>193</v>
      </c>
      <c r="S15" s="1" t="s">
        <v>194</v>
      </c>
      <c r="T15" s="2" t="s">
        <v>13</v>
      </c>
      <c r="U15" s="3">
        <v>1</v>
      </c>
      <c r="V15" s="3">
        <v>1</v>
      </c>
      <c r="W15" s="4" t="s">
        <v>195</v>
      </c>
      <c r="X15" s="4" t="s">
        <v>195</v>
      </c>
      <c r="Y15" s="4" t="s">
        <v>122</v>
      </c>
      <c r="Z15" s="4" t="s">
        <v>122</v>
      </c>
      <c r="AA15" s="3">
        <v>339</v>
      </c>
      <c r="AB15" s="3">
        <v>290</v>
      </c>
      <c r="AC15" s="3">
        <v>936</v>
      </c>
      <c r="AD15" s="3">
        <v>5</v>
      </c>
      <c r="AE15" s="9">
        <v>10</v>
      </c>
      <c r="AF15" s="9">
        <v>14</v>
      </c>
      <c r="AG15" s="9">
        <v>39</v>
      </c>
      <c r="AH15" s="3">
        <v>6</v>
      </c>
      <c r="AI15" s="3">
        <v>19</v>
      </c>
      <c r="AJ15" s="3">
        <v>4</v>
      </c>
      <c r="AK15" s="3">
        <v>7</v>
      </c>
      <c r="AL15" s="3">
        <v>4</v>
      </c>
      <c r="AM15" s="3">
        <v>13</v>
      </c>
      <c r="AN15" s="3">
        <v>3</v>
      </c>
      <c r="AO15" s="3">
        <v>7</v>
      </c>
      <c r="AP15" s="3">
        <v>0</v>
      </c>
      <c r="AQ15" s="3">
        <v>0</v>
      </c>
      <c r="AR15" s="2" t="s">
        <v>5</v>
      </c>
      <c r="AS15" s="2" t="s">
        <v>46</v>
      </c>
      <c r="AT15" s="5" t="str">
        <f>HYPERLINK("http://catalog.hathitrust.org/Record/009917717","HathiTrust Record")</f>
        <v>HathiTrust Record</v>
      </c>
      <c r="AU15" s="5" t="str">
        <f>HYPERLINK("https://creighton-primo.hosted.exlibrisgroup.com/primo-explore/search?tab=default_tab&amp;search_scope=EVERYTHING&amp;vid=01CRU&amp;lang=en_US&amp;offset=0&amp;query=any,contains,991004033589702656","Catalog Record")</f>
        <v>Catalog Record</v>
      </c>
      <c r="AV15" s="5" t="str">
        <f>HYPERLINK("http://www.worldcat.org/oclc/2163652","WorldCat Record")</f>
        <v>WorldCat Record</v>
      </c>
      <c r="AW15" s="2" t="s">
        <v>196</v>
      </c>
      <c r="AX15" s="2" t="s">
        <v>197</v>
      </c>
      <c r="AY15" s="2" t="s">
        <v>198</v>
      </c>
      <c r="AZ15" s="2" t="s">
        <v>198</v>
      </c>
      <c r="BA15" s="2" t="s">
        <v>199</v>
      </c>
      <c r="BB15" s="2" t="s">
        <v>20</v>
      </c>
      <c r="BE15" s="2" t="s">
        <v>200</v>
      </c>
      <c r="BF15" s="2" t="s">
        <v>201</v>
      </c>
    </row>
    <row r="16" spans="1:58" ht="39.75" customHeight="1" x14ac:dyDescent="0.25">
      <c r="A16" s="7" t="s">
        <v>5</v>
      </c>
      <c r="B16" s="1" t="s">
        <v>0</v>
      </c>
      <c r="C16" s="1" t="s">
        <v>1</v>
      </c>
      <c r="D16" s="1" t="s">
        <v>202</v>
      </c>
      <c r="E16" s="1" t="s">
        <v>203</v>
      </c>
      <c r="F16" s="1" t="s">
        <v>204</v>
      </c>
      <c r="H16" s="2" t="s">
        <v>5</v>
      </c>
      <c r="I16" s="2" t="s">
        <v>6</v>
      </c>
      <c r="J16" s="2" t="s">
        <v>5</v>
      </c>
      <c r="K16" s="2" t="s">
        <v>5</v>
      </c>
      <c r="L16" s="2" t="s">
        <v>7</v>
      </c>
      <c r="M16" s="1" t="s">
        <v>205</v>
      </c>
      <c r="N16" s="1" t="s">
        <v>206</v>
      </c>
      <c r="O16" s="2" t="s">
        <v>162</v>
      </c>
      <c r="Q16" s="2" t="s">
        <v>60</v>
      </c>
      <c r="R16" s="2" t="s">
        <v>61</v>
      </c>
      <c r="T16" s="2" t="s">
        <v>13</v>
      </c>
      <c r="U16" s="3">
        <v>1</v>
      </c>
      <c r="V16" s="3">
        <v>1</v>
      </c>
      <c r="W16" s="4" t="s">
        <v>163</v>
      </c>
      <c r="X16" s="4" t="s">
        <v>163</v>
      </c>
      <c r="Y16" s="4" t="s">
        <v>122</v>
      </c>
      <c r="Z16" s="4" t="s">
        <v>122</v>
      </c>
      <c r="AA16" s="3">
        <v>163</v>
      </c>
      <c r="AB16" s="3">
        <v>149</v>
      </c>
      <c r="AC16" s="3">
        <v>213</v>
      </c>
      <c r="AD16" s="3">
        <v>2</v>
      </c>
      <c r="AE16" s="9">
        <v>2</v>
      </c>
      <c r="AF16" s="9">
        <v>8</v>
      </c>
      <c r="AG16" s="9">
        <v>9</v>
      </c>
      <c r="AH16" s="3">
        <v>3</v>
      </c>
      <c r="AI16" s="3">
        <v>3</v>
      </c>
      <c r="AJ16" s="3">
        <v>4</v>
      </c>
      <c r="AK16" s="3">
        <v>5</v>
      </c>
      <c r="AL16" s="3">
        <v>3</v>
      </c>
      <c r="AM16" s="3">
        <v>3</v>
      </c>
      <c r="AN16" s="3">
        <v>1</v>
      </c>
      <c r="AO16" s="3">
        <v>1</v>
      </c>
      <c r="AP16" s="3">
        <v>0</v>
      </c>
      <c r="AQ16" s="3">
        <v>0</v>
      </c>
      <c r="AR16" s="2" t="s">
        <v>5</v>
      </c>
      <c r="AS16" s="2" t="s">
        <v>5</v>
      </c>
      <c r="AU16" s="5" t="str">
        <f>HYPERLINK("https://creighton-primo.hosted.exlibrisgroup.com/primo-explore/search?tab=default_tab&amp;search_scope=EVERYTHING&amp;vid=01CRU&amp;lang=en_US&amp;offset=0&amp;query=any,contains,991000183129702656","Catalog Record")</f>
        <v>Catalog Record</v>
      </c>
      <c r="AV16" s="5" t="str">
        <f>HYPERLINK("http://www.worldcat.org/oclc/62389","WorldCat Record")</f>
        <v>WorldCat Record</v>
      </c>
      <c r="AW16" s="2" t="s">
        <v>207</v>
      </c>
      <c r="AX16" s="2" t="s">
        <v>208</v>
      </c>
      <c r="AY16" s="2" t="s">
        <v>209</v>
      </c>
      <c r="AZ16" s="2" t="s">
        <v>209</v>
      </c>
      <c r="BA16" s="2" t="s">
        <v>210</v>
      </c>
      <c r="BB16" s="2" t="s">
        <v>20</v>
      </c>
      <c r="BD16" s="2" t="s">
        <v>211</v>
      </c>
      <c r="BE16" s="2" t="s">
        <v>212</v>
      </c>
      <c r="BF16" s="2" t="s">
        <v>213</v>
      </c>
    </row>
    <row r="17" spans="1:58" ht="39.75" customHeight="1" x14ac:dyDescent="0.25">
      <c r="A17" s="7" t="s">
        <v>5</v>
      </c>
      <c r="B17" s="1" t="s">
        <v>0</v>
      </c>
      <c r="C17" s="1" t="s">
        <v>1</v>
      </c>
      <c r="D17" s="1" t="s">
        <v>214</v>
      </c>
      <c r="E17" s="1" t="s">
        <v>215</v>
      </c>
      <c r="F17" s="1" t="s">
        <v>216</v>
      </c>
      <c r="H17" s="2" t="s">
        <v>5</v>
      </c>
      <c r="I17" s="2" t="s">
        <v>6</v>
      </c>
      <c r="J17" s="2" t="s">
        <v>5</v>
      </c>
      <c r="K17" s="2" t="s">
        <v>5</v>
      </c>
      <c r="L17" s="2" t="s">
        <v>7</v>
      </c>
      <c r="M17" s="1" t="s">
        <v>217</v>
      </c>
      <c r="N17" s="1" t="s">
        <v>218</v>
      </c>
      <c r="O17" s="2" t="s">
        <v>219</v>
      </c>
      <c r="P17" s="1" t="s">
        <v>220</v>
      </c>
      <c r="Q17" s="2" t="s">
        <v>60</v>
      </c>
      <c r="R17" s="2" t="s">
        <v>61</v>
      </c>
      <c r="T17" s="2" t="s">
        <v>13</v>
      </c>
      <c r="U17" s="3">
        <v>3</v>
      </c>
      <c r="V17" s="3">
        <v>3</v>
      </c>
      <c r="W17" s="4" t="s">
        <v>221</v>
      </c>
      <c r="X17" s="4" t="s">
        <v>221</v>
      </c>
      <c r="Y17" s="4" t="s">
        <v>222</v>
      </c>
      <c r="Z17" s="4" t="s">
        <v>222</v>
      </c>
      <c r="AA17" s="3">
        <v>213</v>
      </c>
      <c r="AB17" s="3">
        <v>203</v>
      </c>
      <c r="AC17" s="3">
        <v>920</v>
      </c>
      <c r="AD17" s="3">
        <v>3</v>
      </c>
      <c r="AE17" s="9">
        <v>8</v>
      </c>
      <c r="AF17" s="9">
        <v>7</v>
      </c>
      <c r="AG17" s="9">
        <v>37</v>
      </c>
      <c r="AH17" s="3">
        <v>2</v>
      </c>
      <c r="AI17" s="3">
        <v>13</v>
      </c>
      <c r="AJ17" s="3">
        <v>1</v>
      </c>
      <c r="AK17" s="3">
        <v>6</v>
      </c>
      <c r="AL17" s="3">
        <v>2</v>
      </c>
      <c r="AM17" s="3">
        <v>16</v>
      </c>
      <c r="AN17" s="3">
        <v>2</v>
      </c>
      <c r="AO17" s="3">
        <v>6</v>
      </c>
      <c r="AP17" s="3">
        <v>0</v>
      </c>
      <c r="AQ17" s="3">
        <v>0</v>
      </c>
      <c r="AR17" s="2" t="s">
        <v>5</v>
      </c>
      <c r="AS17" s="2" t="s">
        <v>46</v>
      </c>
      <c r="AT17" s="5" t="str">
        <f>HYPERLINK("http://catalog.hathitrust.org/Record/102088414","HathiTrust Record")</f>
        <v>HathiTrust Record</v>
      </c>
      <c r="AU17" s="5" t="str">
        <f>HYPERLINK("https://creighton-primo.hosted.exlibrisgroup.com/primo-explore/search?tab=default_tab&amp;search_scope=EVERYTHING&amp;vid=01CRU&amp;lang=en_US&amp;offset=0&amp;query=any,contains,991004620949702656","Catalog Record")</f>
        <v>Catalog Record</v>
      </c>
      <c r="AV17" s="5" t="str">
        <f>HYPERLINK("http://www.worldcat.org/oclc/4294039","WorldCat Record")</f>
        <v>WorldCat Record</v>
      </c>
      <c r="AW17" s="2" t="s">
        <v>223</v>
      </c>
      <c r="AX17" s="2" t="s">
        <v>224</v>
      </c>
      <c r="AY17" s="2" t="s">
        <v>225</v>
      </c>
      <c r="AZ17" s="2" t="s">
        <v>225</v>
      </c>
      <c r="BA17" s="2" t="s">
        <v>226</v>
      </c>
      <c r="BB17" s="2" t="s">
        <v>20</v>
      </c>
      <c r="BE17" s="2" t="s">
        <v>227</v>
      </c>
      <c r="BF17" s="2" t="s">
        <v>228</v>
      </c>
    </row>
    <row r="18" spans="1:58" ht="39.75" customHeight="1" x14ac:dyDescent="0.25">
      <c r="A18" s="7" t="s">
        <v>5</v>
      </c>
      <c r="B18" s="1" t="s">
        <v>0</v>
      </c>
      <c r="C18" s="1" t="s">
        <v>1</v>
      </c>
      <c r="D18" s="1" t="s">
        <v>229</v>
      </c>
      <c r="E18" s="1" t="s">
        <v>230</v>
      </c>
      <c r="F18" s="1" t="s">
        <v>231</v>
      </c>
      <c r="H18" s="2" t="s">
        <v>5</v>
      </c>
      <c r="I18" s="2" t="s">
        <v>6</v>
      </c>
      <c r="J18" s="2" t="s">
        <v>5</v>
      </c>
      <c r="K18" s="2" t="s">
        <v>5</v>
      </c>
      <c r="L18" s="2" t="s">
        <v>7</v>
      </c>
      <c r="M18" s="1" t="s">
        <v>232</v>
      </c>
      <c r="N18" s="1" t="s">
        <v>233</v>
      </c>
      <c r="O18" s="2" t="s">
        <v>10</v>
      </c>
      <c r="Q18" s="2" t="s">
        <v>11</v>
      </c>
      <c r="R18" s="2" t="s">
        <v>234</v>
      </c>
      <c r="T18" s="2" t="s">
        <v>13</v>
      </c>
      <c r="U18" s="3">
        <v>1</v>
      </c>
      <c r="V18" s="3">
        <v>1</v>
      </c>
      <c r="W18" s="4" t="s">
        <v>235</v>
      </c>
      <c r="X18" s="4" t="s">
        <v>235</v>
      </c>
      <c r="Y18" s="4" t="s">
        <v>236</v>
      </c>
      <c r="Z18" s="4" t="s">
        <v>236</v>
      </c>
      <c r="AA18" s="3">
        <v>636</v>
      </c>
      <c r="AB18" s="3">
        <v>596</v>
      </c>
      <c r="AC18" s="3">
        <v>749</v>
      </c>
      <c r="AD18" s="3">
        <v>5</v>
      </c>
      <c r="AE18" s="9">
        <v>5</v>
      </c>
      <c r="AF18" s="9">
        <v>30</v>
      </c>
      <c r="AG18" s="9">
        <v>36</v>
      </c>
      <c r="AH18" s="3">
        <v>11</v>
      </c>
      <c r="AI18" s="3">
        <v>15</v>
      </c>
      <c r="AJ18" s="3">
        <v>7</v>
      </c>
      <c r="AK18" s="3">
        <v>7</v>
      </c>
      <c r="AL18" s="3">
        <v>15</v>
      </c>
      <c r="AM18" s="3">
        <v>18</v>
      </c>
      <c r="AN18" s="3">
        <v>4</v>
      </c>
      <c r="AO18" s="3">
        <v>4</v>
      </c>
      <c r="AP18" s="3">
        <v>0</v>
      </c>
      <c r="AQ18" s="3">
        <v>0</v>
      </c>
      <c r="AR18" s="2" t="s">
        <v>5</v>
      </c>
      <c r="AS18" s="2" t="s">
        <v>5</v>
      </c>
      <c r="AU18" s="5" t="str">
        <f>HYPERLINK("https://creighton-primo.hosted.exlibrisgroup.com/primo-explore/search?tab=default_tab&amp;search_scope=EVERYTHING&amp;vid=01CRU&amp;lang=en_US&amp;offset=0&amp;query=any,contains,991004514339702656","Catalog Record")</f>
        <v>Catalog Record</v>
      </c>
      <c r="AV18" s="5" t="str">
        <f>HYPERLINK("http://www.worldcat.org/oclc/3778698","WorldCat Record")</f>
        <v>WorldCat Record</v>
      </c>
      <c r="AW18" s="2" t="s">
        <v>237</v>
      </c>
      <c r="AX18" s="2" t="s">
        <v>238</v>
      </c>
      <c r="AY18" s="2" t="s">
        <v>239</v>
      </c>
      <c r="AZ18" s="2" t="s">
        <v>239</v>
      </c>
      <c r="BA18" s="2" t="s">
        <v>240</v>
      </c>
      <c r="BB18" s="2" t="s">
        <v>20</v>
      </c>
      <c r="BE18" s="2" t="s">
        <v>241</v>
      </c>
      <c r="BF18" s="2" t="s">
        <v>242</v>
      </c>
    </row>
    <row r="19" spans="1:58" ht="39.75" customHeight="1" x14ac:dyDescent="0.25">
      <c r="A19" s="7" t="s">
        <v>5</v>
      </c>
      <c r="B19" s="1" t="s">
        <v>0</v>
      </c>
      <c r="C19" s="1" t="s">
        <v>1</v>
      </c>
      <c r="D19" s="1" t="s">
        <v>243</v>
      </c>
      <c r="E19" s="1" t="s">
        <v>244</v>
      </c>
      <c r="F19" s="1" t="s">
        <v>245</v>
      </c>
      <c r="H19" s="2" t="s">
        <v>5</v>
      </c>
      <c r="I19" s="2" t="s">
        <v>6</v>
      </c>
      <c r="J19" s="2" t="s">
        <v>5</v>
      </c>
      <c r="K19" s="2" t="s">
        <v>5</v>
      </c>
      <c r="L19" s="2" t="s">
        <v>7</v>
      </c>
      <c r="M19" s="1" t="s">
        <v>246</v>
      </c>
      <c r="N19" s="1" t="s">
        <v>247</v>
      </c>
      <c r="O19" s="2" t="s">
        <v>248</v>
      </c>
      <c r="Q19" s="2" t="s">
        <v>60</v>
      </c>
      <c r="R19" s="2" t="s">
        <v>61</v>
      </c>
      <c r="T19" s="2" t="s">
        <v>13</v>
      </c>
      <c r="U19" s="3">
        <v>3</v>
      </c>
      <c r="V19" s="3">
        <v>3</v>
      </c>
      <c r="W19" s="4" t="s">
        <v>249</v>
      </c>
      <c r="X19" s="4" t="s">
        <v>249</v>
      </c>
      <c r="Y19" s="4" t="s">
        <v>236</v>
      </c>
      <c r="Z19" s="4" t="s">
        <v>236</v>
      </c>
      <c r="AA19" s="3">
        <v>271</v>
      </c>
      <c r="AB19" s="3">
        <v>255</v>
      </c>
      <c r="AC19" s="3">
        <v>516</v>
      </c>
      <c r="AD19" s="3">
        <v>2</v>
      </c>
      <c r="AE19" s="9">
        <v>5</v>
      </c>
      <c r="AF19" s="9">
        <v>10</v>
      </c>
      <c r="AG19" s="9">
        <v>25</v>
      </c>
      <c r="AH19" s="3">
        <v>1</v>
      </c>
      <c r="AI19" s="3">
        <v>9</v>
      </c>
      <c r="AJ19" s="3">
        <v>5</v>
      </c>
      <c r="AK19" s="3">
        <v>7</v>
      </c>
      <c r="AL19" s="3">
        <v>5</v>
      </c>
      <c r="AM19" s="3">
        <v>11</v>
      </c>
      <c r="AN19" s="3">
        <v>1</v>
      </c>
      <c r="AO19" s="3">
        <v>4</v>
      </c>
      <c r="AP19" s="3">
        <v>0</v>
      </c>
      <c r="AQ19" s="3">
        <v>0</v>
      </c>
      <c r="AR19" s="2" t="s">
        <v>5</v>
      </c>
      <c r="AS19" s="2" t="s">
        <v>5</v>
      </c>
      <c r="AU19" s="5" t="str">
        <f>HYPERLINK("https://creighton-primo.hosted.exlibrisgroup.com/primo-explore/search?tab=default_tab&amp;search_scope=EVERYTHING&amp;vid=01CRU&amp;lang=en_US&amp;offset=0&amp;query=any,contains,991000936149702656","Catalog Record")</f>
        <v>Catalog Record</v>
      </c>
      <c r="AV19" s="5" t="str">
        <f>HYPERLINK("http://www.worldcat.org/oclc/164910","WorldCat Record")</f>
        <v>WorldCat Record</v>
      </c>
      <c r="AW19" s="2" t="s">
        <v>250</v>
      </c>
      <c r="AX19" s="2" t="s">
        <v>251</v>
      </c>
      <c r="AY19" s="2" t="s">
        <v>252</v>
      </c>
      <c r="AZ19" s="2" t="s">
        <v>252</v>
      </c>
      <c r="BA19" s="2" t="s">
        <v>253</v>
      </c>
      <c r="BB19" s="2" t="s">
        <v>20</v>
      </c>
      <c r="BD19" s="2" t="s">
        <v>254</v>
      </c>
      <c r="BE19" s="2" t="s">
        <v>255</v>
      </c>
      <c r="BF19" s="2" t="s">
        <v>256</v>
      </c>
    </row>
    <row r="20" spans="1:58" ht="39.75" customHeight="1" x14ac:dyDescent="0.25">
      <c r="A20" s="7" t="s">
        <v>5</v>
      </c>
      <c r="B20" s="1" t="s">
        <v>0</v>
      </c>
      <c r="C20" s="1" t="s">
        <v>1</v>
      </c>
      <c r="D20" s="1" t="s">
        <v>257</v>
      </c>
      <c r="E20" s="1" t="s">
        <v>258</v>
      </c>
      <c r="F20" s="1" t="s">
        <v>259</v>
      </c>
      <c r="H20" s="2" t="s">
        <v>5</v>
      </c>
      <c r="I20" s="2" t="s">
        <v>6</v>
      </c>
      <c r="J20" s="2" t="s">
        <v>5</v>
      </c>
      <c r="K20" s="2" t="s">
        <v>5</v>
      </c>
      <c r="L20" s="2" t="s">
        <v>7</v>
      </c>
      <c r="N20" s="1" t="s">
        <v>260</v>
      </c>
      <c r="O20" s="2" t="s">
        <v>261</v>
      </c>
      <c r="Q20" s="2" t="s">
        <v>60</v>
      </c>
      <c r="R20" s="2" t="s">
        <v>262</v>
      </c>
      <c r="T20" s="2" t="s">
        <v>13</v>
      </c>
      <c r="U20" s="3">
        <v>2</v>
      </c>
      <c r="V20" s="3">
        <v>2</v>
      </c>
      <c r="W20" s="4" t="s">
        <v>263</v>
      </c>
      <c r="X20" s="4" t="s">
        <v>263</v>
      </c>
      <c r="Y20" s="4" t="s">
        <v>180</v>
      </c>
      <c r="Z20" s="4" t="s">
        <v>180</v>
      </c>
      <c r="AA20" s="3">
        <v>170</v>
      </c>
      <c r="AB20" s="3">
        <v>158</v>
      </c>
      <c r="AC20" s="3">
        <v>424</v>
      </c>
      <c r="AD20" s="3">
        <v>1</v>
      </c>
      <c r="AE20" s="9">
        <v>3</v>
      </c>
      <c r="AF20" s="9">
        <v>7</v>
      </c>
      <c r="AG20" s="9">
        <v>13</v>
      </c>
      <c r="AH20" s="3">
        <v>4</v>
      </c>
      <c r="AI20" s="3">
        <v>6</v>
      </c>
      <c r="AJ20" s="3">
        <v>1</v>
      </c>
      <c r="AK20" s="3">
        <v>2</v>
      </c>
      <c r="AL20" s="3">
        <v>5</v>
      </c>
      <c r="AM20" s="3">
        <v>7</v>
      </c>
      <c r="AN20" s="3">
        <v>0</v>
      </c>
      <c r="AO20" s="3">
        <v>2</v>
      </c>
      <c r="AP20" s="3">
        <v>0</v>
      </c>
      <c r="AQ20" s="3">
        <v>0</v>
      </c>
      <c r="AR20" s="2" t="s">
        <v>5</v>
      </c>
      <c r="AS20" s="2" t="s">
        <v>5</v>
      </c>
      <c r="AU20" s="5" t="str">
        <f>HYPERLINK("https://creighton-primo.hosted.exlibrisgroup.com/primo-explore/search?tab=default_tab&amp;search_scope=EVERYTHING&amp;vid=01CRU&amp;lang=en_US&amp;offset=0&amp;query=any,contains,991000042589702656","Catalog Record")</f>
        <v>Catalog Record</v>
      </c>
      <c r="AV20" s="5" t="str">
        <f>HYPERLINK("http://www.worldcat.org/oclc/8666776","WorldCat Record")</f>
        <v>WorldCat Record</v>
      </c>
      <c r="AW20" s="2" t="s">
        <v>264</v>
      </c>
      <c r="AX20" s="2" t="s">
        <v>265</v>
      </c>
      <c r="AY20" s="2" t="s">
        <v>266</v>
      </c>
      <c r="AZ20" s="2" t="s">
        <v>266</v>
      </c>
      <c r="BA20" s="2" t="s">
        <v>267</v>
      </c>
      <c r="BB20" s="2" t="s">
        <v>20</v>
      </c>
      <c r="BD20" s="2" t="s">
        <v>268</v>
      </c>
      <c r="BE20" s="2" t="s">
        <v>269</v>
      </c>
      <c r="BF20" s="2" t="s">
        <v>270</v>
      </c>
    </row>
    <row r="21" spans="1:58" ht="39.75" customHeight="1" x14ac:dyDescent="0.25">
      <c r="A21" s="7" t="s">
        <v>5</v>
      </c>
      <c r="B21" s="1" t="s">
        <v>0</v>
      </c>
      <c r="C21" s="1" t="s">
        <v>1</v>
      </c>
      <c r="D21" s="1" t="s">
        <v>271</v>
      </c>
      <c r="E21" s="1" t="s">
        <v>272</v>
      </c>
      <c r="F21" s="1" t="s">
        <v>273</v>
      </c>
      <c r="H21" s="2" t="s">
        <v>5</v>
      </c>
      <c r="I21" s="2" t="s">
        <v>6</v>
      </c>
      <c r="J21" s="2" t="s">
        <v>5</v>
      </c>
      <c r="K21" s="2" t="s">
        <v>5</v>
      </c>
      <c r="L21" s="2" t="s">
        <v>7</v>
      </c>
      <c r="M21" s="1" t="s">
        <v>274</v>
      </c>
      <c r="N21" s="1" t="s">
        <v>275</v>
      </c>
      <c r="O21" s="2" t="s">
        <v>276</v>
      </c>
      <c r="Q21" s="2" t="s">
        <v>60</v>
      </c>
      <c r="R21" s="2" t="s">
        <v>277</v>
      </c>
      <c r="S21" s="1" t="s">
        <v>278</v>
      </c>
      <c r="T21" s="2" t="s">
        <v>13</v>
      </c>
      <c r="U21" s="3">
        <v>2</v>
      </c>
      <c r="V21" s="3">
        <v>2</v>
      </c>
      <c r="W21" s="4" t="s">
        <v>279</v>
      </c>
      <c r="X21" s="4" t="s">
        <v>279</v>
      </c>
      <c r="Y21" s="4" t="s">
        <v>180</v>
      </c>
      <c r="Z21" s="4" t="s">
        <v>180</v>
      </c>
      <c r="AA21" s="3">
        <v>159</v>
      </c>
      <c r="AB21" s="3">
        <v>116</v>
      </c>
      <c r="AC21" s="3">
        <v>118</v>
      </c>
      <c r="AD21" s="3">
        <v>2</v>
      </c>
      <c r="AE21" s="9">
        <v>2</v>
      </c>
      <c r="AF21" s="9">
        <v>8</v>
      </c>
      <c r="AG21" s="9">
        <v>8</v>
      </c>
      <c r="AH21" s="3">
        <v>1</v>
      </c>
      <c r="AI21" s="3">
        <v>1</v>
      </c>
      <c r="AJ21" s="3">
        <v>3</v>
      </c>
      <c r="AK21" s="3">
        <v>3</v>
      </c>
      <c r="AL21" s="3">
        <v>6</v>
      </c>
      <c r="AM21" s="3">
        <v>6</v>
      </c>
      <c r="AN21" s="3">
        <v>1</v>
      </c>
      <c r="AO21" s="3">
        <v>1</v>
      </c>
      <c r="AP21" s="3">
        <v>0</v>
      </c>
      <c r="AQ21" s="3">
        <v>0</v>
      </c>
      <c r="AR21" s="2" t="s">
        <v>5</v>
      </c>
      <c r="AS21" s="2" t="s">
        <v>46</v>
      </c>
      <c r="AT21" s="5" t="str">
        <f>HYPERLINK("http://catalog.hathitrust.org/Record/000734399","HathiTrust Record")</f>
        <v>HathiTrust Record</v>
      </c>
      <c r="AU21" s="5" t="str">
        <f>HYPERLINK("https://creighton-primo.hosted.exlibrisgroup.com/primo-explore/search?tab=default_tab&amp;search_scope=EVERYTHING&amp;vid=01CRU&amp;lang=en_US&amp;offset=0&amp;query=any,contains,991004288259702656","Catalog Record")</f>
        <v>Catalog Record</v>
      </c>
      <c r="AV21" s="5" t="str">
        <f>HYPERLINK("http://www.worldcat.org/oclc/2932522","WorldCat Record")</f>
        <v>WorldCat Record</v>
      </c>
      <c r="AW21" s="2" t="s">
        <v>280</v>
      </c>
      <c r="AX21" s="2" t="s">
        <v>281</v>
      </c>
      <c r="AY21" s="2" t="s">
        <v>282</v>
      </c>
      <c r="AZ21" s="2" t="s">
        <v>282</v>
      </c>
      <c r="BA21" s="2" t="s">
        <v>283</v>
      </c>
      <c r="BB21" s="2" t="s">
        <v>20</v>
      </c>
      <c r="BE21" s="2" t="s">
        <v>284</v>
      </c>
      <c r="BF21" s="2" t="s">
        <v>285</v>
      </c>
    </row>
    <row r="22" spans="1:58" ht="39.75" customHeight="1" x14ac:dyDescent="0.25">
      <c r="A22" s="7" t="s">
        <v>5</v>
      </c>
      <c r="B22" s="1" t="s">
        <v>0</v>
      </c>
      <c r="C22" s="1" t="s">
        <v>1</v>
      </c>
      <c r="D22" s="1" t="s">
        <v>286</v>
      </c>
      <c r="E22" s="1" t="s">
        <v>287</v>
      </c>
      <c r="F22" s="1" t="s">
        <v>288</v>
      </c>
      <c r="H22" s="2" t="s">
        <v>5</v>
      </c>
      <c r="I22" s="2" t="s">
        <v>6</v>
      </c>
      <c r="J22" s="2" t="s">
        <v>5</v>
      </c>
      <c r="K22" s="2" t="s">
        <v>5</v>
      </c>
      <c r="L22" s="2" t="s">
        <v>7</v>
      </c>
      <c r="M22" s="1" t="s">
        <v>289</v>
      </c>
      <c r="N22" s="1" t="s">
        <v>290</v>
      </c>
      <c r="O22" s="2" t="s">
        <v>291</v>
      </c>
      <c r="Q22" s="2" t="s">
        <v>60</v>
      </c>
      <c r="R22" s="2" t="s">
        <v>292</v>
      </c>
      <c r="S22" s="1" t="s">
        <v>293</v>
      </c>
      <c r="T22" s="2" t="s">
        <v>13</v>
      </c>
      <c r="U22" s="3">
        <v>2</v>
      </c>
      <c r="V22" s="3">
        <v>2</v>
      </c>
      <c r="W22" s="4" t="s">
        <v>294</v>
      </c>
      <c r="X22" s="4" t="s">
        <v>294</v>
      </c>
      <c r="Y22" s="4" t="s">
        <v>15</v>
      </c>
      <c r="Z22" s="4" t="s">
        <v>15</v>
      </c>
      <c r="AA22" s="3">
        <v>491</v>
      </c>
      <c r="AB22" s="3">
        <v>362</v>
      </c>
      <c r="AC22" s="3">
        <v>362</v>
      </c>
      <c r="AD22" s="3">
        <v>3</v>
      </c>
      <c r="AE22" s="9">
        <v>3</v>
      </c>
      <c r="AF22" s="9">
        <v>15</v>
      </c>
      <c r="AG22" s="9">
        <v>15</v>
      </c>
      <c r="AH22" s="3">
        <v>4</v>
      </c>
      <c r="AI22" s="3">
        <v>4</v>
      </c>
      <c r="AJ22" s="3">
        <v>4</v>
      </c>
      <c r="AK22" s="3">
        <v>4</v>
      </c>
      <c r="AL22" s="3">
        <v>9</v>
      </c>
      <c r="AM22" s="3">
        <v>9</v>
      </c>
      <c r="AN22" s="3">
        <v>2</v>
      </c>
      <c r="AO22" s="3">
        <v>2</v>
      </c>
      <c r="AP22" s="3">
        <v>0</v>
      </c>
      <c r="AQ22" s="3">
        <v>0</v>
      </c>
      <c r="AR22" s="2" t="s">
        <v>5</v>
      </c>
      <c r="AS22" s="2" t="s">
        <v>5</v>
      </c>
      <c r="AU22" s="5" t="str">
        <f>HYPERLINK("https://creighton-primo.hosted.exlibrisgroup.com/primo-explore/search?tab=default_tab&amp;search_scope=EVERYTHING&amp;vid=01CRU&amp;lang=en_US&amp;offset=0&amp;query=any,contains,991004432419702656","Catalog Record")</f>
        <v>Catalog Record</v>
      </c>
      <c r="AV22" s="5" t="str">
        <f>HYPERLINK("http://www.worldcat.org/oclc/3428758","WorldCat Record")</f>
        <v>WorldCat Record</v>
      </c>
      <c r="AW22" s="2" t="s">
        <v>295</v>
      </c>
      <c r="AX22" s="2" t="s">
        <v>296</v>
      </c>
      <c r="AY22" s="2" t="s">
        <v>297</v>
      </c>
      <c r="AZ22" s="2" t="s">
        <v>297</v>
      </c>
      <c r="BA22" s="2" t="s">
        <v>298</v>
      </c>
      <c r="BB22" s="2" t="s">
        <v>20</v>
      </c>
      <c r="BD22" s="2" t="s">
        <v>299</v>
      </c>
      <c r="BE22" s="2" t="s">
        <v>300</v>
      </c>
      <c r="BF22" s="2" t="s">
        <v>301</v>
      </c>
    </row>
    <row r="23" spans="1:58" ht="39.75" customHeight="1" x14ac:dyDescent="0.25">
      <c r="A23" s="7" t="s">
        <v>5</v>
      </c>
      <c r="B23" s="1" t="s">
        <v>0</v>
      </c>
      <c r="C23" s="1" t="s">
        <v>1</v>
      </c>
      <c r="D23" s="1" t="s">
        <v>302</v>
      </c>
      <c r="E23" s="1" t="s">
        <v>303</v>
      </c>
      <c r="F23" s="1" t="s">
        <v>304</v>
      </c>
      <c r="H23" s="2" t="s">
        <v>5</v>
      </c>
      <c r="I23" s="2" t="s">
        <v>6</v>
      </c>
      <c r="J23" s="2" t="s">
        <v>5</v>
      </c>
      <c r="K23" s="2" t="s">
        <v>46</v>
      </c>
      <c r="L23" s="2" t="s">
        <v>7</v>
      </c>
      <c r="M23" s="1" t="s">
        <v>305</v>
      </c>
      <c r="N23" s="1" t="s">
        <v>306</v>
      </c>
      <c r="O23" s="2" t="s">
        <v>307</v>
      </c>
      <c r="Q23" s="2" t="s">
        <v>60</v>
      </c>
      <c r="R23" s="2" t="s">
        <v>61</v>
      </c>
      <c r="T23" s="2" t="s">
        <v>13</v>
      </c>
      <c r="U23" s="3">
        <v>1</v>
      </c>
      <c r="V23" s="3">
        <v>1</v>
      </c>
      <c r="W23" s="4" t="s">
        <v>308</v>
      </c>
      <c r="X23" s="4" t="s">
        <v>308</v>
      </c>
      <c r="Y23" s="4" t="s">
        <v>309</v>
      </c>
      <c r="Z23" s="4" t="s">
        <v>309</v>
      </c>
      <c r="AA23" s="3">
        <v>361</v>
      </c>
      <c r="AB23" s="3">
        <v>341</v>
      </c>
      <c r="AC23" s="3">
        <v>1042</v>
      </c>
      <c r="AD23" s="3">
        <v>3</v>
      </c>
      <c r="AE23" s="9">
        <v>9</v>
      </c>
      <c r="AF23" s="9">
        <v>9</v>
      </c>
      <c r="AG23" s="9">
        <v>46</v>
      </c>
      <c r="AH23" s="3">
        <v>1</v>
      </c>
      <c r="AI23" s="3">
        <v>18</v>
      </c>
      <c r="AJ23" s="3">
        <v>1</v>
      </c>
      <c r="AK23" s="3">
        <v>9</v>
      </c>
      <c r="AL23" s="3">
        <v>6</v>
      </c>
      <c r="AM23" s="3">
        <v>20</v>
      </c>
      <c r="AN23" s="3">
        <v>2</v>
      </c>
      <c r="AO23" s="3">
        <v>8</v>
      </c>
      <c r="AP23" s="3">
        <v>0</v>
      </c>
      <c r="AQ23" s="3">
        <v>0</v>
      </c>
      <c r="AR23" s="2" t="s">
        <v>5</v>
      </c>
      <c r="AS23" s="2" t="s">
        <v>46</v>
      </c>
      <c r="AT23" s="5" t="str">
        <f>HYPERLINK("http://catalog.hathitrust.org/Record/004455155","HathiTrust Record")</f>
        <v>HathiTrust Record</v>
      </c>
      <c r="AU23" s="5" t="str">
        <f>HYPERLINK("https://creighton-primo.hosted.exlibrisgroup.com/primo-explore/search?tab=default_tab&amp;search_scope=EVERYTHING&amp;vid=01CRU&amp;lang=en_US&amp;offset=0&amp;query=any,contains,991000048629702656","Catalog Record")</f>
        <v>Catalog Record</v>
      </c>
      <c r="AV23" s="5" t="str">
        <f>HYPERLINK("http://www.worldcat.org/oclc/8673525","WorldCat Record")</f>
        <v>WorldCat Record</v>
      </c>
      <c r="AW23" s="2" t="s">
        <v>310</v>
      </c>
      <c r="AX23" s="2" t="s">
        <v>311</v>
      </c>
      <c r="AY23" s="2" t="s">
        <v>312</v>
      </c>
      <c r="AZ23" s="2" t="s">
        <v>312</v>
      </c>
      <c r="BA23" s="2" t="s">
        <v>313</v>
      </c>
      <c r="BB23" s="2" t="s">
        <v>20</v>
      </c>
      <c r="BD23" s="2" t="s">
        <v>314</v>
      </c>
      <c r="BE23" s="2" t="s">
        <v>315</v>
      </c>
      <c r="BF23" s="2" t="s">
        <v>316</v>
      </c>
    </row>
    <row r="24" spans="1:58" ht="39.75" customHeight="1" x14ac:dyDescent="0.25">
      <c r="A24" s="7" t="s">
        <v>5</v>
      </c>
      <c r="B24" s="1" t="s">
        <v>0</v>
      </c>
      <c r="C24" s="1" t="s">
        <v>1</v>
      </c>
      <c r="D24" s="1" t="s">
        <v>317</v>
      </c>
      <c r="E24" s="1" t="s">
        <v>318</v>
      </c>
      <c r="F24" s="1" t="s">
        <v>319</v>
      </c>
      <c r="H24" s="2" t="s">
        <v>5</v>
      </c>
      <c r="I24" s="2" t="s">
        <v>6</v>
      </c>
      <c r="J24" s="2" t="s">
        <v>5</v>
      </c>
      <c r="K24" s="2" t="s">
        <v>5</v>
      </c>
      <c r="L24" s="2" t="s">
        <v>7</v>
      </c>
      <c r="M24" s="1" t="s">
        <v>320</v>
      </c>
      <c r="N24" s="1" t="s">
        <v>321</v>
      </c>
      <c r="O24" s="2" t="s">
        <v>322</v>
      </c>
      <c r="Q24" s="2" t="s">
        <v>60</v>
      </c>
      <c r="R24" s="2" t="s">
        <v>323</v>
      </c>
      <c r="T24" s="2" t="s">
        <v>13</v>
      </c>
      <c r="U24" s="3">
        <v>2</v>
      </c>
      <c r="V24" s="3">
        <v>2</v>
      </c>
      <c r="W24" s="4" t="s">
        <v>324</v>
      </c>
      <c r="X24" s="4" t="s">
        <v>324</v>
      </c>
      <c r="Y24" s="4" t="s">
        <v>325</v>
      </c>
      <c r="Z24" s="4" t="s">
        <v>325</v>
      </c>
      <c r="AA24" s="3">
        <v>382</v>
      </c>
      <c r="AB24" s="3">
        <v>304</v>
      </c>
      <c r="AC24" s="3">
        <v>309</v>
      </c>
      <c r="AD24" s="3">
        <v>3</v>
      </c>
      <c r="AE24" s="9">
        <v>3</v>
      </c>
      <c r="AF24" s="9">
        <v>17</v>
      </c>
      <c r="AG24" s="9">
        <v>17</v>
      </c>
      <c r="AH24" s="3">
        <v>2</v>
      </c>
      <c r="AI24" s="3">
        <v>2</v>
      </c>
      <c r="AJ24" s="3">
        <v>6</v>
      </c>
      <c r="AK24" s="3">
        <v>6</v>
      </c>
      <c r="AL24" s="3">
        <v>11</v>
      </c>
      <c r="AM24" s="3">
        <v>11</v>
      </c>
      <c r="AN24" s="3">
        <v>2</v>
      </c>
      <c r="AO24" s="3">
        <v>2</v>
      </c>
      <c r="AP24" s="3">
        <v>0</v>
      </c>
      <c r="AQ24" s="3">
        <v>0</v>
      </c>
      <c r="AR24" s="2" t="s">
        <v>5</v>
      </c>
      <c r="AS24" s="2" t="s">
        <v>5</v>
      </c>
      <c r="AU24" s="5" t="str">
        <f>HYPERLINK("https://creighton-primo.hosted.exlibrisgroup.com/primo-explore/search?tab=default_tab&amp;search_scope=EVERYTHING&amp;vid=01CRU&amp;lang=en_US&amp;offset=0&amp;query=any,contains,991002146059702656","Catalog Record")</f>
        <v>Catalog Record</v>
      </c>
      <c r="AV24" s="5" t="str">
        <f>HYPERLINK("http://www.worldcat.org/oclc/27643073","WorldCat Record")</f>
        <v>WorldCat Record</v>
      </c>
      <c r="AW24" s="2" t="s">
        <v>326</v>
      </c>
      <c r="AX24" s="2" t="s">
        <v>327</v>
      </c>
      <c r="AY24" s="2" t="s">
        <v>328</v>
      </c>
      <c r="AZ24" s="2" t="s">
        <v>328</v>
      </c>
      <c r="BA24" s="2" t="s">
        <v>329</v>
      </c>
      <c r="BB24" s="2" t="s">
        <v>20</v>
      </c>
      <c r="BD24" s="2" t="s">
        <v>330</v>
      </c>
      <c r="BE24" s="2" t="s">
        <v>331</v>
      </c>
      <c r="BF24" s="2" t="s">
        <v>332</v>
      </c>
    </row>
    <row r="25" spans="1:58" ht="39.75" customHeight="1" x14ac:dyDescent="0.25">
      <c r="A25" s="7" t="s">
        <v>5</v>
      </c>
      <c r="B25" s="1" t="s">
        <v>0</v>
      </c>
      <c r="C25" s="1" t="s">
        <v>1</v>
      </c>
      <c r="D25" s="1" t="s">
        <v>333</v>
      </c>
      <c r="E25" s="1" t="s">
        <v>334</v>
      </c>
      <c r="F25" s="1" t="s">
        <v>335</v>
      </c>
      <c r="H25" s="2" t="s">
        <v>5</v>
      </c>
      <c r="I25" s="2" t="s">
        <v>6</v>
      </c>
      <c r="J25" s="2" t="s">
        <v>5</v>
      </c>
      <c r="K25" s="2" t="s">
        <v>5</v>
      </c>
      <c r="L25" s="2" t="s">
        <v>7</v>
      </c>
      <c r="M25" s="1" t="s">
        <v>336</v>
      </c>
      <c r="N25" s="1" t="s">
        <v>337</v>
      </c>
      <c r="O25" s="2" t="s">
        <v>338</v>
      </c>
      <c r="Q25" s="2" t="s">
        <v>60</v>
      </c>
      <c r="R25" s="2" t="s">
        <v>61</v>
      </c>
      <c r="T25" s="2" t="s">
        <v>13</v>
      </c>
      <c r="U25" s="3">
        <v>3</v>
      </c>
      <c r="V25" s="3">
        <v>3</v>
      </c>
      <c r="W25" s="4" t="s">
        <v>339</v>
      </c>
      <c r="X25" s="4" t="s">
        <v>339</v>
      </c>
      <c r="Y25" s="4" t="s">
        <v>340</v>
      </c>
      <c r="Z25" s="4" t="s">
        <v>340</v>
      </c>
      <c r="AA25" s="3">
        <v>509</v>
      </c>
      <c r="AB25" s="3">
        <v>456</v>
      </c>
      <c r="AC25" s="3">
        <v>557</v>
      </c>
      <c r="AD25" s="3">
        <v>3</v>
      </c>
      <c r="AE25" s="9">
        <v>4</v>
      </c>
      <c r="AF25" s="9">
        <v>30</v>
      </c>
      <c r="AG25" s="9">
        <v>36</v>
      </c>
      <c r="AH25" s="3">
        <v>15</v>
      </c>
      <c r="AI25" s="3">
        <v>15</v>
      </c>
      <c r="AJ25" s="3">
        <v>5</v>
      </c>
      <c r="AK25" s="3">
        <v>7</v>
      </c>
      <c r="AL25" s="3">
        <v>17</v>
      </c>
      <c r="AM25" s="3">
        <v>21</v>
      </c>
      <c r="AN25" s="3">
        <v>2</v>
      </c>
      <c r="AO25" s="3">
        <v>3</v>
      </c>
      <c r="AP25" s="3">
        <v>0</v>
      </c>
      <c r="AQ25" s="3">
        <v>0</v>
      </c>
      <c r="AR25" s="2" t="s">
        <v>46</v>
      </c>
      <c r="AS25" s="2" t="s">
        <v>5</v>
      </c>
      <c r="AT25" s="5" t="str">
        <f>HYPERLINK("http://catalog.hathitrust.org/Record/001205585","HathiTrust Record")</f>
        <v>HathiTrust Record</v>
      </c>
      <c r="AU25" s="5" t="str">
        <f>HYPERLINK("https://creighton-primo.hosted.exlibrisgroup.com/primo-explore/search?tab=default_tab&amp;search_scope=EVERYTHING&amp;vid=01CRU&amp;lang=en_US&amp;offset=0&amp;query=any,contains,991005108399702656","Catalog Record")</f>
        <v>Catalog Record</v>
      </c>
      <c r="AV25" s="5" t="str">
        <f>HYPERLINK("http://www.worldcat.org/oclc/7375901","WorldCat Record")</f>
        <v>WorldCat Record</v>
      </c>
      <c r="AW25" s="2" t="s">
        <v>341</v>
      </c>
      <c r="AX25" s="2" t="s">
        <v>342</v>
      </c>
      <c r="AY25" s="2" t="s">
        <v>343</v>
      </c>
      <c r="AZ25" s="2" t="s">
        <v>343</v>
      </c>
      <c r="BA25" s="2" t="s">
        <v>344</v>
      </c>
      <c r="BB25" s="2" t="s">
        <v>20</v>
      </c>
      <c r="BE25" s="2" t="s">
        <v>345</v>
      </c>
      <c r="BF25" s="2" t="s">
        <v>346</v>
      </c>
    </row>
    <row r="26" spans="1:58" ht="39.75" customHeight="1" x14ac:dyDescent="0.25">
      <c r="A26" s="7" t="s">
        <v>5</v>
      </c>
      <c r="B26" s="1" t="s">
        <v>0</v>
      </c>
      <c r="C26" s="1" t="s">
        <v>1</v>
      </c>
      <c r="D26" s="1" t="s">
        <v>347</v>
      </c>
      <c r="E26" s="1" t="s">
        <v>348</v>
      </c>
      <c r="F26" s="1" t="s">
        <v>349</v>
      </c>
      <c r="H26" s="2" t="s">
        <v>5</v>
      </c>
      <c r="I26" s="2" t="s">
        <v>6</v>
      </c>
      <c r="J26" s="2" t="s">
        <v>5</v>
      </c>
      <c r="K26" s="2" t="s">
        <v>5</v>
      </c>
      <c r="L26" s="2" t="s">
        <v>7</v>
      </c>
      <c r="M26" s="1" t="s">
        <v>350</v>
      </c>
      <c r="N26" s="1" t="s">
        <v>351</v>
      </c>
      <c r="O26" s="2" t="s">
        <v>162</v>
      </c>
      <c r="Q26" s="2" t="s">
        <v>60</v>
      </c>
      <c r="R26" s="2" t="s">
        <v>61</v>
      </c>
      <c r="S26" s="1" t="s">
        <v>352</v>
      </c>
      <c r="T26" s="2" t="s">
        <v>13</v>
      </c>
      <c r="U26" s="3">
        <v>6</v>
      </c>
      <c r="V26" s="3">
        <v>6</v>
      </c>
      <c r="W26" s="4" t="s">
        <v>353</v>
      </c>
      <c r="X26" s="4" t="s">
        <v>353</v>
      </c>
      <c r="Y26" s="4" t="s">
        <v>340</v>
      </c>
      <c r="Z26" s="4" t="s">
        <v>340</v>
      </c>
      <c r="AA26" s="3">
        <v>853</v>
      </c>
      <c r="AB26" s="3">
        <v>772</v>
      </c>
      <c r="AC26" s="3">
        <v>774</v>
      </c>
      <c r="AD26" s="3">
        <v>5</v>
      </c>
      <c r="AE26" s="9">
        <v>5</v>
      </c>
      <c r="AF26" s="9">
        <v>34</v>
      </c>
      <c r="AG26" s="9">
        <v>34</v>
      </c>
      <c r="AH26" s="3">
        <v>13</v>
      </c>
      <c r="AI26" s="3">
        <v>13</v>
      </c>
      <c r="AJ26" s="3">
        <v>6</v>
      </c>
      <c r="AK26" s="3">
        <v>6</v>
      </c>
      <c r="AL26" s="3">
        <v>20</v>
      </c>
      <c r="AM26" s="3">
        <v>20</v>
      </c>
      <c r="AN26" s="3">
        <v>4</v>
      </c>
      <c r="AO26" s="3">
        <v>4</v>
      </c>
      <c r="AP26" s="3">
        <v>0</v>
      </c>
      <c r="AQ26" s="3">
        <v>0</v>
      </c>
      <c r="AR26" s="2" t="s">
        <v>5</v>
      </c>
      <c r="AS26" s="2" t="s">
        <v>46</v>
      </c>
      <c r="AT26" s="5" t="str">
        <f>HYPERLINK("http://catalog.hathitrust.org/Record/001205590","HathiTrust Record")</f>
        <v>HathiTrust Record</v>
      </c>
      <c r="AU26" s="5" t="str">
        <f>HYPERLINK("https://creighton-primo.hosted.exlibrisgroup.com/primo-explore/search?tab=default_tab&amp;search_scope=EVERYTHING&amp;vid=01CRU&amp;lang=en_US&amp;offset=0&amp;query=any,contains,991000691079702656","Catalog Record")</f>
        <v>Catalog Record</v>
      </c>
      <c r="AV26" s="5" t="str">
        <f>HYPERLINK("http://www.worldcat.org/oclc/123515","WorldCat Record")</f>
        <v>WorldCat Record</v>
      </c>
      <c r="AW26" s="2" t="s">
        <v>354</v>
      </c>
      <c r="AX26" s="2" t="s">
        <v>355</v>
      </c>
      <c r="AY26" s="2" t="s">
        <v>356</v>
      </c>
      <c r="AZ26" s="2" t="s">
        <v>356</v>
      </c>
      <c r="BA26" s="2" t="s">
        <v>357</v>
      </c>
      <c r="BB26" s="2" t="s">
        <v>20</v>
      </c>
      <c r="BE26" s="2" t="s">
        <v>358</v>
      </c>
      <c r="BF26" s="2" t="s">
        <v>359</v>
      </c>
    </row>
    <row r="27" spans="1:58" ht="39.75" customHeight="1" x14ac:dyDescent="0.25">
      <c r="A27" s="7" t="s">
        <v>5</v>
      </c>
      <c r="B27" s="1" t="s">
        <v>0</v>
      </c>
      <c r="C27" s="1" t="s">
        <v>1</v>
      </c>
      <c r="D27" s="1" t="s">
        <v>360</v>
      </c>
      <c r="E27" s="1" t="s">
        <v>361</v>
      </c>
      <c r="F27" s="1" t="s">
        <v>362</v>
      </c>
      <c r="H27" s="2" t="s">
        <v>5</v>
      </c>
      <c r="I27" s="2" t="s">
        <v>6</v>
      </c>
      <c r="J27" s="2" t="s">
        <v>5</v>
      </c>
      <c r="K27" s="2" t="s">
        <v>5</v>
      </c>
      <c r="L27" s="2" t="s">
        <v>7</v>
      </c>
      <c r="M27" s="1" t="s">
        <v>363</v>
      </c>
      <c r="N27" s="1" t="s">
        <v>364</v>
      </c>
      <c r="O27" s="2" t="s">
        <v>365</v>
      </c>
      <c r="Q27" s="2" t="s">
        <v>60</v>
      </c>
      <c r="R27" s="2" t="s">
        <v>193</v>
      </c>
      <c r="S27" s="1" t="s">
        <v>366</v>
      </c>
      <c r="T27" s="2" t="s">
        <v>13</v>
      </c>
      <c r="U27" s="3">
        <v>1</v>
      </c>
      <c r="V27" s="3">
        <v>1</v>
      </c>
      <c r="W27" s="4" t="s">
        <v>367</v>
      </c>
      <c r="X27" s="4" t="s">
        <v>367</v>
      </c>
      <c r="Y27" s="4" t="s">
        <v>340</v>
      </c>
      <c r="Z27" s="4" t="s">
        <v>340</v>
      </c>
      <c r="AA27" s="3">
        <v>199</v>
      </c>
      <c r="AB27" s="3">
        <v>152</v>
      </c>
      <c r="AC27" s="3">
        <v>192</v>
      </c>
      <c r="AD27" s="3">
        <v>2</v>
      </c>
      <c r="AE27" s="9">
        <v>2</v>
      </c>
      <c r="AF27" s="9">
        <v>9</v>
      </c>
      <c r="AG27" s="9">
        <v>11</v>
      </c>
      <c r="AH27" s="3">
        <v>3</v>
      </c>
      <c r="AI27" s="3">
        <v>3</v>
      </c>
      <c r="AJ27" s="3">
        <v>1</v>
      </c>
      <c r="AK27" s="3">
        <v>2</v>
      </c>
      <c r="AL27" s="3">
        <v>6</v>
      </c>
      <c r="AM27" s="3">
        <v>8</v>
      </c>
      <c r="AN27" s="3">
        <v>1</v>
      </c>
      <c r="AO27" s="3">
        <v>1</v>
      </c>
      <c r="AP27" s="3">
        <v>0</v>
      </c>
      <c r="AQ27" s="3">
        <v>0</v>
      </c>
      <c r="AR27" s="2" t="s">
        <v>5</v>
      </c>
      <c r="AS27" s="2" t="s">
        <v>5</v>
      </c>
      <c r="AT27" s="5" t="str">
        <f>HYPERLINK("http://catalog.hathitrust.org/Record/001205591","HathiTrust Record")</f>
        <v>HathiTrust Record</v>
      </c>
      <c r="AU27" s="5" t="str">
        <f>HYPERLINK("https://creighton-primo.hosted.exlibrisgroup.com/primo-explore/search?tab=default_tab&amp;search_scope=EVERYTHING&amp;vid=01CRU&amp;lang=en_US&amp;offset=0&amp;query=any,contains,991004304509702656","Catalog Record")</f>
        <v>Catalog Record</v>
      </c>
      <c r="AV27" s="5" t="str">
        <f>HYPERLINK("http://www.worldcat.org/oclc/2980937","WorldCat Record")</f>
        <v>WorldCat Record</v>
      </c>
      <c r="AW27" s="2" t="s">
        <v>368</v>
      </c>
      <c r="AX27" s="2" t="s">
        <v>369</v>
      </c>
      <c r="AY27" s="2" t="s">
        <v>370</v>
      </c>
      <c r="AZ27" s="2" t="s">
        <v>370</v>
      </c>
      <c r="BA27" s="2" t="s">
        <v>371</v>
      </c>
      <c r="BB27" s="2" t="s">
        <v>20</v>
      </c>
      <c r="BE27" s="2" t="s">
        <v>372</v>
      </c>
      <c r="BF27" s="2" t="s">
        <v>373</v>
      </c>
    </row>
    <row r="28" spans="1:58" ht="39.75" customHeight="1" x14ac:dyDescent="0.25">
      <c r="A28" s="7" t="s">
        <v>5</v>
      </c>
      <c r="B28" s="1" t="s">
        <v>0</v>
      </c>
      <c r="C28" s="1" t="s">
        <v>1</v>
      </c>
      <c r="D28" s="1" t="s">
        <v>374</v>
      </c>
      <c r="E28" s="1" t="s">
        <v>375</v>
      </c>
      <c r="F28" s="1" t="s">
        <v>376</v>
      </c>
      <c r="H28" s="2" t="s">
        <v>5</v>
      </c>
      <c r="I28" s="2" t="s">
        <v>6</v>
      </c>
      <c r="J28" s="2" t="s">
        <v>5</v>
      </c>
      <c r="K28" s="2" t="s">
        <v>5</v>
      </c>
      <c r="L28" s="2" t="s">
        <v>7</v>
      </c>
      <c r="M28" s="1" t="s">
        <v>377</v>
      </c>
      <c r="N28" s="1" t="s">
        <v>378</v>
      </c>
      <c r="O28" s="2" t="s">
        <v>379</v>
      </c>
      <c r="Q28" s="2" t="s">
        <v>60</v>
      </c>
      <c r="R28" s="2" t="s">
        <v>61</v>
      </c>
      <c r="T28" s="2" t="s">
        <v>13</v>
      </c>
      <c r="U28" s="3">
        <v>13</v>
      </c>
      <c r="V28" s="3">
        <v>13</v>
      </c>
      <c r="W28" s="4" t="s">
        <v>353</v>
      </c>
      <c r="X28" s="4" t="s">
        <v>353</v>
      </c>
      <c r="Y28" s="4" t="s">
        <v>380</v>
      </c>
      <c r="Z28" s="4" t="s">
        <v>380</v>
      </c>
      <c r="AA28" s="3">
        <v>644</v>
      </c>
      <c r="AB28" s="3">
        <v>545</v>
      </c>
      <c r="AC28" s="3">
        <v>674</v>
      </c>
      <c r="AD28" s="3">
        <v>5</v>
      </c>
      <c r="AE28" s="9">
        <v>5</v>
      </c>
      <c r="AF28" s="9">
        <v>36</v>
      </c>
      <c r="AG28" s="9">
        <v>43</v>
      </c>
      <c r="AH28" s="3">
        <v>17</v>
      </c>
      <c r="AI28" s="3">
        <v>20</v>
      </c>
      <c r="AJ28" s="3">
        <v>9</v>
      </c>
      <c r="AK28" s="3">
        <v>11</v>
      </c>
      <c r="AL28" s="3">
        <v>19</v>
      </c>
      <c r="AM28" s="3">
        <v>22</v>
      </c>
      <c r="AN28" s="3">
        <v>4</v>
      </c>
      <c r="AO28" s="3">
        <v>4</v>
      </c>
      <c r="AP28" s="3">
        <v>0</v>
      </c>
      <c r="AQ28" s="3">
        <v>0</v>
      </c>
      <c r="AR28" s="2" t="s">
        <v>5</v>
      </c>
      <c r="AS28" s="2" t="s">
        <v>46</v>
      </c>
      <c r="AT28" s="5" t="str">
        <f>HYPERLINK("http://catalog.hathitrust.org/Record/001205592","HathiTrust Record")</f>
        <v>HathiTrust Record</v>
      </c>
      <c r="AU28" s="5" t="str">
        <f>HYPERLINK("https://creighton-primo.hosted.exlibrisgroup.com/primo-explore/search?tab=default_tab&amp;search_scope=EVERYTHING&amp;vid=01CRU&amp;lang=en_US&amp;offset=0&amp;query=any,contains,991002399599702656","Catalog Record")</f>
        <v>Catalog Record</v>
      </c>
      <c r="AV28" s="5" t="str">
        <f>HYPERLINK("http://www.worldcat.org/oclc/336265","WorldCat Record")</f>
        <v>WorldCat Record</v>
      </c>
      <c r="AW28" s="2" t="s">
        <v>381</v>
      </c>
      <c r="AX28" s="2" t="s">
        <v>382</v>
      </c>
      <c r="AY28" s="2" t="s">
        <v>383</v>
      </c>
      <c r="AZ28" s="2" t="s">
        <v>383</v>
      </c>
      <c r="BA28" s="2" t="s">
        <v>384</v>
      </c>
      <c r="BB28" s="2" t="s">
        <v>20</v>
      </c>
      <c r="BE28" s="2" t="s">
        <v>385</v>
      </c>
      <c r="BF28" s="2" t="s">
        <v>386</v>
      </c>
    </row>
    <row r="29" spans="1:58" ht="39.75" customHeight="1" x14ac:dyDescent="0.25">
      <c r="A29" s="7" t="s">
        <v>5</v>
      </c>
      <c r="B29" s="1" t="s">
        <v>0</v>
      </c>
      <c r="C29" s="1" t="s">
        <v>1</v>
      </c>
      <c r="D29" s="1" t="s">
        <v>387</v>
      </c>
      <c r="E29" s="1" t="s">
        <v>388</v>
      </c>
      <c r="F29" s="1" t="s">
        <v>389</v>
      </c>
      <c r="H29" s="2" t="s">
        <v>5</v>
      </c>
      <c r="I29" s="2" t="s">
        <v>6</v>
      </c>
      <c r="J29" s="2" t="s">
        <v>5</v>
      </c>
      <c r="K29" s="2" t="s">
        <v>5</v>
      </c>
      <c r="L29" s="2" t="s">
        <v>7</v>
      </c>
      <c r="M29" s="1" t="s">
        <v>390</v>
      </c>
      <c r="N29" s="1" t="s">
        <v>391</v>
      </c>
      <c r="O29" s="2" t="s">
        <v>392</v>
      </c>
      <c r="Q29" s="2" t="s">
        <v>60</v>
      </c>
      <c r="R29" s="2" t="s">
        <v>393</v>
      </c>
      <c r="T29" s="2" t="s">
        <v>13</v>
      </c>
      <c r="U29" s="3">
        <v>3</v>
      </c>
      <c r="V29" s="3">
        <v>3</v>
      </c>
      <c r="W29" s="4" t="s">
        <v>353</v>
      </c>
      <c r="X29" s="4" t="s">
        <v>353</v>
      </c>
      <c r="Y29" s="4" t="s">
        <v>340</v>
      </c>
      <c r="Z29" s="4" t="s">
        <v>340</v>
      </c>
      <c r="AA29" s="3">
        <v>293</v>
      </c>
      <c r="AB29" s="3">
        <v>212</v>
      </c>
      <c r="AC29" s="3">
        <v>212</v>
      </c>
      <c r="AD29" s="3">
        <v>3</v>
      </c>
      <c r="AE29" s="9">
        <v>3</v>
      </c>
      <c r="AF29" s="9">
        <v>18</v>
      </c>
      <c r="AG29" s="9">
        <v>18</v>
      </c>
      <c r="AH29" s="3">
        <v>5</v>
      </c>
      <c r="AI29" s="3">
        <v>5</v>
      </c>
      <c r="AJ29" s="3">
        <v>4</v>
      </c>
      <c r="AK29" s="3">
        <v>4</v>
      </c>
      <c r="AL29" s="3">
        <v>13</v>
      </c>
      <c r="AM29" s="3">
        <v>13</v>
      </c>
      <c r="AN29" s="3">
        <v>2</v>
      </c>
      <c r="AO29" s="3">
        <v>2</v>
      </c>
      <c r="AP29" s="3">
        <v>0</v>
      </c>
      <c r="AQ29" s="3">
        <v>0</v>
      </c>
      <c r="AR29" s="2" t="s">
        <v>5</v>
      </c>
      <c r="AS29" s="2" t="s">
        <v>46</v>
      </c>
      <c r="AT29" s="5" t="str">
        <f>HYPERLINK("http://catalog.hathitrust.org/Record/001205594","HathiTrust Record")</f>
        <v>HathiTrust Record</v>
      </c>
      <c r="AU29" s="5" t="str">
        <f>HYPERLINK("https://creighton-primo.hosted.exlibrisgroup.com/primo-explore/search?tab=default_tab&amp;search_scope=EVERYTHING&amp;vid=01CRU&amp;lang=en_US&amp;offset=0&amp;query=any,contains,991003644159702656","Catalog Record")</f>
        <v>Catalog Record</v>
      </c>
      <c r="AV29" s="5" t="str">
        <f>HYPERLINK("http://www.worldcat.org/oclc/1243574","WorldCat Record")</f>
        <v>WorldCat Record</v>
      </c>
      <c r="AW29" s="2" t="s">
        <v>394</v>
      </c>
      <c r="AX29" s="2" t="s">
        <v>395</v>
      </c>
      <c r="AY29" s="2" t="s">
        <v>396</v>
      </c>
      <c r="AZ29" s="2" t="s">
        <v>396</v>
      </c>
      <c r="BA29" s="2" t="s">
        <v>397</v>
      </c>
      <c r="BB29" s="2" t="s">
        <v>20</v>
      </c>
      <c r="BD29" s="2" t="s">
        <v>398</v>
      </c>
      <c r="BE29" s="2" t="s">
        <v>399</v>
      </c>
      <c r="BF29" s="2" t="s">
        <v>400</v>
      </c>
    </row>
    <row r="30" spans="1:58" ht="39.75" customHeight="1" x14ac:dyDescent="0.25">
      <c r="A30" s="7" t="s">
        <v>5</v>
      </c>
      <c r="B30" s="1" t="s">
        <v>0</v>
      </c>
      <c r="C30" s="1" t="s">
        <v>1</v>
      </c>
      <c r="D30" s="1" t="s">
        <v>401</v>
      </c>
      <c r="E30" s="1" t="s">
        <v>402</v>
      </c>
      <c r="F30" s="1" t="s">
        <v>403</v>
      </c>
      <c r="H30" s="2" t="s">
        <v>5</v>
      </c>
      <c r="I30" s="2" t="s">
        <v>6</v>
      </c>
      <c r="J30" s="2" t="s">
        <v>5</v>
      </c>
      <c r="K30" s="2" t="s">
        <v>5</v>
      </c>
      <c r="L30" s="2" t="s">
        <v>7</v>
      </c>
      <c r="M30" s="1" t="s">
        <v>404</v>
      </c>
      <c r="N30" s="1" t="s">
        <v>405</v>
      </c>
      <c r="O30" s="2" t="s">
        <v>406</v>
      </c>
      <c r="Q30" s="2" t="s">
        <v>11</v>
      </c>
      <c r="R30" s="2" t="s">
        <v>234</v>
      </c>
      <c r="S30" s="1" t="s">
        <v>407</v>
      </c>
      <c r="T30" s="2" t="s">
        <v>13</v>
      </c>
      <c r="U30" s="3">
        <v>1</v>
      </c>
      <c r="V30" s="3">
        <v>1</v>
      </c>
      <c r="W30" s="4" t="s">
        <v>408</v>
      </c>
      <c r="X30" s="4" t="s">
        <v>408</v>
      </c>
      <c r="Y30" s="4" t="s">
        <v>409</v>
      </c>
      <c r="Z30" s="4" t="s">
        <v>409</v>
      </c>
      <c r="AA30" s="3">
        <v>200</v>
      </c>
      <c r="AB30" s="3">
        <v>156</v>
      </c>
      <c r="AC30" s="3">
        <v>417</v>
      </c>
      <c r="AD30" s="3">
        <v>1</v>
      </c>
      <c r="AE30" s="9">
        <v>4</v>
      </c>
      <c r="AF30" s="9">
        <v>5</v>
      </c>
      <c r="AG30" s="9">
        <v>22</v>
      </c>
      <c r="AH30" s="3">
        <v>2</v>
      </c>
      <c r="AI30" s="3">
        <v>7</v>
      </c>
      <c r="AJ30" s="3">
        <v>0</v>
      </c>
      <c r="AK30" s="3">
        <v>5</v>
      </c>
      <c r="AL30" s="3">
        <v>3</v>
      </c>
      <c r="AM30" s="3">
        <v>14</v>
      </c>
      <c r="AN30" s="3">
        <v>0</v>
      </c>
      <c r="AO30" s="3">
        <v>3</v>
      </c>
      <c r="AP30" s="3">
        <v>0</v>
      </c>
      <c r="AQ30" s="3">
        <v>0</v>
      </c>
      <c r="AR30" s="2" t="s">
        <v>5</v>
      </c>
      <c r="AS30" s="2" t="s">
        <v>5</v>
      </c>
      <c r="AU30" s="5" t="str">
        <f>HYPERLINK("https://creighton-primo.hosted.exlibrisgroup.com/primo-explore/search?tab=default_tab&amp;search_scope=EVERYTHING&amp;vid=01CRU&amp;lang=en_US&amp;offset=0&amp;query=any,contains,991003032079702656","Catalog Record")</f>
        <v>Catalog Record</v>
      </c>
      <c r="AV30" s="5" t="str">
        <f>HYPERLINK("http://www.worldcat.org/oclc/595014","WorldCat Record")</f>
        <v>WorldCat Record</v>
      </c>
      <c r="AW30" s="2" t="s">
        <v>410</v>
      </c>
      <c r="AX30" s="2" t="s">
        <v>411</v>
      </c>
      <c r="AY30" s="2" t="s">
        <v>412</v>
      </c>
      <c r="AZ30" s="2" t="s">
        <v>412</v>
      </c>
      <c r="BA30" s="2" t="s">
        <v>413</v>
      </c>
      <c r="BB30" s="2" t="s">
        <v>20</v>
      </c>
      <c r="BE30" s="2" t="s">
        <v>414</v>
      </c>
      <c r="BF30" s="2" t="s">
        <v>415</v>
      </c>
    </row>
    <row r="31" spans="1:58" ht="39.75" customHeight="1" x14ac:dyDescent="0.25">
      <c r="A31" s="7" t="s">
        <v>5</v>
      </c>
      <c r="B31" s="1" t="s">
        <v>0</v>
      </c>
      <c r="C31" s="1" t="s">
        <v>1</v>
      </c>
      <c r="D31" s="1" t="s">
        <v>416</v>
      </c>
      <c r="E31" s="1" t="s">
        <v>417</v>
      </c>
      <c r="F31" s="1" t="s">
        <v>418</v>
      </c>
      <c r="H31" s="2" t="s">
        <v>5</v>
      </c>
      <c r="I31" s="2" t="s">
        <v>6</v>
      </c>
      <c r="J31" s="2" t="s">
        <v>5</v>
      </c>
      <c r="K31" s="2" t="s">
        <v>5</v>
      </c>
      <c r="L31" s="2" t="s">
        <v>7</v>
      </c>
      <c r="M31" s="1" t="s">
        <v>419</v>
      </c>
      <c r="N31" s="1" t="s">
        <v>420</v>
      </c>
      <c r="O31" s="2" t="s">
        <v>421</v>
      </c>
      <c r="Q31" s="2" t="s">
        <v>60</v>
      </c>
      <c r="R31" s="2" t="s">
        <v>422</v>
      </c>
      <c r="T31" s="2" t="s">
        <v>13</v>
      </c>
      <c r="U31" s="3">
        <v>3</v>
      </c>
      <c r="V31" s="3">
        <v>3</v>
      </c>
      <c r="W31" s="4" t="s">
        <v>423</v>
      </c>
      <c r="X31" s="4" t="s">
        <v>423</v>
      </c>
      <c r="Y31" s="4" t="s">
        <v>15</v>
      </c>
      <c r="Z31" s="4" t="s">
        <v>15</v>
      </c>
      <c r="AA31" s="3">
        <v>323</v>
      </c>
      <c r="AB31" s="3">
        <v>275</v>
      </c>
      <c r="AC31" s="3">
        <v>282</v>
      </c>
      <c r="AD31" s="3">
        <v>3</v>
      </c>
      <c r="AE31" s="9">
        <v>3</v>
      </c>
      <c r="AF31" s="9">
        <v>12</v>
      </c>
      <c r="AG31" s="9">
        <v>12</v>
      </c>
      <c r="AH31" s="3">
        <v>3</v>
      </c>
      <c r="AI31" s="3">
        <v>3</v>
      </c>
      <c r="AJ31" s="3">
        <v>3</v>
      </c>
      <c r="AK31" s="3">
        <v>3</v>
      </c>
      <c r="AL31" s="3">
        <v>7</v>
      </c>
      <c r="AM31" s="3">
        <v>7</v>
      </c>
      <c r="AN31" s="3">
        <v>2</v>
      </c>
      <c r="AO31" s="3">
        <v>2</v>
      </c>
      <c r="AP31" s="3">
        <v>0</v>
      </c>
      <c r="AQ31" s="3">
        <v>0</v>
      </c>
      <c r="AR31" s="2" t="s">
        <v>5</v>
      </c>
      <c r="AS31" s="2" t="s">
        <v>46</v>
      </c>
      <c r="AT31" s="5" t="str">
        <f>HYPERLINK("http://catalog.hathitrust.org/Record/000202658","HathiTrust Record")</f>
        <v>HathiTrust Record</v>
      </c>
      <c r="AU31" s="5" t="str">
        <f>HYPERLINK("https://creighton-primo.hosted.exlibrisgroup.com/primo-explore/search?tab=default_tab&amp;search_scope=EVERYTHING&amp;vid=01CRU&amp;lang=en_US&amp;offset=0&amp;query=any,contains,991000173299702656","Catalog Record")</f>
        <v>Catalog Record</v>
      </c>
      <c r="AV31" s="5" t="str">
        <f>HYPERLINK("http://www.worldcat.org/oclc/9325156","WorldCat Record")</f>
        <v>WorldCat Record</v>
      </c>
      <c r="AW31" s="2" t="s">
        <v>424</v>
      </c>
      <c r="AX31" s="2" t="s">
        <v>425</v>
      </c>
      <c r="AY31" s="2" t="s">
        <v>426</v>
      </c>
      <c r="AZ31" s="2" t="s">
        <v>426</v>
      </c>
      <c r="BA31" s="2" t="s">
        <v>427</v>
      </c>
      <c r="BB31" s="2" t="s">
        <v>20</v>
      </c>
      <c r="BD31" s="2" t="s">
        <v>428</v>
      </c>
      <c r="BE31" s="2" t="s">
        <v>429</v>
      </c>
      <c r="BF31" s="2" t="s">
        <v>430</v>
      </c>
    </row>
    <row r="32" spans="1:58" ht="39.75" customHeight="1" x14ac:dyDescent="0.25">
      <c r="A32" s="7" t="s">
        <v>5</v>
      </c>
      <c r="B32" s="1" t="s">
        <v>0</v>
      </c>
      <c r="C32" s="1" t="s">
        <v>1</v>
      </c>
      <c r="D32" s="1" t="s">
        <v>431</v>
      </c>
      <c r="E32" s="1" t="s">
        <v>432</v>
      </c>
      <c r="F32" s="1" t="s">
        <v>433</v>
      </c>
      <c r="H32" s="2" t="s">
        <v>5</v>
      </c>
      <c r="I32" s="2" t="s">
        <v>6</v>
      </c>
      <c r="J32" s="2" t="s">
        <v>5</v>
      </c>
      <c r="K32" s="2" t="s">
        <v>5</v>
      </c>
      <c r="L32" s="2" t="s">
        <v>7</v>
      </c>
      <c r="M32" s="1" t="s">
        <v>434</v>
      </c>
      <c r="N32" s="1" t="s">
        <v>435</v>
      </c>
      <c r="O32" s="2" t="s">
        <v>91</v>
      </c>
      <c r="P32" s="1" t="s">
        <v>436</v>
      </c>
      <c r="Q32" s="2" t="s">
        <v>11</v>
      </c>
      <c r="R32" s="2" t="s">
        <v>28</v>
      </c>
      <c r="S32" s="1" t="s">
        <v>437</v>
      </c>
      <c r="T32" s="2" t="s">
        <v>13</v>
      </c>
      <c r="U32" s="3">
        <v>1</v>
      </c>
      <c r="V32" s="3">
        <v>1</v>
      </c>
      <c r="W32" s="4" t="s">
        <v>438</v>
      </c>
      <c r="X32" s="4" t="s">
        <v>438</v>
      </c>
      <c r="Y32" s="4" t="s">
        <v>439</v>
      </c>
      <c r="Z32" s="4" t="s">
        <v>439</v>
      </c>
      <c r="AA32" s="3">
        <v>129</v>
      </c>
      <c r="AB32" s="3">
        <v>62</v>
      </c>
      <c r="AC32" s="3">
        <v>101</v>
      </c>
      <c r="AD32" s="3">
        <v>2</v>
      </c>
      <c r="AE32" s="9">
        <v>3</v>
      </c>
      <c r="AF32" s="9">
        <v>5</v>
      </c>
      <c r="AG32" s="9">
        <v>6</v>
      </c>
      <c r="AH32" s="3">
        <v>0</v>
      </c>
      <c r="AI32" s="3">
        <v>0</v>
      </c>
      <c r="AJ32" s="3">
        <v>2</v>
      </c>
      <c r="AK32" s="3">
        <v>2</v>
      </c>
      <c r="AL32" s="3">
        <v>3</v>
      </c>
      <c r="AM32" s="3">
        <v>3</v>
      </c>
      <c r="AN32" s="3">
        <v>1</v>
      </c>
      <c r="AO32" s="3">
        <v>2</v>
      </c>
      <c r="AP32" s="3">
        <v>0</v>
      </c>
      <c r="AQ32" s="3">
        <v>0</v>
      </c>
      <c r="AR32" s="2" t="s">
        <v>5</v>
      </c>
      <c r="AS32" s="2" t="s">
        <v>5</v>
      </c>
      <c r="AU32" s="5" t="str">
        <f>HYPERLINK("https://creighton-primo.hosted.exlibrisgroup.com/primo-explore/search?tab=default_tab&amp;search_scope=EVERYTHING&amp;vid=01CRU&amp;lang=en_US&amp;offset=0&amp;query=any,contains,991002577289702656","Catalog Record")</f>
        <v>Catalog Record</v>
      </c>
      <c r="AV32" s="5" t="str">
        <f>HYPERLINK("http://www.worldcat.org/oclc/33665830","WorldCat Record")</f>
        <v>WorldCat Record</v>
      </c>
      <c r="AW32" s="2" t="s">
        <v>440</v>
      </c>
      <c r="AX32" s="2" t="s">
        <v>441</v>
      </c>
      <c r="AY32" s="2" t="s">
        <v>442</v>
      </c>
      <c r="AZ32" s="2" t="s">
        <v>442</v>
      </c>
      <c r="BA32" s="2" t="s">
        <v>443</v>
      </c>
      <c r="BB32" s="2" t="s">
        <v>20</v>
      </c>
      <c r="BD32" s="2" t="s">
        <v>444</v>
      </c>
      <c r="BE32" s="2" t="s">
        <v>445</v>
      </c>
      <c r="BF32" s="2" t="s">
        <v>446</v>
      </c>
    </row>
    <row r="33" spans="1:58" ht="39.75" customHeight="1" x14ac:dyDescent="0.25">
      <c r="A33" s="7" t="s">
        <v>5</v>
      </c>
      <c r="B33" s="1" t="s">
        <v>0</v>
      </c>
      <c r="C33" s="1" t="s">
        <v>1</v>
      </c>
      <c r="D33" s="1" t="s">
        <v>447</v>
      </c>
      <c r="E33" s="1" t="s">
        <v>448</v>
      </c>
      <c r="F33" s="1" t="s">
        <v>449</v>
      </c>
      <c r="H33" s="2" t="s">
        <v>5</v>
      </c>
      <c r="I33" s="2" t="s">
        <v>6</v>
      </c>
      <c r="J33" s="2" t="s">
        <v>5</v>
      </c>
      <c r="K33" s="2" t="s">
        <v>5</v>
      </c>
      <c r="L33" s="2" t="s">
        <v>7</v>
      </c>
      <c r="M33" s="1" t="s">
        <v>450</v>
      </c>
      <c r="N33" s="1" t="s">
        <v>451</v>
      </c>
      <c r="O33" s="2" t="s">
        <v>452</v>
      </c>
      <c r="Q33" s="2" t="s">
        <v>60</v>
      </c>
      <c r="R33" s="2" t="s">
        <v>453</v>
      </c>
      <c r="T33" s="2" t="s">
        <v>13</v>
      </c>
      <c r="U33" s="3">
        <v>3</v>
      </c>
      <c r="V33" s="3">
        <v>3</v>
      </c>
      <c r="W33" s="4" t="s">
        <v>454</v>
      </c>
      <c r="X33" s="4" t="s">
        <v>454</v>
      </c>
      <c r="Y33" s="4" t="s">
        <v>455</v>
      </c>
      <c r="Z33" s="4" t="s">
        <v>455</v>
      </c>
      <c r="AA33" s="3">
        <v>363</v>
      </c>
      <c r="AB33" s="3">
        <v>285</v>
      </c>
      <c r="AC33" s="3">
        <v>771</v>
      </c>
      <c r="AD33" s="3">
        <v>3</v>
      </c>
      <c r="AE33" s="9">
        <v>6</v>
      </c>
      <c r="AF33" s="9">
        <v>21</v>
      </c>
      <c r="AG33" s="9">
        <v>39</v>
      </c>
      <c r="AH33" s="3">
        <v>7</v>
      </c>
      <c r="AI33" s="3">
        <v>15</v>
      </c>
      <c r="AJ33" s="3">
        <v>8</v>
      </c>
      <c r="AK33" s="3">
        <v>11</v>
      </c>
      <c r="AL33" s="3">
        <v>11</v>
      </c>
      <c r="AM33" s="3">
        <v>17</v>
      </c>
      <c r="AN33" s="3">
        <v>2</v>
      </c>
      <c r="AO33" s="3">
        <v>5</v>
      </c>
      <c r="AP33" s="3">
        <v>0</v>
      </c>
      <c r="AQ33" s="3">
        <v>1</v>
      </c>
      <c r="AR33" s="2" t="s">
        <v>5</v>
      </c>
      <c r="AS33" s="2" t="s">
        <v>5</v>
      </c>
      <c r="AU33" s="5" t="str">
        <f>HYPERLINK("https://creighton-primo.hosted.exlibrisgroup.com/primo-explore/search?tab=default_tab&amp;search_scope=EVERYTHING&amp;vid=01CRU&amp;lang=en_US&amp;offset=0&amp;query=any,contains,991002534219702656","Catalog Record")</f>
        <v>Catalog Record</v>
      </c>
      <c r="AV33" s="5" t="str">
        <f>HYPERLINK("http://www.worldcat.org/oclc/32924559","WorldCat Record")</f>
        <v>WorldCat Record</v>
      </c>
      <c r="AW33" s="2" t="s">
        <v>456</v>
      </c>
      <c r="AX33" s="2" t="s">
        <v>457</v>
      </c>
      <c r="AY33" s="2" t="s">
        <v>458</v>
      </c>
      <c r="AZ33" s="2" t="s">
        <v>458</v>
      </c>
      <c r="BA33" s="2" t="s">
        <v>459</v>
      </c>
      <c r="BB33" s="2" t="s">
        <v>20</v>
      </c>
      <c r="BD33" s="2" t="s">
        <v>460</v>
      </c>
      <c r="BE33" s="2" t="s">
        <v>461</v>
      </c>
      <c r="BF33" s="2" t="s">
        <v>462</v>
      </c>
    </row>
    <row r="34" spans="1:58" ht="39.75" customHeight="1" x14ac:dyDescent="0.25">
      <c r="A34" s="7" t="s">
        <v>5</v>
      </c>
      <c r="B34" s="1" t="s">
        <v>0</v>
      </c>
      <c r="C34" s="1" t="s">
        <v>1</v>
      </c>
      <c r="D34" s="1" t="s">
        <v>463</v>
      </c>
      <c r="E34" s="1" t="s">
        <v>464</v>
      </c>
      <c r="F34" s="1" t="s">
        <v>465</v>
      </c>
      <c r="H34" s="2" t="s">
        <v>5</v>
      </c>
      <c r="I34" s="2" t="s">
        <v>6</v>
      </c>
      <c r="J34" s="2" t="s">
        <v>5</v>
      </c>
      <c r="K34" s="2" t="s">
        <v>5</v>
      </c>
      <c r="L34" s="2" t="s">
        <v>7</v>
      </c>
      <c r="M34" s="1" t="s">
        <v>466</v>
      </c>
      <c r="N34" s="1" t="s">
        <v>467</v>
      </c>
      <c r="O34" s="2" t="s">
        <v>468</v>
      </c>
      <c r="Q34" s="2" t="s">
        <v>60</v>
      </c>
      <c r="R34" s="2" t="s">
        <v>193</v>
      </c>
      <c r="T34" s="2" t="s">
        <v>13</v>
      </c>
      <c r="U34" s="3">
        <v>2</v>
      </c>
      <c r="V34" s="3">
        <v>2</v>
      </c>
      <c r="W34" s="4" t="s">
        <v>308</v>
      </c>
      <c r="X34" s="4" t="s">
        <v>308</v>
      </c>
      <c r="Y34" s="4" t="s">
        <v>340</v>
      </c>
      <c r="Z34" s="4" t="s">
        <v>340</v>
      </c>
      <c r="AA34" s="3">
        <v>714</v>
      </c>
      <c r="AB34" s="3">
        <v>569</v>
      </c>
      <c r="AC34" s="3">
        <v>577</v>
      </c>
      <c r="AD34" s="3">
        <v>5</v>
      </c>
      <c r="AE34" s="9">
        <v>5</v>
      </c>
      <c r="AF34" s="9">
        <v>34</v>
      </c>
      <c r="AG34" s="9">
        <v>34</v>
      </c>
      <c r="AH34" s="3">
        <v>15</v>
      </c>
      <c r="AI34" s="3">
        <v>15</v>
      </c>
      <c r="AJ34" s="3">
        <v>8</v>
      </c>
      <c r="AK34" s="3">
        <v>8</v>
      </c>
      <c r="AL34" s="3">
        <v>16</v>
      </c>
      <c r="AM34" s="3">
        <v>16</v>
      </c>
      <c r="AN34" s="3">
        <v>4</v>
      </c>
      <c r="AO34" s="3">
        <v>4</v>
      </c>
      <c r="AP34" s="3">
        <v>0</v>
      </c>
      <c r="AQ34" s="3">
        <v>0</v>
      </c>
      <c r="AR34" s="2" t="s">
        <v>5</v>
      </c>
      <c r="AS34" s="2" t="s">
        <v>46</v>
      </c>
      <c r="AT34" s="5" t="str">
        <f>HYPERLINK("http://catalog.hathitrust.org/Record/001111099","HathiTrust Record")</f>
        <v>HathiTrust Record</v>
      </c>
      <c r="AU34" s="5" t="str">
        <f>HYPERLINK("https://creighton-primo.hosted.exlibrisgroup.com/primo-explore/search?tab=default_tab&amp;search_scope=EVERYTHING&amp;vid=01CRU&amp;lang=en_US&amp;offset=0&amp;query=any,contains,991004149209702656","Catalog Record")</f>
        <v>Catalog Record</v>
      </c>
      <c r="AV34" s="5" t="str">
        <f>HYPERLINK("http://www.worldcat.org/oclc/336367","WorldCat Record")</f>
        <v>WorldCat Record</v>
      </c>
      <c r="AW34" s="2" t="s">
        <v>469</v>
      </c>
      <c r="AX34" s="2" t="s">
        <v>470</v>
      </c>
      <c r="AY34" s="2" t="s">
        <v>471</v>
      </c>
      <c r="AZ34" s="2" t="s">
        <v>471</v>
      </c>
      <c r="BA34" s="2" t="s">
        <v>472</v>
      </c>
      <c r="BB34" s="2" t="s">
        <v>20</v>
      </c>
      <c r="BE34" s="2" t="s">
        <v>473</v>
      </c>
      <c r="BF34" s="2" t="s">
        <v>474</v>
      </c>
    </row>
    <row r="35" spans="1:58" ht="39.75" customHeight="1" x14ac:dyDescent="0.25">
      <c r="A35" s="7" t="s">
        <v>5</v>
      </c>
      <c r="B35" s="1" t="s">
        <v>0</v>
      </c>
      <c r="C35" s="1" t="s">
        <v>1</v>
      </c>
      <c r="D35" s="1" t="s">
        <v>475</v>
      </c>
      <c r="E35" s="1" t="s">
        <v>476</v>
      </c>
      <c r="F35" s="1" t="s">
        <v>477</v>
      </c>
      <c r="H35" s="2" t="s">
        <v>5</v>
      </c>
      <c r="I35" s="2" t="s">
        <v>6</v>
      </c>
      <c r="J35" s="2" t="s">
        <v>5</v>
      </c>
      <c r="K35" s="2" t="s">
        <v>5</v>
      </c>
      <c r="L35" s="2" t="s">
        <v>7</v>
      </c>
      <c r="M35" s="1" t="s">
        <v>478</v>
      </c>
      <c r="N35" s="1" t="s">
        <v>479</v>
      </c>
      <c r="O35" s="2" t="s">
        <v>480</v>
      </c>
      <c r="Q35" s="2" t="s">
        <v>60</v>
      </c>
      <c r="R35" s="2" t="s">
        <v>234</v>
      </c>
      <c r="S35" s="1" t="s">
        <v>481</v>
      </c>
      <c r="T35" s="2" t="s">
        <v>13</v>
      </c>
      <c r="U35" s="3">
        <v>2</v>
      </c>
      <c r="V35" s="3">
        <v>2</v>
      </c>
      <c r="W35" s="4" t="s">
        <v>482</v>
      </c>
      <c r="X35" s="4" t="s">
        <v>482</v>
      </c>
      <c r="Y35" s="4" t="s">
        <v>340</v>
      </c>
      <c r="Z35" s="4" t="s">
        <v>340</v>
      </c>
      <c r="AA35" s="3">
        <v>206</v>
      </c>
      <c r="AB35" s="3">
        <v>188</v>
      </c>
      <c r="AC35" s="3">
        <v>584</v>
      </c>
      <c r="AD35" s="3">
        <v>2</v>
      </c>
      <c r="AE35" s="9">
        <v>4</v>
      </c>
      <c r="AF35" s="9">
        <v>10</v>
      </c>
      <c r="AG35" s="9">
        <v>35</v>
      </c>
      <c r="AH35" s="3">
        <v>4</v>
      </c>
      <c r="AI35" s="3">
        <v>13</v>
      </c>
      <c r="AJ35" s="3">
        <v>5</v>
      </c>
      <c r="AK35" s="3">
        <v>9</v>
      </c>
      <c r="AL35" s="3">
        <v>2</v>
      </c>
      <c r="AM35" s="3">
        <v>19</v>
      </c>
      <c r="AN35" s="3">
        <v>1</v>
      </c>
      <c r="AO35" s="3">
        <v>3</v>
      </c>
      <c r="AP35" s="3">
        <v>1</v>
      </c>
      <c r="AQ35" s="3">
        <v>1</v>
      </c>
      <c r="AR35" s="2" t="s">
        <v>5</v>
      </c>
      <c r="AS35" s="2" t="s">
        <v>46</v>
      </c>
      <c r="AT35" s="5" t="str">
        <f>HYPERLINK("http://catalog.hathitrust.org/Record/001678748","HathiTrust Record")</f>
        <v>HathiTrust Record</v>
      </c>
      <c r="AU35" s="5" t="str">
        <f>HYPERLINK("https://creighton-primo.hosted.exlibrisgroup.com/primo-explore/search?tab=default_tab&amp;search_scope=EVERYTHING&amp;vid=01CRU&amp;lang=en_US&amp;offset=0&amp;query=any,contains,991002695909702656","Catalog Record")</f>
        <v>Catalog Record</v>
      </c>
      <c r="AV35" s="5" t="str">
        <f>HYPERLINK("http://www.worldcat.org/oclc/403559","WorldCat Record")</f>
        <v>WorldCat Record</v>
      </c>
      <c r="AW35" s="2" t="s">
        <v>483</v>
      </c>
      <c r="AX35" s="2" t="s">
        <v>484</v>
      </c>
      <c r="AY35" s="2" t="s">
        <v>485</v>
      </c>
      <c r="AZ35" s="2" t="s">
        <v>485</v>
      </c>
      <c r="BA35" s="2" t="s">
        <v>486</v>
      </c>
      <c r="BB35" s="2" t="s">
        <v>20</v>
      </c>
      <c r="BE35" s="2" t="s">
        <v>487</v>
      </c>
      <c r="BF35" s="2" t="s">
        <v>488</v>
      </c>
    </row>
    <row r="36" spans="1:58" ht="39.75" customHeight="1" x14ac:dyDescent="0.25">
      <c r="A36" s="7" t="s">
        <v>5</v>
      </c>
      <c r="B36" s="1" t="s">
        <v>0</v>
      </c>
      <c r="C36" s="1" t="s">
        <v>1</v>
      </c>
      <c r="D36" s="1" t="s">
        <v>489</v>
      </c>
      <c r="E36" s="1" t="s">
        <v>490</v>
      </c>
      <c r="F36" s="1" t="s">
        <v>491</v>
      </c>
      <c r="H36" s="2" t="s">
        <v>5</v>
      </c>
      <c r="I36" s="2" t="s">
        <v>6</v>
      </c>
      <c r="J36" s="2" t="s">
        <v>5</v>
      </c>
      <c r="K36" s="2" t="s">
        <v>5</v>
      </c>
      <c r="L36" s="2" t="s">
        <v>7</v>
      </c>
      <c r="M36" s="1" t="s">
        <v>492</v>
      </c>
      <c r="N36" s="1" t="s">
        <v>493</v>
      </c>
      <c r="O36" s="2" t="s">
        <v>494</v>
      </c>
      <c r="Q36" s="2" t="s">
        <v>60</v>
      </c>
      <c r="R36" s="2" t="s">
        <v>495</v>
      </c>
      <c r="T36" s="2" t="s">
        <v>13</v>
      </c>
      <c r="U36" s="3">
        <v>2</v>
      </c>
      <c r="V36" s="3">
        <v>2</v>
      </c>
      <c r="W36" s="4" t="s">
        <v>482</v>
      </c>
      <c r="X36" s="4" t="s">
        <v>482</v>
      </c>
      <c r="Y36" s="4" t="s">
        <v>180</v>
      </c>
      <c r="Z36" s="4" t="s">
        <v>180</v>
      </c>
      <c r="AA36" s="3">
        <v>372</v>
      </c>
      <c r="AB36" s="3">
        <v>299</v>
      </c>
      <c r="AC36" s="3">
        <v>306</v>
      </c>
      <c r="AD36" s="3">
        <v>3</v>
      </c>
      <c r="AE36" s="9">
        <v>3</v>
      </c>
      <c r="AF36" s="9">
        <v>15</v>
      </c>
      <c r="AG36" s="9">
        <v>15</v>
      </c>
      <c r="AH36" s="3">
        <v>3</v>
      </c>
      <c r="AI36" s="3">
        <v>3</v>
      </c>
      <c r="AJ36" s="3">
        <v>4</v>
      </c>
      <c r="AK36" s="3">
        <v>4</v>
      </c>
      <c r="AL36" s="3">
        <v>10</v>
      </c>
      <c r="AM36" s="3">
        <v>10</v>
      </c>
      <c r="AN36" s="3">
        <v>2</v>
      </c>
      <c r="AO36" s="3">
        <v>2</v>
      </c>
      <c r="AP36" s="3">
        <v>0</v>
      </c>
      <c r="AQ36" s="3">
        <v>0</v>
      </c>
      <c r="AR36" s="2" t="s">
        <v>5</v>
      </c>
      <c r="AS36" s="2" t="s">
        <v>46</v>
      </c>
      <c r="AT36" s="5" t="str">
        <f>HYPERLINK("http://catalog.hathitrust.org/Record/000087464","HathiTrust Record")</f>
        <v>HathiTrust Record</v>
      </c>
      <c r="AU36" s="5" t="str">
        <f>HYPERLINK("https://creighton-primo.hosted.exlibrisgroup.com/primo-explore/search?tab=default_tab&amp;search_scope=EVERYTHING&amp;vid=01CRU&amp;lang=en_US&amp;offset=0&amp;query=any,contains,991004445869702656","Catalog Record")</f>
        <v>Catalog Record</v>
      </c>
      <c r="AV36" s="5" t="str">
        <f>HYPERLINK("http://www.worldcat.org/oclc/3481491","WorldCat Record")</f>
        <v>WorldCat Record</v>
      </c>
      <c r="AW36" s="2" t="s">
        <v>496</v>
      </c>
      <c r="AX36" s="2" t="s">
        <v>497</v>
      </c>
      <c r="AY36" s="2" t="s">
        <v>498</v>
      </c>
      <c r="AZ36" s="2" t="s">
        <v>498</v>
      </c>
      <c r="BA36" s="2" t="s">
        <v>499</v>
      </c>
      <c r="BB36" s="2" t="s">
        <v>20</v>
      </c>
      <c r="BD36" s="2" t="s">
        <v>500</v>
      </c>
      <c r="BE36" s="2" t="s">
        <v>501</v>
      </c>
      <c r="BF36" s="2" t="s">
        <v>502</v>
      </c>
    </row>
    <row r="37" spans="1:58" ht="39.75" customHeight="1" x14ac:dyDescent="0.25">
      <c r="A37" s="7" t="s">
        <v>5</v>
      </c>
      <c r="B37" s="1" t="s">
        <v>0</v>
      </c>
      <c r="C37" s="1" t="s">
        <v>1</v>
      </c>
      <c r="D37" s="1" t="s">
        <v>503</v>
      </c>
      <c r="E37" s="1" t="s">
        <v>504</v>
      </c>
      <c r="F37" s="1" t="s">
        <v>505</v>
      </c>
      <c r="H37" s="2" t="s">
        <v>5</v>
      </c>
      <c r="I37" s="2" t="s">
        <v>6</v>
      </c>
      <c r="J37" s="2" t="s">
        <v>5</v>
      </c>
      <c r="K37" s="2" t="s">
        <v>5</v>
      </c>
      <c r="L37" s="2" t="s">
        <v>7</v>
      </c>
      <c r="M37" s="1" t="s">
        <v>506</v>
      </c>
      <c r="N37" s="1" t="s">
        <v>507</v>
      </c>
      <c r="O37" s="2" t="s">
        <v>508</v>
      </c>
      <c r="Q37" s="2" t="s">
        <v>60</v>
      </c>
      <c r="R37" s="2" t="s">
        <v>61</v>
      </c>
      <c r="S37" s="1" t="s">
        <v>509</v>
      </c>
      <c r="T37" s="2" t="s">
        <v>13</v>
      </c>
      <c r="U37" s="3">
        <v>1</v>
      </c>
      <c r="V37" s="3">
        <v>1</v>
      </c>
      <c r="W37" s="4" t="s">
        <v>510</v>
      </c>
      <c r="X37" s="4" t="s">
        <v>510</v>
      </c>
      <c r="Y37" s="4" t="s">
        <v>511</v>
      </c>
      <c r="Z37" s="4" t="s">
        <v>511</v>
      </c>
      <c r="AA37" s="3">
        <v>173</v>
      </c>
      <c r="AB37" s="3">
        <v>134</v>
      </c>
      <c r="AC37" s="3">
        <v>140</v>
      </c>
      <c r="AD37" s="3">
        <v>2</v>
      </c>
      <c r="AE37" s="9">
        <v>2</v>
      </c>
      <c r="AF37" s="9">
        <v>10</v>
      </c>
      <c r="AG37" s="9">
        <v>10</v>
      </c>
      <c r="AH37" s="3">
        <v>5</v>
      </c>
      <c r="AI37" s="3">
        <v>5</v>
      </c>
      <c r="AJ37" s="3">
        <v>2</v>
      </c>
      <c r="AK37" s="3">
        <v>2</v>
      </c>
      <c r="AL37" s="3">
        <v>3</v>
      </c>
      <c r="AM37" s="3">
        <v>3</v>
      </c>
      <c r="AN37" s="3">
        <v>1</v>
      </c>
      <c r="AO37" s="3">
        <v>1</v>
      </c>
      <c r="AP37" s="3">
        <v>0</v>
      </c>
      <c r="AQ37" s="3">
        <v>0</v>
      </c>
      <c r="AR37" s="2" t="s">
        <v>5</v>
      </c>
      <c r="AS37" s="2" t="s">
        <v>5</v>
      </c>
      <c r="AU37" s="5" t="str">
        <f>HYPERLINK("https://creighton-primo.hosted.exlibrisgroup.com/primo-explore/search?tab=default_tab&amp;search_scope=EVERYTHING&amp;vid=01CRU&amp;lang=en_US&amp;offset=0&amp;query=any,contains,991003791999702656","Catalog Record")</f>
        <v>Catalog Record</v>
      </c>
      <c r="AV37" s="5" t="str">
        <f>HYPERLINK("http://www.worldcat.org/oclc/41940161","WorldCat Record")</f>
        <v>WorldCat Record</v>
      </c>
      <c r="AW37" s="2" t="s">
        <v>512</v>
      </c>
      <c r="AX37" s="2" t="s">
        <v>513</v>
      </c>
      <c r="AY37" s="2" t="s">
        <v>514</v>
      </c>
      <c r="AZ37" s="2" t="s">
        <v>514</v>
      </c>
      <c r="BA37" s="2" t="s">
        <v>515</v>
      </c>
      <c r="BB37" s="2" t="s">
        <v>20</v>
      </c>
      <c r="BD37" s="2" t="s">
        <v>516</v>
      </c>
      <c r="BE37" s="2" t="s">
        <v>517</v>
      </c>
      <c r="BF37" s="2" t="s">
        <v>518</v>
      </c>
    </row>
    <row r="38" spans="1:58" ht="39.75" customHeight="1" x14ac:dyDescent="0.25">
      <c r="A38" s="7" t="s">
        <v>5</v>
      </c>
      <c r="B38" s="1" t="s">
        <v>0</v>
      </c>
      <c r="C38" s="1" t="s">
        <v>1</v>
      </c>
      <c r="D38" s="1" t="s">
        <v>519</v>
      </c>
      <c r="E38" s="1" t="s">
        <v>520</v>
      </c>
      <c r="F38" s="1" t="s">
        <v>521</v>
      </c>
      <c r="H38" s="2" t="s">
        <v>5</v>
      </c>
      <c r="I38" s="2" t="s">
        <v>6</v>
      </c>
      <c r="J38" s="2" t="s">
        <v>5</v>
      </c>
      <c r="K38" s="2" t="s">
        <v>5</v>
      </c>
      <c r="L38" s="2" t="s">
        <v>7</v>
      </c>
      <c r="M38" s="1" t="s">
        <v>522</v>
      </c>
      <c r="N38" s="1" t="s">
        <v>523</v>
      </c>
      <c r="O38" s="2" t="s">
        <v>524</v>
      </c>
      <c r="Q38" s="2" t="s">
        <v>11</v>
      </c>
      <c r="R38" s="2" t="s">
        <v>193</v>
      </c>
      <c r="S38" s="1" t="s">
        <v>525</v>
      </c>
      <c r="T38" s="2" t="s">
        <v>13</v>
      </c>
      <c r="U38" s="3">
        <v>3</v>
      </c>
      <c r="V38" s="3">
        <v>3</v>
      </c>
      <c r="W38" s="4" t="s">
        <v>526</v>
      </c>
      <c r="X38" s="4" t="s">
        <v>526</v>
      </c>
      <c r="Y38" s="4" t="s">
        <v>527</v>
      </c>
      <c r="Z38" s="4" t="s">
        <v>527</v>
      </c>
      <c r="AA38" s="3">
        <v>62</v>
      </c>
      <c r="AB38" s="3">
        <v>38</v>
      </c>
      <c r="AC38" s="3">
        <v>170</v>
      </c>
      <c r="AD38" s="3">
        <v>2</v>
      </c>
      <c r="AE38" s="9">
        <v>4</v>
      </c>
      <c r="AF38" s="9">
        <v>2</v>
      </c>
      <c r="AG38" s="9">
        <v>11</v>
      </c>
      <c r="AH38" s="3">
        <v>1</v>
      </c>
      <c r="AI38" s="3">
        <v>3</v>
      </c>
      <c r="AJ38" s="3">
        <v>0</v>
      </c>
      <c r="AK38" s="3">
        <v>1</v>
      </c>
      <c r="AL38" s="3">
        <v>0</v>
      </c>
      <c r="AM38" s="3">
        <v>4</v>
      </c>
      <c r="AN38" s="3">
        <v>1</v>
      </c>
      <c r="AO38" s="3">
        <v>3</v>
      </c>
      <c r="AP38" s="3">
        <v>0</v>
      </c>
      <c r="AQ38" s="3">
        <v>0</v>
      </c>
      <c r="AR38" s="2" t="s">
        <v>5</v>
      </c>
      <c r="AS38" s="2" t="s">
        <v>5</v>
      </c>
      <c r="AU38" s="5" t="str">
        <f>HYPERLINK("https://creighton-primo.hosted.exlibrisgroup.com/primo-explore/search?tab=default_tab&amp;search_scope=EVERYTHING&amp;vid=01CRU&amp;lang=en_US&amp;offset=0&amp;query=any,contains,991000843789702656","Catalog Record")</f>
        <v>Catalog Record</v>
      </c>
      <c r="AV38" s="5" t="str">
        <f>HYPERLINK("http://www.worldcat.org/oclc/13542725","WorldCat Record")</f>
        <v>WorldCat Record</v>
      </c>
      <c r="AW38" s="2" t="s">
        <v>528</v>
      </c>
      <c r="AX38" s="2" t="s">
        <v>529</v>
      </c>
      <c r="AY38" s="2" t="s">
        <v>530</v>
      </c>
      <c r="AZ38" s="2" t="s">
        <v>530</v>
      </c>
      <c r="BA38" s="2" t="s">
        <v>531</v>
      </c>
      <c r="BB38" s="2" t="s">
        <v>20</v>
      </c>
      <c r="BD38" s="2" t="s">
        <v>532</v>
      </c>
      <c r="BE38" s="2" t="s">
        <v>533</v>
      </c>
      <c r="BF38" s="2" t="s">
        <v>534</v>
      </c>
    </row>
    <row r="39" spans="1:58" ht="39.75" customHeight="1" x14ac:dyDescent="0.25">
      <c r="A39" s="7" t="s">
        <v>5</v>
      </c>
      <c r="B39" s="1" t="s">
        <v>0</v>
      </c>
      <c r="C39" s="1" t="s">
        <v>1</v>
      </c>
      <c r="D39" s="1" t="s">
        <v>535</v>
      </c>
      <c r="E39" s="1" t="s">
        <v>536</v>
      </c>
      <c r="F39" s="1" t="s">
        <v>537</v>
      </c>
      <c r="H39" s="2" t="s">
        <v>5</v>
      </c>
      <c r="I39" s="2" t="s">
        <v>6</v>
      </c>
      <c r="J39" s="2" t="s">
        <v>5</v>
      </c>
      <c r="K39" s="2" t="s">
        <v>5</v>
      </c>
      <c r="L39" s="2" t="s">
        <v>7</v>
      </c>
      <c r="M39" s="1" t="s">
        <v>538</v>
      </c>
      <c r="N39" s="1" t="s">
        <v>539</v>
      </c>
      <c r="O39" s="2" t="s">
        <v>494</v>
      </c>
      <c r="Q39" s="2" t="s">
        <v>60</v>
      </c>
      <c r="R39" s="2" t="s">
        <v>193</v>
      </c>
      <c r="T39" s="2" t="s">
        <v>13</v>
      </c>
      <c r="U39" s="3">
        <v>1</v>
      </c>
      <c r="V39" s="3">
        <v>1</v>
      </c>
      <c r="W39" s="4" t="s">
        <v>540</v>
      </c>
      <c r="X39" s="4" t="s">
        <v>540</v>
      </c>
      <c r="Y39" s="4" t="s">
        <v>541</v>
      </c>
      <c r="Z39" s="4" t="s">
        <v>541</v>
      </c>
      <c r="AA39" s="3">
        <v>520</v>
      </c>
      <c r="AB39" s="3">
        <v>412</v>
      </c>
      <c r="AC39" s="3">
        <v>435</v>
      </c>
      <c r="AD39" s="3">
        <v>3</v>
      </c>
      <c r="AE39" s="9">
        <v>3</v>
      </c>
      <c r="AF39" s="9">
        <v>18</v>
      </c>
      <c r="AG39" s="9">
        <v>20</v>
      </c>
      <c r="AH39" s="3">
        <v>4</v>
      </c>
      <c r="AI39" s="3">
        <v>5</v>
      </c>
      <c r="AJ39" s="3">
        <v>5</v>
      </c>
      <c r="AK39" s="3">
        <v>6</v>
      </c>
      <c r="AL39" s="3">
        <v>11</v>
      </c>
      <c r="AM39" s="3">
        <v>11</v>
      </c>
      <c r="AN39" s="3">
        <v>2</v>
      </c>
      <c r="AO39" s="3">
        <v>2</v>
      </c>
      <c r="AP39" s="3">
        <v>0</v>
      </c>
      <c r="AQ39" s="3">
        <v>0</v>
      </c>
      <c r="AR39" s="2" t="s">
        <v>5</v>
      </c>
      <c r="AS39" s="2" t="s">
        <v>46</v>
      </c>
      <c r="AT39" s="5" t="str">
        <f>HYPERLINK("http://catalog.hathitrust.org/Record/009494327","HathiTrust Record")</f>
        <v>HathiTrust Record</v>
      </c>
      <c r="AU39" s="5" t="str">
        <f>HYPERLINK("https://creighton-primo.hosted.exlibrisgroup.com/primo-explore/search?tab=default_tab&amp;search_scope=EVERYTHING&amp;vid=01CRU&amp;lang=en_US&amp;offset=0&amp;query=any,contains,991004725739702656","Catalog Record")</f>
        <v>Catalog Record</v>
      </c>
      <c r="AV39" s="5" t="str">
        <f>HYPERLINK("http://www.worldcat.org/oclc/4809458","WorldCat Record")</f>
        <v>WorldCat Record</v>
      </c>
      <c r="AW39" s="2" t="s">
        <v>542</v>
      </c>
      <c r="AX39" s="2" t="s">
        <v>543</v>
      </c>
      <c r="AY39" s="2" t="s">
        <v>544</v>
      </c>
      <c r="AZ39" s="2" t="s">
        <v>544</v>
      </c>
      <c r="BA39" s="2" t="s">
        <v>545</v>
      </c>
      <c r="BB39" s="2" t="s">
        <v>20</v>
      </c>
      <c r="BD39" s="2" t="s">
        <v>546</v>
      </c>
      <c r="BE39" s="2" t="s">
        <v>547</v>
      </c>
      <c r="BF39" s="2" t="s">
        <v>548</v>
      </c>
    </row>
    <row r="40" spans="1:58" ht="39.75" customHeight="1" x14ac:dyDescent="0.25">
      <c r="A40" s="7" t="s">
        <v>5</v>
      </c>
      <c r="B40" s="1" t="s">
        <v>0</v>
      </c>
      <c r="C40" s="1" t="s">
        <v>1</v>
      </c>
      <c r="D40" s="1" t="s">
        <v>549</v>
      </c>
      <c r="E40" s="1" t="s">
        <v>550</v>
      </c>
      <c r="F40" s="1" t="s">
        <v>551</v>
      </c>
      <c r="H40" s="2" t="s">
        <v>5</v>
      </c>
      <c r="I40" s="2" t="s">
        <v>6</v>
      </c>
      <c r="J40" s="2" t="s">
        <v>5</v>
      </c>
      <c r="K40" s="2" t="s">
        <v>5</v>
      </c>
      <c r="L40" s="2" t="s">
        <v>7</v>
      </c>
      <c r="M40" s="1" t="s">
        <v>552</v>
      </c>
      <c r="N40" s="1" t="s">
        <v>553</v>
      </c>
      <c r="O40" s="2" t="s">
        <v>554</v>
      </c>
      <c r="Q40" s="2" t="s">
        <v>60</v>
      </c>
      <c r="R40" s="2" t="s">
        <v>61</v>
      </c>
      <c r="T40" s="2" t="s">
        <v>13</v>
      </c>
      <c r="U40" s="3">
        <v>2</v>
      </c>
      <c r="V40" s="3">
        <v>2</v>
      </c>
      <c r="W40" s="4" t="s">
        <v>555</v>
      </c>
      <c r="X40" s="4" t="s">
        <v>555</v>
      </c>
      <c r="Y40" s="4" t="s">
        <v>556</v>
      </c>
      <c r="Z40" s="4" t="s">
        <v>556</v>
      </c>
      <c r="AA40" s="3">
        <v>365</v>
      </c>
      <c r="AB40" s="3">
        <v>325</v>
      </c>
      <c r="AC40" s="3">
        <v>399</v>
      </c>
      <c r="AD40" s="3">
        <v>1</v>
      </c>
      <c r="AE40" s="9">
        <v>3</v>
      </c>
      <c r="AF40" s="9">
        <v>12</v>
      </c>
      <c r="AG40" s="9">
        <v>18</v>
      </c>
      <c r="AH40" s="3">
        <v>8</v>
      </c>
      <c r="AI40" s="3">
        <v>8</v>
      </c>
      <c r="AJ40" s="3">
        <v>2</v>
      </c>
      <c r="AK40" s="3">
        <v>4</v>
      </c>
      <c r="AL40" s="3">
        <v>8</v>
      </c>
      <c r="AM40" s="3">
        <v>11</v>
      </c>
      <c r="AN40" s="3">
        <v>0</v>
      </c>
      <c r="AO40" s="3">
        <v>2</v>
      </c>
      <c r="AP40" s="3">
        <v>0</v>
      </c>
      <c r="AQ40" s="3">
        <v>0</v>
      </c>
      <c r="AR40" s="2" t="s">
        <v>5</v>
      </c>
      <c r="AS40" s="2" t="s">
        <v>5</v>
      </c>
      <c r="AU40" s="5" t="str">
        <f>HYPERLINK("https://creighton-primo.hosted.exlibrisgroup.com/primo-explore/search?tab=default_tab&amp;search_scope=EVERYTHING&amp;vid=01CRU&amp;lang=en_US&amp;offset=0&amp;query=any,contains,991000642669702656","Catalog Record")</f>
        <v>Catalog Record</v>
      </c>
      <c r="AV40" s="5" t="str">
        <f>HYPERLINK("http://www.worldcat.org/oclc/12107409","WorldCat Record")</f>
        <v>WorldCat Record</v>
      </c>
      <c r="AW40" s="2" t="s">
        <v>557</v>
      </c>
      <c r="AX40" s="2" t="s">
        <v>558</v>
      </c>
      <c r="AY40" s="2" t="s">
        <v>559</v>
      </c>
      <c r="AZ40" s="2" t="s">
        <v>559</v>
      </c>
      <c r="BA40" s="2" t="s">
        <v>560</v>
      </c>
      <c r="BB40" s="2" t="s">
        <v>20</v>
      </c>
      <c r="BD40" s="2" t="s">
        <v>561</v>
      </c>
      <c r="BE40" s="2" t="s">
        <v>562</v>
      </c>
      <c r="BF40" s="2" t="s">
        <v>563</v>
      </c>
    </row>
    <row r="41" spans="1:58" ht="39.75" customHeight="1" x14ac:dyDescent="0.25">
      <c r="A41" s="7" t="s">
        <v>5</v>
      </c>
      <c r="B41" s="1" t="s">
        <v>0</v>
      </c>
      <c r="C41" s="1" t="s">
        <v>1</v>
      </c>
      <c r="D41" s="1" t="s">
        <v>564</v>
      </c>
      <c r="E41" s="1" t="s">
        <v>565</v>
      </c>
      <c r="F41" s="1" t="s">
        <v>566</v>
      </c>
      <c r="H41" s="2" t="s">
        <v>5</v>
      </c>
      <c r="I41" s="2" t="s">
        <v>6</v>
      </c>
      <c r="J41" s="2" t="s">
        <v>5</v>
      </c>
      <c r="K41" s="2" t="s">
        <v>5</v>
      </c>
      <c r="L41" s="2" t="s">
        <v>7</v>
      </c>
      <c r="M41" s="1" t="s">
        <v>567</v>
      </c>
      <c r="N41" s="1" t="s">
        <v>568</v>
      </c>
      <c r="O41" s="2" t="s">
        <v>569</v>
      </c>
      <c r="Q41" s="2" t="s">
        <v>60</v>
      </c>
      <c r="R41" s="2" t="s">
        <v>43</v>
      </c>
      <c r="S41" s="1" t="s">
        <v>570</v>
      </c>
      <c r="T41" s="2" t="s">
        <v>13</v>
      </c>
      <c r="U41" s="3">
        <v>1</v>
      </c>
      <c r="V41" s="3">
        <v>1</v>
      </c>
      <c r="W41" s="4" t="s">
        <v>571</v>
      </c>
      <c r="X41" s="4" t="s">
        <v>571</v>
      </c>
      <c r="Y41" s="4" t="s">
        <v>571</v>
      </c>
      <c r="Z41" s="4" t="s">
        <v>571</v>
      </c>
      <c r="AA41" s="3">
        <v>326</v>
      </c>
      <c r="AB41" s="3">
        <v>271</v>
      </c>
      <c r="AC41" s="3">
        <v>273</v>
      </c>
      <c r="AD41" s="3">
        <v>3</v>
      </c>
      <c r="AE41" s="9">
        <v>3</v>
      </c>
      <c r="AF41" s="9">
        <v>18</v>
      </c>
      <c r="AG41" s="9">
        <v>18</v>
      </c>
      <c r="AH41" s="3">
        <v>4</v>
      </c>
      <c r="AI41" s="3">
        <v>4</v>
      </c>
      <c r="AJ41" s="3">
        <v>6</v>
      </c>
      <c r="AK41" s="3">
        <v>6</v>
      </c>
      <c r="AL41" s="3">
        <v>9</v>
      </c>
      <c r="AM41" s="3">
        <v>9</v>
      </c>
      <c r="AN41" s="3">
        <v>2</v>
      </c>
      <c r="AO41" s="3">
        <v>2</v>
      </c>
      <c r="AP41" s="3">
        <v>0</v>
      </c>
      <c r="AQ41" s="3">
        <v>0</v>
      </c>
      <c r="AR41" s="2" t="s">
        <v>5</v>
      </c>
      <c r="AS41" s="2" t="s">
        <v>46</v>
      </c>
      <c r="AT41" s="5" t="str">
        <f>HYPERLINK("http://catalog.hathitrust.org/Record/003976139","HathiTrust Record")</f>
        <v>HathiTrust Record</v>
      </c>
      <c r="AU41" s="5" t="str">
        <f>HYPERLINK("https://creighton-primo.hosted.exlibrisgroup.com/primo-explore/search?tab=default_tab&amp;search_scope=EVERYTHING&amp;vid=01CRU&amp;lang=en_US&amp;offset=0&amp;query=any,contains,991005296099702656","Catalog Record")</f>
        <v>Catalog Record</v>
      </c>
      <c r="AV41" s="5" t="str">
        <f>HYPERLINK("http://www.worldcat.org/oclc/37652113","WorldCat Record")</f>
        <v>WorldCat Record</v>
      </c>
      <c r="AW41" s="2" t="s">
        <v>572</v>
      </c>
      <c r="AX41" s="2" t="s">
        <v>573</v>
      </c>
      <c r="AY41" s="2" t="s">
        <v>574</v>
      </c>
      <c r="AZ41" s="2" t="s">
        <v>574</v>
      </c>
      <c r="BA41" s="2" t="s">
        <v>575</v>
      </c>
      <c r="BB41" s="2" t="s">
        <v>20</v>
      </c>
      <c r="BD41" s="2" t="s">
        <v>576</v>
      </c>
      <c r="BE41" s="2" t="s">
        <v>577</v>
      </c>
      <c r="BF41" s="2" t="s">
        <v>578</v>
      </c>
    </row>
    <row r="42" spans="1:58" ht="39.75" customHeight="1" x14ac:dyDescent="0.25">
      <c r="A42" s="7" t="s">
        <v>5</v>
      </c>
      <c r="B42" s="1" t="s">
        <v>0</v>
      </c>
      <c r="C42" s="1" t="s">
        <v>1</v>
      </c>
      <c r="D42" s="1" t="s">
        <v>579</v>
      </c>
      <c r="E42" s="1" t="s">
        <v>580</v>
      </c>
      <c r="F42" s="1" t="s">
        <v>581</v>
      </c>
      <c r="H42" s="2" t="s">
        <v>5</v>
      </c>
      <c r="I42" s="2" t="s">
        <v>6</v>
      </c>
      <c r="J42" s="2" t="s">
        <v>5</v>
      </c>
      <c r="K42" s="2" t="s">
        <v>5</v>
      </c>
      <c r="L42" s="2" t="s">
        <v>7</v>
      </c>
      <c r="M42" s="1" t="s">
        <v>582</v>
      </c>
      <c r="N42" s="1" t="s">
        <v>583</v>
      </c>
      <c r="O42" s="2" t="s">
        <v>584</v>
      </c>
      <c r="Q42" s="2" t="s">
        <v>60</v>
      </c>
      <c r="R42" s="2" t="s">
        <v>43</v>
      </c>
      <c r="T42" s="2" t="s">
        <v>13</v>
      </c>
      <c r="U42" s="3">
        <v>4</v>
      </c>
      <c r="V42" s="3">
        <v>4</v>
      </c>
      <c r="W42" s="4" t="s">
        <v>585</v>
      </c>
      <c r="X42" s="4" t="s">
        <v>585</v>
      </c>
      <c r="Y42" s="4" t="s">
        <v>586</v>
      </c>
      <c r="Z42" s="4" t="s">
        <v>586</v>
      </c>
      <c r="AA42" s="3">
        <v>747</v>
      </c>
      <c r="AB42" s="3">
        <v>640</v>
      </c>
      <c r="AC42" s="3">
        <v>658</v>
      </c>
      <c r="AD42" s="3">
        <v>6</v>
      </c>
      <c r="AE42" s="9">
        <v>6</v>
      </c>
      <c r="AF42" s="9">
        <v>39</v>
      </c>
      <c r="AG42" s="9">
        <v>39</v>
      </c>
      <c r="AH42" s="3">
        <v>12</v>
      </c>
      <c r="AI42" s="3">
        <v>12</v>
      </c>
      <c r="AJ42" s="3">
        <v>9</v>
      </c>
      <c r="AK42" s="3">
        <v>9</v>
      </c>
      <c r="AL42" s="3">
        <v>22</v>
      </c>
      <c r="AM42" s="3">
        <v>22</v>
      </c>
      <c r="AN42" s="3">
        <v>5</v>
      </c>
      <c r="AO42" s="3">
        <v>5</v>
      </c>
      <c r="AP42" s="3">
        <v>0</v>
      </c>
      <c r="AQ42" s="3">
        <v>0</v>
      </c>
      <c r="AR42" s="2" t="s">
        <v>5</v>
      </c>
      <c r="AS42" s="2" t="s">
        <v>46</v>
      </c>
      <c r="AT42" s="5" t="str">
        <f>HYPERLINK("http://catalog.hathitrust.org/Record/001205304","HathiTrust Record")</f>
        <v>HathiTrust Record</v>
      </c>
      <c r="AU42" s="5" t="str">
        <f>HYPERLINK("https://creighton-primo.hosted.exlibrisgroup.com/primo-explore/search?tab=default_tab&amp;search_scope=EVERYTHING&amp;vid=01CRU&amp;lang=en_US&amp;offset=0&amp;query=any,contains,991002399789702656","Catalog Record")</f>
        <v>Catalog Record</v>
      </c>
      <c r="AV42" s="5" t="str">
        <f>HYPERLINK("http://www.worldcat.org/oclc/336308","WorldCat Record")</f>
        <v>WorldCat Record</v>
      </c>
      <c r="AW42" s="2" t="s">
        <v>587</v>
      </c>
      <c r="AX42" s="2" t="s">
        <v>588</v>
      </c>
      <c r="AY42" s="2" t="s">
        <v>589</v>
      </c>
      <c r="AZ42" s="2" t="s">
        <v>589</v>
      </c>
      <c r="BA42" s="2" t="s">
        <v>590</v>
      </c>
      <c r="BB42" s="2" t="s">
        <v>20</v>
      </c>
      <c r="BE42" s="2" t="s">
        <v>591</v>
      </c>
      <c r="BF42" s="2" t="s">
        <v>592</v>
      </c>
    </row>
    <row r="43" spans="1:58" ht="39.75" customHeight="1" x14ac:dyDescent="0.25">
      <c r="A43" s="7" t="s">
        <v>5</v>
      </c>
      <c r="B43" s="1" t="s">
        <v>0</v>
      </c>
      <c r="C43" s="1" t="s">
        <v>1</v>
      </c>
      <c r="D43" s="1" t="s">
        <v>593</v>
      </c>
      <c r="E43" s="1" t="s">
        <v>594</v>
      </c>
      <c r="F43" s="1" t="s">
        <v>595</v>
      </c>
      <c r="H43" s="2" t="s">
        <v>5</v>
      </c>
      <c r="I43" s="2" t="s">
        <v>6</v>
      </c>
      <c r="J43" s="2" t="s">
        <v>5</v>
      </c>
      <c r="K43" s="2" t="s">
        <v>5</v>
      </c>
      <c r="L43" s="2" t="s">
        <v>7</v>
      </c>
      <c r="M43" s="1" t="s">
        <v>596</v>
      </c>
      <c r="N43" s="1" t="s">
        <v>597</v>
      </c>
      <c r="O43" s="2" t="s">
        <v>392</v>
      </c>
      <c r="Q43" s="2" t="s">
        <v>60</v>
      </c>
      <c r="R43" s="2" t="s">
        <v>292</v>
      </c>
      <c r="S43" s="1" t="s">
        <v>598</v>
      </c>
      <c r="T43" s="2" t="s">
        <v>13</v>
      </c>
      <c r="U43" s="3">
        <v>3</v>
      </c>
      <c r="V43" s="3">
        <v>3</v>
      </c>
      <c r="W43" s="4" t="s">
        <v>585</v>
      </c>
      <c r="X43" s="4" t="s">
        <v>585</v>
      </c>
      <c r="Y43" s="4" t="s">
        <v>586</v>
      </c>
      <c r="Z43" s="4" t="s">
        <v>586</v>
      </c>
      <c r="AA43" s="3">
        <v>644</v>
      </c>
      <c r="AB43" s="3">
        <v>522</v>
      </c>
      <c r="AC43" s="3">
        <v>522</v>
      </c>
      <c r="AD43" s="3">
        <v>4</v>
      </c>
      <c r="AE43" s="9">
        <v>4</v>
      </c>
      <c r="AF43" s="9">
        <v>23</v>
      </c>
      <c r="AG43" s="9">
        <v>23</v>
      </c>
      <c r="AH43" s="3">
        <v>7</v>
      </c>
      <c r="AI43" s="3">
        <v>7</v>
      </c>
      <c r="AJ43" s="3">
        <v>5</v>
      </c>
      <c r="AK43" s="3">
        <v>5</v>
      </c>
      <c r="AL43" s="3">
        <v>16</v>
      </c>
      <c r="AM43" s="3">
        <v>16</v>
      </c>
      <c r="AN43" s="3">
        <v>3</v>
      </c>
      <c r="AO43" s="3">
        <v>3</v>
      </c>
      <c r="AP43" s="3">
        <v>0</v>
      </c>
      <c r="AQ43" s="3">
        <v>0</v>
      </c>
      <c r="AR43" s="2" t="s">
        <v>5</v>
      </c>
      <c r="AS43" s="2" t="s">
        <v>5</v>
      </c>
      <c r="AU43" s="5" t="str">
        <f>HYPERLINK("https://creighton-primo.hosted.exlibrisgroup.com/primo-explore/search?tab=default_tab&amp;search_scope=EVERYTHING&amp;vid=01CRU&amp;lang=en_US&amp;offset=0&amp;query=any,contains,991003076679702656","Catalog Record")</f>
        <v>Catalog Record</v>
      </c>
      <c r="AV43" s="5" t="str">
        <f>HYPERLINK("http://www.worldcat.org/oclc/629242","WorldCat Record")</f>
        <v>WorldCat Record</v>
      </c>
      <c r="AW43" s="2" t="s">
        <v>599</v>
      </c>
      <c r="AX43" s="2" t="s">
        <v>600</v>
      </c>
      <c r="AY43" s="2" t="s">
        <v>601</v>
      </c>
      <c r="AZ43" s="2" t="s">
        <v>601</v>
      </c>
      <c r="BA43" s="2" t="s">
        <v>602</v>
      </c>
      <c r="BB43" s="2" t="s">
        <v>20</v>
      </c>
      <c r="BD43" s="2" t="s">
        <v>603</v>
      </c>
      <c r="BE43" s="2" t="s">
        <v>604</v>
      </c>
      <c r="BF43" s="2" t="s">
        <v>605</v>
      </c>
    </row>
    <row r="44" spans="1:58" ht="39.75" customHeight="1" x14ac:dyDescent="0.25">
      <c r="A44" s="7" t="s">
        <v>5</v>
      </c>
      <c r="B44" s="1" t="s">
        <v>0</v>
      </c>
      <c r="C44" s="1" t="s">
        <v>1</v>
      </c>
      <c r="D44" s="1" t="s">
        <v>606</v>
      </c>
      <c r="E44" s="1" t="s">
        <v>607</v>
      </c>
      <c r="F44" s="1" t="s">
        <v>608</v>
      </c>
      <c r="H44" s="2" t="s">
        <v>5</v>
      </c>
      <c r="I44" s="2" t="s">
        <v>6</v>
      </c>
      <c r="J44" s="2" t="s">
        <v>5</v>
      </c>
      <c r="K44" s="2" t="s">
        <v>5</v>
      </c>
      <c r="L44" s="2" t="s">
        <v>7</v>
      </c>
      <c r="M44" s="1" t="s">
        <v>609</v>
      </c>
      <c r="N44" s="1" t="s">
        <v>610</v>
      </c>
      <c r="O44" s="2" t="s">
        <v>508</v>
      </c>
      <c r="Q44" s="2" t="s">
        <v>60</v>
      </c>
      <c r="R44" s="2" t="s">
        <v>277</v>
      </c>
      <c r="S44" s="1" t="s">
        <v>611</v>
      </c>
      <c r="T44" s="2" t="s">
        <v>13</v>
      </c>
      <c r="U44" s="3">
        <v>1</v>
      </c>
      <c r="V44" s="3">
        <v>1</v>
      </c>
      <c r="W44" s="4" t="s">
        <v>612</v>
      </c>
      <c r="X44" s="4" t="s">
        <v>612</v>
      </c>
      <c r="Y44" s="4" t="s">
        <v>612</v>
      </c>
      <c r="Z44" s="4" t="s">
        <v>612</v>
      </c>
      <c r="AA44" s="3">
        <v>115</v>
      </c>
      <c r="AB44" s="3">
        <v>85</v>
      </c>
      <c r="AC44" s="3">
        <v>260</v>
      </c>
      <c r="AD44" s="3">
        <v>2</v>
      </c>
      <c r="AE44" s="9">
        <v>3</v>
      </c>
      <c r="AF44" s="9">
        <v>6</v>
      </c>
      <c r="AG44" s="9">
        <v>17</v>
      </c>
      <c r="AH44" s="3">
        <v>0</v>
      </c>
      <c r="AI44" s="3">
        <v>5</v>
      </c>
      <c r="AJ44" s="3">
        <v>3</v>
      </c>
      <c r="AK44" s="3">
        <v>8</v>
      </c>
      <c r="AL44" s="3">
        <v>4</v>
      </c>
      <c r="AM44" s="3">
        <v>7</v>
      </c>
      <c r="AN44" s="3">
        <v>1</v>
      </c>
      <c r="AO44" s="3">
        <v>2</v>
      </c>
      <c r="AP44" s="3">
        <v>0</v>
      </c>
      <c r="AQ44" s="3">
        <v>0</v>
      </c>
      <c r="AR44" s="2" t="s">
        <v>5</v>
      </c>
      <c r="AS44" s="2" t="s">
        <v>5</v>
      </c>
      <c r="AU44" s="5" t="str">
        <f>HYPERLINK("https://creighton-primo.hosted.exlibrisgroup.com/primo-explore/search?tab=default_tab&amp;search_scope=EVERYTHING&amp;vid=01CRU&amp;lang=en_US&amp;offset=0&amp;query=any,contains,991004152339702656","Catalog Record")</f>
        <v>Catalog Record</v>
      </c>
      <c r="AV44" s="5" t="str">
        <f>HYPERLINK("http://www.worldcat.org/oclc/45903655","WorldCat Record")</f>
        <v>WorldCat Record</v>
      </c>
      <c r="AW44" s="2" t="s">
        <v>613</v>
      </c>
      <c r="AX44" s="2" t="s">
        <v>614</v>
      </c>
      <c r="AY44" s="2" t="s">
        <v>615</v>
      </c>
      <c r="AZ44" s="2" t="s">
        <v>615</v>
      </c>
      <c r="BA44" s="2" t="s">
        <v>616</v>
      </c>
      <c r="BB44" s="2" t="s">
        <v>20</v>
      </c>
      <c r="BD44" s="2" t="s">
        <v>617</v>
      </c>
      <c r="BE44" s="2" t="s">
        <v>618</v>
      </c>
      <c r="BF44" s="2" t="s">
        <v>619</v>
      </c>
    </row>
    <row r="45" spans="1:58" ht="39.75" customHeight="1" x14ac:dyDescent="0.25">
      <c r="A45" s="7" t="s">
        <v>5</v>
      </c>
      <c r="B45" s="1" t="s">
        <v>0</v>
      </c>
      <c r="C45" s="1" t="s">
        <v>1</v>
      </c>
      <c r="D45" s="1" t="s">
        <v>620</v>
      </c>
      <c r="E45" s="1" t="s">
        <v>621</v>
      </c>
      <c r="F45" s="1" t="s">
        <v>622</v>
      </c>
      <c r="H45" s="2" t="s">
        <v>5</v>
      </c>
      <c r="I45" s="2" t="s">
        <v>6</v>
      </c>
      <c r="J45" s="2" t="s">
        <v>5</v>
      </c>
      <c r="K45" s="2" t="s">
        <v>5</v>
      </c>
      <c r="L45" s="2" t="s">
        <v>7</v>
      </c>
      <c r="M45" s="1" t="s">
        <v>623</v>
      </c>
      <c r="N45" s="1" t="s">
        <v>624</v>
      </c>
      <c r="O45" s="2" t="s">
        <v>177</v>
      </c>
      <c r="Q45" s="2" t="s">
        <v>11</v>
      </c>
      <c r="R45" s="2" t="s">
        <v>28</v>
      </c>
      <c r="S45" s="1" t="s">
        <v>625</v>
      </c>
      <c r="T45" s="2" t="s">
        <v>13</v>
      </c>
      <c r="U45" s="3">
        <v>13</v>
      </c>
      <c r="V45" s="3">
        <v>13</v>
      </c>
      <c r="W45" s="4" t="s">
        <v>626</v>
      </c>
      <c r="X45" s="4" t="s">
        <v>626</v>
      </c>
      <c r="Y45" s="4" t="s">
        <v>627</v>
      </c>
      <c r="Z45" s="4" t="s">
        <v>627</v>
      </c>
      <c r="AA45" s="3">
        <v>311</v>
      </c>
      <c r="AB45" s="3">
        <v>204</v>
      </c>
      <c r="AC45" s="3">
        <v>215</v>
      </c>
      <c r="AD45" s="3">
        <v>2</v>
      </c>
      <c r="AE45" s="9">
        <v>2</v>
      </c>
      <c r="AF45" s="9">
        <v>12</v>
      </c>
      <c r="AG45" s="9">
        <v>12</v>
      </c>
      <c r="AH45" s="3">
        <v>1</v>
      </c>
      <c r="AI45" s="3">
        <v>1</v>
      </c>
      <c r="AJ45" s="3">
        <v>3</v>
      </c>
      <c r="AK45" s="3">
        <v>3</v>
      </c>
      <c r="AL45" s="3">
        <v>9</v>
      </c>
      <c r="AM45" s="3">
        <v>9</v>
      </c>
      <c r="AN45" s="3">
        <v>1</v>
      </c>
      <c r="AO45" s="3">
        <v>1</v>
      </c>
      <c r="AP45" s="3">
        <v>0</v>
      </c>
      <c r="AQ45" s="3">
        <v>0</v>
      </c>
      <c r="AR45" s="2" t="s">
        <v>5</v>
      </c>
      <c r="AS45" s="2" t="s">
        <v>46</v>
      </c>
      <c r="AT45" s="5" t="str">
        <f>HYPERLINK("http://catalog.hathitrust.org/Record/001646476","HathiTrust Record")</f>
        <v>HathiTrust Record</v>
      </c>
      <c r="AU45" s="5" t="str">
        <f>HYPERLINK("https://creighton-primo.hosted.exlibrisgroup.com/primo-explore/search?tab=default_tab&amp;search_scope=EVERYTHING&amp;vid=01CRU&amp;lang=en_US&amp;offset=0&amp;query=any,contains,991002421129702656","Catalog Record")</f>
        <v>Catalog Record</v>
      </c>
      <c r="AV45" s="5" t="str">
        <f>HYPERLINK("http://www.worldcat.org/oclc/342825","WorldCat Record")</f>
        <v>WorldCat Record</v>
      </c>
      <c r="AW45" s="2" t="s">
        <v>628</v>
      </c>
      <c r="AX45" s="2" t="s">
        <v>629</v>
      </c>
      <c r="AY45" s="2" t="s">
        <v>630</v>
      </c>
      <c r="AZ45" s="2" t="s">
        <v>630</v>
      </c>
      <c r="BA45" s="2" t="s">
        <v>631</v>
      </c>
      <c r="BB45" s="2" t="s">
        <v>20</v>
      </c>
      <c r="BE45" s="2" t="s">
        <v>632</v>
      </c>
      <c r="BF45" s="2" t="s">
        <v>633</v>
      </c>
    </row>
    <row r="46" spans="1:58" ht="39.75" customHeight="1" x14ac:dyDescent="0.25">
      <c r="A46" s="7" t="s">
        <v>5</v>
      </c>
      <c r="B46" s="1" t="s">
        <v>0</v>
      </c>
      <c r="C46" s="1" t="s">
        <v>1</v>
      </c>
      <c r="D46" s="1" t="s">
        <v>634</v>
      </c>
      <c r="E46" s="1" t="s">
        <v>635</v>
      </c>
      <c r="F46" s="1" t="s">
        <v>636</v>
      </c>
      <c r="H46" s="2" t="s">
        <v>5</v>
      </c>
      <c r="I46" s="2" t="s">
        <v>6</v>
      </c>
      <c r="J46" s="2" t="s">
        <v>5</v>
      </c>
      <c r="K46" s="2" t="s">
        <v>5</v>
      </c>
      <c r="L46" s="2" t="s">
        <v>7</v>
      </c>
      <c r="M46" s="1" t="s">
        <v>637</v>
      </c>
      <c r="N46" s="1" t="s">
        <v>638</v>
      </c>
      <c r="O46" s="2" t="s">
        <v>639</v>
      </c>
      <c r="Q46" s="2" t="s">
        <v>60</v>
      </c>
      <c r="R46" s="2" t="s">
        <v>323</v>
      </c>
      <c r="T46" s="2" t="s">
        <v>13</v>
      </c>
      <c r="U46" s="3">
        <v>6</v>
      </c>
      <c r="V46" s="3">
        <v>6</v>
      </c>
      <c r="W46" s="4" t="s">
        <v>640</v>
      </c>
      <c r="X46" s="4" t="s">
        <v>640</v>
      </c>
      <c r="Y46" s="4" t="s">
        <v>641</v>
      </c>
      <c r="Z46" s="4" t="s">
        <v>641</v>
      </c>
      <c r="AA46" s="3">
        <v>881</v>
      </c>
      <c r="AB46" s="3">
        <v>713</v>
      </c>
      <c r="AC46" s="3">
        <v>788</v>
      </c>
      <c r="AD46" s="3">
        <v>6</v>
      </c>
      <c r="AE46" s="9">
        <v>7</v>
      </c>
      <c r="AF46" s="9">
        <v>37</v>
      </c>
      <c r="AG46" s="9">
        <v>41</v>
      </c>
      <c r="AH46" s="3">
        <v>18</v>
      </c>
      <c r="AI46" s="3">
        <v>19</v>
      </c>
      <c r="AJ46" s="3">
        <v>7</v>
      </c>
      <c r="AK46" s="3">
        <v>8</v>
      </c>
      <c r="AL46" s="3">
        <v>16</v>
      </c>
      <c r="AM46" s="3">
        <v>17</v>
      </c>
      <c r="AN46" s="3">
        <v>5</v>
      </c>
      <c r="AO46" s="3">
        <v>6</v>
      </c>
      <c r="AP46" s="3">
        <v>0</v>
      </c>
      <c r="AQ46" s="3">
        <v>0</v>
      </c>
      <c r="AR46" s="2" t="s">
        <v>5</v>
      </c>
      <c r="AS46" s="2" t="s">
        <v>5</v>
      </c>
      <c r="AU46" s="5" t="str">
        <f>HYPERLINK("https://creighton-primo.hosted.exlibrisgroup.com/primo-explore/search?tab=default_tab&amp;search_scope=EVERYTHING&amp;vid=01CRU&amp;lang=en_US&amp;offset=0&amp;query=any,contains,991001242559702656","Catalog Record")</f>
        <v>Catalog Record</v>
      </c>
      <c r="AV46" s="5" t="str">
        <f>HYPERLINK("http://www.worldcat.org/oclc/17621497","WorldCat Record")</f>
        <v>WorldCat Record</v>
      </c>
      <c r="AW46" s="2" t="s">
        <v>642</v>
      </c>
      <c r="AX46" s="2" t="s">
        <v>643</v>
      </c>
      <c r="AY46" s="2" t="s">
        <v>644</v>
      </c>
      <c r="AZ46" s="2" t="s">
        <v>644</v>
      </c>
      <c r="BA46" s="2" t="s">
        <v>645</v>
      </c>
      <c r="BB46" s="2" t="s">
        <v>20</v>
      </c>
      <c r="BD46" s="2" t="s">
        <v>646</v>
      </c>
      <c r="BE46" s="2" t="s">
        <v>647</v>
      </c>
      <c r="BF46" s="2" t="s">
        <v>648</v>
      </c>
    </row>
    <row r="47" spans="1:58" ht="39.75" customHeight="1" x14ac:dyDescent="0.25">
      <c r="A47" s="7" t="s">
        <v>5</v>
      </c>
      <c r="B47" s="1" t="s">
        <v>0</v>
      </c>
      <c r="C47" s="1" t="s">
        <v>1</v>
      </c>
      <c r="D47" s="1" t="s">
        <v>649</v>
      </c>
      <c r="E47" s="1" t="s">
        <v>650</v>
      </c>
      <c r="F47" s="1" t="s">
        <v>651</v>
      </c>
      <c r="H47" s="2" t="s">
        <v>5</v>
      </c>
      <c r="I47" s="2" t="s">
        <v>6</v>
      </c>
      <c r="J47" s="2" t="s">
        <v>5</v>
      </c>
      <c r="K47" s="2" t="s">
        <v>5</v>
      </c>
      <c r="L47" s="2" t="s">
        <v>7</v>
      </c>
      <c r="M47" s="1" t="s">
        <v>652</v>
      </c>
      <c r="N47" s="1" t="s">
        <v>653</v>
      </c>
      <c r="O47" s="2" t="s">
        <v>654</v>
      </c>
      <c r="Q47" s="2" t="s">
        <v>11</v>
      </c>
      <c r="R47" s="2" t="s">
        <v>234</v>
      </c>
      <c r="T47" s="2" t="s">
        <v>13</v>
      </c>
      <c r="U47" s="3">
        <v>1</v>
      </c>
      <c r="V47" s="3">
        <v>1</v>
      </c>
      <c r="W47" s="4" t="s">
        <v>655</v>
      </c>
      <c r="X47" s="4" t="s">
        <v>655</v>
      </c>
      <c r="Y47" s="4" t="s">
        <v>627</v>
      </c>
      <c r="Z47" s="4" t="s">
        <v>627</v>
      </c>
      <c r="AA47" s="3">
        <v>71</v>
      </c>
      <c r="AB47" s="3">
        <v>54</v>
      </c>
      <c r="AC47" s="3">
        <v>56</v>
      </c>
      <c r="AD47" s="3">
        <v>1</v>
      </c>
      <c r="AE47" s="9">
        <v>1</v>
      </c>
      <c r="AF47" s="9">
        <v>4</v>
      </c>
      <c r="AG47" s="9">
        <v>4</v>
      </c>
      <c r="AH47" s="3">
        <v>0</v>
      </c>
      <c r="AI47" s="3">
        <v>0</v>
      </c>
      <c r="AJ47" s="3">
        <v>2</v>
      </c>
      <c r="AK47" s="3">
        <v>2</v>
      </c>
      <c r="AL47" s="3">
        <v>3</v>
      </c>
      <c r="AM47" s="3">
        <v>3</v>
      </c>
      <c r="AN47" s="3">
        <v>0</v>
      </c>
      <c r="AO47" s="3">
        <v>0</v>
      </c>
      <c r="AP47" s="3">
        <v>0</v>
      </c>
      <c r="AQ47" s="3">
        <v>0</v>
      </c>
      <c r="AR47" s="2" t="s">
        <v>5</v>
      </c>
      <c r="AS47" s="2" t="s">
        <v>5</v>
      </c>
      <c r="AU47" s="5" t="str">
        <f>HYPERLINK("https://creighton-primo.hosted.exlibrisgroup.com/primo-explore/search?tab=default_tab&amp;search_scope=EVERYTHING&amp;vid=01CRU&amp;lang=en_US&amp;offset=0&amp;query=any,contains,991003489409702656","Catalog Record")</f>
        <v>Catalog Record</v>
      </c>
      <c r="AV47" s="5" t="str">
        <f>HYPERLINK("http://www.worldcat.org/oclc/1038238","WorldCat Record")</f>
        <v>WorldCat Record</v>
      </c>
      <c r="AW47" s="2" t="s">
        <v>656</v>
      </c>
      <c r="AX47" s="2" t="s">
        <v>657</v>
      </c>
      <c r="AY47" s="2" t="s">
        <v>658</v>
      </c>
      <c r="AZ47" s="2" t="s">
        <v>658</v>
      </c>
      <c r="BA47" s="2" t="s">
        <v>659</v>
      </c>
      <c r="BB47" s="2" t="s">
        <v>20</v>
      </c>
      <c r="BE47" s="2" t="s">
        <v>660</v>
      </c>
      <c r="BF47" s="2" t="s">
        <v>661</v>
      </c>
    </row>
    <row r="48" spans="1:58" ht="39.75" customHeight="1" x14ac:dyDescent="0.25">
      <c r="A48" s="7" t="s">
        <v>5</v>
      </c>
      <c r="B48" s="1" t="s">
        <v>0</v>
      </c>
      <c r="C48" s="1" t="s">
        <v>1</v>
      </c>
      <c r="D48" s="1" t="s">
        <v>662</v>
      </c>
      <c r="E48" s="1" t="s">
        <v>663</v>
      </c>
      <c r="F48" s="1" t="s">
        <v>664</v>
      </c>
      <c r="H48" s="2" t="s">
        <v>5</v>
      </c>
      <c r="I48" s="2" t="s">
        <v>6</v>
      </c>
      <c r="J48" s="2" t="s">
        <v>5</v>
      </c>
      <c r="K48" s="2" t="s">
        <v>5</v>
      </c>
      <c r="L48" s="2" t="s">
        <v>7</v>
      </c>
      <c r="M48" s="1" t="s">
        <v>665</v>
      </c>
      <c r="N48" s="1" t="s">
        <v>666</v>
      </c>
      <c r="O48" s="2" t="s">
        <v>508</v>
      </c>
      <c r="Q48" s="2" t="s">
        <v>60</v>
      </c>
      <c r="R48" s="2" t="s">
        <v>193</v>
      </c>
      <c r="T48" s="2" t="s">
        <v>13</v>
      </c>
      <c r="U48" s="3">
        <v>1</v>
      </c>
      <c r="V48" s="3">
        <v>1</v>
      </c>
      <c r="W48" s="4" t="s">
        <v>667</v>
      </c>
      <c r="X48" s="4" t="s">
        <v>667</v>
      </c>
      <c r="Y48" s="4" t="s">
        <v>540</v>
      </c>
      <c r="Z48" s="4" t="s">
        <v>540</v>
      </c>
      <c r="AA48" s="3">
        <v>327</v>
      </c>
      <c r="AB48" s="3">
        <v>290</v>
      </c>
      <c r="AC48" s="3">
        <v>314</v>
      </c>
      <c r="AD48" s="3">
        <v>3</v>
      </c>
      <c r="AE48" s="9">
        <v>3</v>
      </c>
      <c r="AF48" s="9">
        <v>15</v>
      </c>
      <c r="AG48" s="9">
        <v>16</v>
      </c>
      <c r="AH48" s="3">
        <v>4</v>
      </c>
      <c r="AI48" s="3">
        <v>4</v>
      </c>
      <c r="AJ48" s="3">
        <v>6</v>
      </c>
      <c r="AK48" s="3">
        <v>7</v>
      </c>
      <c r="AL48" s="3">
        <v>7</v>
      </c>
      <c r="AM48" s="3">
        <v>8</v>
      </c>
      <c r="AN48" s="3">
        <v>2</v>
      </c>
      <c r="AO48" s="3">
        <v>2</v>
      </c>
      <c r="AP48" s="3">
        <v>0</v>
      </c>
      <c r="AQ48" s="3">
        <v>0</v>
      </c>
      <c r="AR48" s="2" t="s">
        <v>5</v>
      </c>
      <c r="AS48" s="2" t="s">
        <v>46</v>
      </c>
      <c r="AT48" s="5" t="str">
        <f>HYPERLINK("http://catalog.hathitrust.org/Record/004097461","HathiTrust Record")</f>
        <v>HathiTrust Record</v>
      </c>
      <c r="AU48" s="5" t="str">
        <f>HYPERLINK("https://creighton-primo.hosted.exlibrisgroup.com/primo-explore/search?tab=default_tab&amp;search_scope=EVERYTHING&amp;vid=01CRU&amp;lang=en_US&amp;offset=0&amp;query=any,contains,991003789779702656","Catalog Record")</f>
        <v>Catalog Record</v>
      </c>
      <c r="AV48" s="5" t="str">
        <f>HYPERLINK("http://www.worldcat.org/oclc/45827835","WorldCat Record")</f>
        <v>WorldCat Record</v>
      </c>
      <c r="AW48" s="2" t="s">
        <v>668</v>
      </c>
      <c r="AX48" s="2" t="s">
        <v>669</v>
      </c>
      <c r="AY48" s="2" t="s">
        <v>670</v>
      </c>
      <c r="AZ48" s="2" t="s">
        <v>670</v>
      </c>
      <c r="BA48" s="2" t="s">
        <v>671</v>
      </c>
      <c r="BB48" s="2" t="s">
        <v>20</v>
      </c>
      <c r="BD48" s="2" t="s">
        <v>672</v>
      </c>
      <c r="BE48" s="2" t="s">
        <v>673</v>
      </c>
      <c r="BF48" s="2" t="s">
        <v>674</v>
      </c>
    </row>
    <row r="49" spans="1:58" ht="39.75" customHeight="1" x14ac:dyDescent="0.25">
      <c r="A49" s="7" t="s">
        <v>5</v>
      </c>
      <c r="B49" s="1" t="s">
        <v>0</v>
      </c>
      <c r="C49" s="1" t="s">
        <v>1</v>
      </c>
      <c r="D49" s="1" t="s">
        <v>675</v>
      </c>
      <c r="E49" s="1" t="s">
        <v>676</v>
      </c>
      <c r="F49" s="1" t="s">
        <v>677</v>
      </c>
      <c r="H49" s="2" t="s">
        <v>5</v>
      </c>
      <c r="I49" s="2" t="s">
        <v>6</v>
      </c>
      <c r="J49" s="2" t="s">
        <v>5</v>
      </c>
      <c r="K49" s="2" t="s">
        <v>5</v>
      </c>
      <c r="L49" s="2" t="s">
        <v>7</v>
      </c>
      <c r="M49" s="1" t="s">
        <v>678</v>
      </c>
      <c r="N49" s="1" t="s">
        <v>679</v>
      </c>
      <c r="O49" s="2" t="s">
        <v>680</v>
      </c>
      <c r="Q49" s="2" t="s">
        <v>11</v>
      </c>
      <c r="R49" s="2" t="s">
        <v>234</v>
      </c>
      <c r="S49" s="1" t="s">
        <v>681</v>
      </c>
      <c r="T49" s="2" t="s">
        <v>13</v>
      </c>
      <c r="U49" s="3">
        <v>1</v>
      </c>
      <c r="V49" s="3">
        <v>1</v>
      </c>
      <c r="W49" s="4" t="s">
        <v>682</v>
      </c>
      <c r="X49" s="4" t="s">
        <v>682</v>
      </c>
      <c r="Y49" s="4" t="s">
        <v>683</v>
      </c>
      <c r="Z49" s="4" t="s">
        <v>683</v>
      </c>
      <c r="AA49" s="3">
        <v>233</v>
      </c>
      <c r="AB49" s="3">
        <v>166</v>
      </c>
      <c r="AC49" s="3">
        <v>168</v>
      </c>
      <c r="AD49" s="3">
        <v>2</v>
      </c>
      <c r="AE49" s="9">
        <v>2</v>
      </c>
      <c r="AF49" s="9">
        <v>12</v>
      </c>
      <c r="AG49" s="9">
        <v>12</v>
      </c>
      <c r="AH49" s="3">
        <v>3</v>
      </c>
      <c r="AI49" s="3">
        <v>3</v>
      </c>
      <c r="AJ49" s="3">
        <v>2</v>
      </c>
      <c r="AK49" s="3">
        <v>2</v>
      </c>
      <c r="AL49" s="3">
        <v>7</v>
      </c>
      <c r="AM49" s="3">
        <v>7</v>
      </c>
      <c r="AN49" s="3">
        <v>1</v>
      </c>
      <c r="AO49" s="3">
        <v>1</v>
      </c>
      <c r="AP49" s="3">
        <v>0</v>
      </c>
      <c r="AQ49" s="3">
        <v>0</v>
      </c>
      <c r="AR49" s="2" t="s">
        <v>5</v>
      </c>
      <c r="AS49" s="2" t="s">
        <v>46</v>
      </c>
      <c r="AT49" s="5" t="str">
        <f>HYPERLINK("http://catalog.hathitrust.org/Record/001207414","HathiTrust Record")</f>
        <v>HathiTrust Record</v>
      </c>
      <c r="AU49" s="5" t="str">
        <f>HYPERLINK("https://creighton-primo.hosted.exlibrisgroup.com/primo-explore/search?tab=default_tab&amp;search_scope=EVERYTHING&amp;vid=01CRU&amp;lang=en_US&amp;offset=0&amp;query=any,contains,991003678449702656","Catalog Record")</f>
        <v>Catalog Record</v>
      </c>
      <c r="AV49" s="5" t="str">
        <f>HYPERLINK("http://www.worldcat.org/oclc/1301854","WorldCat Record")</f>
        <v>WorldCat Record</v>
      </c>
      <c r="AW49" s="2" t="s">
        <v>684</v>
      </c>
      <c r="AX49" s="2" t="s">
        <v>685</v>
      </c>
      <c r="AY49" s="2" t="s">
        <v>686</v>
      </c>
      <c r="AZ49" s="2" t="s">
        <v>686</v>
      </c>
      <c r="BA49" s="2" t="s">
        <v>687</v>
      </c>
      <c r="BB49" s="2" t="s">
        <v>20</v>
      </c>
      <c r="BE49" s="2" t="s">
        <v>688</v>
      </c>
      <c r="BF49" s="2" t="s">
        <v>689</v>
      </c>
    </row>
    <row r="50" spans="1:58" ht="39.75" customHeight="1" x14ac:dyDescent="0.25">
      <c r="A50" s="7" t="s">
        <v>5</v>
      </c>
      <c r="B50" s="1" t="s">
        <v>0</v>
      </c>
      <c r="C50" s="1" t="s">
        <v>1</v>
      </c>
      <c r="D50" s="1" t="s">
        <v>690</v>
      </c>
      <c r="E50" s="1" t="s">
        <v>691</v>
      </c>
      <c r="F50" s="1" t="s">
        <v>692</v>
      </c>
      <c r="H50" s="2" t="s">
        <v>5</v>
      </c>
      <c r="I50" s="2" t="s">
        <v>6</v>
      </c>
      <c r="J50" s="2" t="s">
        <v>5</v>
      </c>
      <c r="K50" s="2" t="s">
        <v>5</v>
      </c>
      <c r="L50" s="2" t="s">
        <v>7</v>
      </c>
      <c r="M50" s="1" t="s">
        <v>693</v>
      </c>
      <c r="N50" s="1" t="s">
        <v>694</v>
      </c>
      <c r="O50" s="2" t="s">
        <v>162</v>
      </c>
      <c r="Q50" s="2" t="s">
        <v>60</v>
      </c>
      <c r="R50" s="2" t="s">
        <v>61</v>
      </c>
      <c r="T50" s="2" t="s">
        <v>13</v>
      </c>
      <c r="U50" s="3">
        <v>2</v>
      </c>
      <c r="V50" s="3">
        <v>2</v>
      </c>
      <c r="W50" s="4" t="s">
        <v>695</v>
      </c>
      <c r="X50" s="4" t="s">
        <v>695</v>
      </c>
      <c r="Y50" s="4" t="s">
        <v>696</v>
      </c>
      <c r="Z50" s="4" t="s">
        <v>696</v>
      </c>
      <c r="AA50" s="3">
        <v>348</v>
      </c>
      <c r="AB50" s="3">
        <v>309</v>
      </c>
      <c r="AC50" s="3">
        <v>385</v>
      </c>
      <c r="AD50" s="3">
        <v>2</v>
      </c>
      <c r="AE50" s="9">
        <v>3</v>
      </c>
      <c r="AF50" s="9">
        <v>18</v>
      </c>
      <c r="AG50" s="9">
        <v>22</v>
      </c>
      <c r="AH50" s="3">
        <v>9</v>
      </c>
      <c r="AI50" s="3">
        <v>10</v>
      </c>
      <c r="AJ50" s="3">
        <v>3</v>
      </c>
      <c r="AK50" s="3">
        <v>5</v>
      </c>
      <c r="AL50" s="3">
        <v>10</v>
      </c>
      <c r="AM50" s="3">
        <v>12</v>
      </c>
      <c r="AN50" s="3">
        <v>1</v>
      </c>
      <c r="AO50" s="3">
        <v>2</v>
      </c>
      <c r="AP50" s="3">
        <v>0</v>
      </c>
      <c r="AQ50" s="3">
        <v>0</v>
      </c>
      <c r="AR50" s="2" t="s">
        <v>5</v>
      </c>
      <c r="AS50" s="2" t="s">
        <v>46</v>
      </c>
      <c r="AT50" s="5" t="str">
        <f>HYPERLINK("http://catalog.hathitrust.org/Record/004455391","HathiTrust Record")</f>
        <v>HathiTrust Record</v>
      </c>
      <c r="AU50" s="5" t="str">
        <f>HYPERLINK("https://creighton-primo.hosted.exlibrisgroup.com/primo-explore/search?tab=default_tab&amp;search_scope=EVERYTHING&amp;vid=01CRU&amp;lang=en_US&amp;offset=0&amp;query=any,contains,991000597099702656","Catalog Record")</f>
        <v>Catalog Record</v>
      </c>
      <c r="AV50" s="5" t="str">
        <f>HYPERLINK("http://www.worldcat.org/oclc/97347","WorldCat Record")</f>
        <v>WorldCat Record</v>
      </c>
      <c r="AW50" s="2" t="s">
        <v>697</v>
      </c>
      <c r="AX50" s="2" t="s">
        <v>698</v>
      </c>
      <c r="AY50" s="2" t="s">
        <v>699</v>
      </c>
      <c r="AZ50" s="2" t="s">
        <v>699</v>
      </c>
      <c r="BA50" s="2" t="s">
        <v>700</v>
      </c>
      <c r="BB50" s="2" t="s">
        <v>20</v>
      </c>
      <c r="BE50" s="2" t="s">
        <v>701</v>
      </c>
      <c r="BF50" s="2" t="s">
        <v>702</v>
      </c>
    </row>
    <row r="51" spans="1:58" ht="39.75" customHeight="1" x14ac:dyDescent="0.25">
      <c r="A51" s="7" t="s">
        <v>5</v>
      </c>
      <c r="B51" s="1" t="s">
        <v>0</v>
      </c>
      <c r="C51" s="1" t="s">
        <v>1</v>
      </c>
      <c r="D51" s="1" t="s">
        <v>703</v>
      </c>
      <c r="E51" s="1" t="s">
        <v>704</v>
      </c>
      <c r="F51" s="1" t="s">
        <v>705</v>
      </c>
      <c r="H51" s="2" t="s">
        <v>5</v>
      </c>
      <c r="I51" s="2" t="s">
        <v>6</v>
      </c>
      <c r="J51" s="2" t="s">
        <v>5</v>
      </c>
      <c r="K51" s="2" t="s">
        <v>5</v>
      </c>
      <c r="L51" s="2" t="s">
        <v>7</v>
      </c>
      <c r="M51" s="1" t="s">
        <v>706</v>
      </c>
      <c r="N51" s="1" t="s">
        <v>707</v>
      </c>
      <c r="O51" s="2" t="s">
        <v>708</v>
      </c>
      <c r="Q51" s="2" t="s">
        <v>60</v>
      </c>
      <c r="R51" s="2" t="s">
        <v>193</v>
      </c>
      <c r="S51" s="1" t="s">
        <v>709</v>
      </c>
      <c r="T51" s="2" t="s">
        <v>13</v>
      </c>
      <c r="U51" s="3">
        <v>5</v>
      </c>
      <c r="V51" s="3">
        <v>5</v>
      </c>
      <c r="W51" s="4" t="s">
        <v>710</v>
      </c>
      <c r="X51" s="4" t="s">
        <v>710</v>
      </c>
      <c r="Y51" s="4" t="s">
        <v>541</v>
      </c>
      <c r="Z51" s="4" t="s">
        <v>541</v>
      </c>
      <c r="AA51" s="3">
        <v>371</v>
      </c>
      <c r="AB51" s="3">
        <v>266</v>
      </c>
      <c r="AC51" s="3">
        <v>271</v>
      </c>
      <c r="AD51" s="3">
        <v>2</v>
      </c>
      <c r="AE51" s="9">
        <v>2</v>
      </c>
      <c r="AF51" s="9">
        <v>13</v>
      </c>
      <c r="AG51" s="9">
        <v>13</v>
      </c>
      <c r="AH51" s="3">
        <v>3</v>
      </c>
      <c r="AI51" s="3">
        <v>3</v>
      </c>
      <c r="AJ51" s="3">
        <v>4</v>
      </c>
      <c r="AK51" s="3">
        <v>4</v>
      </c>
      <c r="AL51" s="3">
        <v>7</v>
      </c>
      <c r="AM51" s="3">
        <v>7</v>
      </c>
      <c r="AN51" s="3">
        <v>1</v>
      </c>
      <c r="AO51" s="3">
        <v>1</v>
      </c>
      <c r="AP51" s="3">
        <v>0</v>
      </c>
      <c r="AQ51" s="3">
        <v>0</v>
      </c>
      <c r="AR51" s="2" t="s">
        <v>5</v>
      </c>
      <c r="AS51" s="2" t="s">
        <v>5</v>
      </c>
      <c r="AU51" s="5" t="str">
        <f>HYPERLINK("https://creighton-primo.hosted.exlibrisgroup.com/primo-explore/search?tab=default_tab&amp;search_scope=EVERYTHING&amp;vid=01CRU&amp;lang=en_US&amp;offset=0&amp;query=any,contains,991000954949702656","Catalog Record")</f>
        <v>Catalog Record</v>
      </c>
      <c r="AV51" s="5" t="str">
        <f>HYPERLINK("http://www.worldcat.org/oclc/14716224","WorldCat Record")</f>
        <v>WorldCat Record</v>
      </c>
      <c r="AW51" s="2" t="s">
        <v>711</v>
      </c>
      <c r="AX51" s="2" t="s">
        <v>712</v>
      </c>
      <c r="AY51" s="2" t="s">
        <v>713</v>
      </c>
      <c r="AZ51" s="2" t="s">
        <v>713</v>
      </c>
      <c r="BA51" s="2" t="s">
        <v>714</v>
      </c>
      <c r="BB51" s="2" t="s">
        <v>20</v>
      </c>
      <c r="BD51" s="2" t="s">
        <v>715</v>
      </c>
      <c r="BE51" s="2" t="s">
        <v>716</v>
      </c>
      <c r="BF51" s="2" t="s">
        <v>717</v>
      </c>
    </row>
    <row r="52" spans="1:58" ht="39.75" customHeight="1" x14ac:dyDescent="0.25">
      <c r="A52" s="7" t="s">
        <v>5</v>
      </c>
      <c r="B52" s="1" t="s">
        <v>0</v>
      </c>
      <c r="C52" s="1" t="s">
        <v>1</v>
      </c>
      <c r="D52" s="1" t="s">
        <v>718</v>
      </c>
      <c r="E52" s="1" t="s">
        <v>719</v>
      </c>
      <c r="F52" s="1" t="s">
        <v>720</v>
      </c>
      <c r="H52" s="2" t="s">
        <v>5</v>
      </c>
      <c r="I52" s="2" t="s">
        <v>6</v>
      </c>
      <c r="J52" s="2" t="s">
        <v>5</v>
      </c>
      <c r="K52" s="2" t="s">
        <v>5</v>
      </c>
      <c r="L52" s="2" t="s">
        <v>7</v>
      </c>
      <c r="M52" s="1" t="s">
        <v>721</v>
      </c>
      <c r="N52" s="1" t="s">
        <v>722</v>
      </c>
      <c r="O52" s="2" t="s">
        <v>421</v>
      </c>
      <c r="Q52" s="2" t="s">
        <v>60</v>
      </c>
      <c r="R52" s="2" t="s">
        <v>193</v>
      </c>
      <c r="S52" s="1" t="s">
        <v>723</v>
      </c>
      <c r="T52" s="2" t="s">
        <v>13</v>
      </c>
      <c r="U52" s="3">
        <v>4</v>
      </c>
      <c r="V52" s="3">
        <v>4</v>
      </c>
      <c r="W52" s="4" t="s">
        <v>695</v>
      </c>
      <c r="X52" s="4" t="s">
        <v>695</v>
      </c>
      <c r="Y52" s="4" t="s">
        <v>541</v>
      </c>
      <c r="Z52" s="4" t="s">
        <v>541</v>
      </c>
      <c r="AA52" s="3">
        <v>335</v>
      </c>
      <c r="AB52" s="3">
        <v>207</v>
      </c>
      <c r="AC52" s="3">
        <v>215</v>
      </c>
      <c r="AD52" s="3">
        <v>2</v>
      </c>
      <c r="AE52" s="9">
        <v>2</v>
      </c>
      <c r="AF52" s="9">
        <v>10</v>
      </c>
      <c r="AG52" s="9">
        <v>10</v>
      </c>
      <c r="AH52" s="3">
        <v>2</v>
      </c>
      <c r="AI52" s="3">
        <v>2</v>
      </c>
      <c r="AJ52" s="3">
        <v>2</v>
      </c>
      <c r="AK52" s="3">
        <v>2</v>
      </c>
      <c r="AL52" s="3">
        <v>7</v>
      </c>
      <c r="AM52" s="3">
        <v>7</v>
      </c>
      <c r="AN52" s="3">
        <v>1</v>
      </c>
      <c r="AO52" s="3">
        <v>1</v>
      </c>
      <c r="AP52" s="3">
        <v>0</v>
      </c>
      <c r="AQ52" s="3">
        <v>0</v>
      </c>
      <c r="AR52" s="2" t="s">
        <v>5</v>
      </c>
      <c r="AS52" s="2" t="s">
        <v>46</v>
      </c>
      <c r="AT52" s="5" t="str">
        <f>HYPERLINK("http://catalog.hathitrust.org/Record/000483536","HathiTrust Record")</f>
        <v>HathiTrust Record</v>
      </c>
      <c r="AU52" s="5" t="str">
        <f>HYPERLINK("https://creighton-primo.hosted.exlibrisgroup.com/primo-explore/search?tab=default_tab&amp;search_scope=EVERYTHING&amp;vid=01CRU&amp;lang=en_US&amp;offset=0&amp;query=any,contains,991000386399702656","Catalog Record")</f>
        <v>Catalog Record</v>
      </c>
      <c r="AV52" s="5" t="str">
        <f>HYPERLINK("http://www.worldcat.org/oclc/10515769","WorldCat Record")</f>
        <v>WorldCat Record</v>
      </c>
      <c r="AW52" s="2" t="s">
        <v>724</v>
      </c>
      <c r="AX52" s="2" t="s">
        <v>725</v>
      </c>
      <c r="AY52" s="2" t="s">
        <v>726</v>
      </c>
      <c r="AZ52" s="2" t="s">
        <v>726</v>
      </c>
      <c r="BA52" s="2" t="s">
        <v>727</v>
      </c>
      <c r="BB52" s="2" t="s">
        <v>20</v>
      </c>
      <c r="BD52" s="2" t="s">
        <v>728</v>
      </c>
      <c r="BE52" s="2" t="s">
        <v>729</v>
      </c>
      <c r="BF52" s="2" t="s">
        <v>730</v>
      </c>
    </row>
    <row r="53" spans="1:58" ht="39.75" customHeight="1" x14ac:dyDescent="0.25">
      <c r="A53" s="7" t="s">
        <v>5</v>
      </c>
      <c r="B53" s="1" t="s">
        <v>0</v>
      </c>
      <c r="C53" s="1" t="s">
        <v>1</v>
      </c>
      <c r="D53" s="1" t="s">
        <v>731</v>
      </c>
      <c r="E53" s="1" t="s">
        <v>732</v>
      </c>
      <c r="F53" s="1" t="s">
        <v>733</v>
      </c>
      <c r="H53" s="2" t="s">
        <v>5</v>
      </c>
      <c r="I53" s="2" t="s">
        <v>6</v>
      </c>
      <c r="J53" s="2" t="s">
        <v>5</v>
      </c>
      <c r="K53" s="2" t="s">
        <v>5</v>
      </c>
      <c r="L53" s="2" t="s">
        <v>7</v>
      </c>
      <c r="M53" s="1" t="s">
        <v>734</v>
      </c>
      <c r="N53" s="1" t="s">
        <v>735</v>
      </c>
      <c r="O53" s="2" t="s">
        <v>736</v>
      </c>
      <c r="Q53" s="2" t="s">
        <v>60</v>
      </c>
      <c r="R53" s="2" t="s">
        <v>193</v>
      </c>
      <c r="T53" s="2" t="s">
        <v>13</v>
      </c>
      <c r="U53" s="3">
        <v>4</v>
      </c>
      <c r="V53" s="3">
        <v>4</v>
      </c>
      <c r="W53" s="4" t="s">
        <v>737</v>
      </c>
      <c r="X53" s="4" t="s">
        <v>737</v>
      </c>
      <c r="Y53" s="4" t="s">
        <v>738</v>
      </c>
      <c r="Z53" s="4" t="s">
        <v>738</v>
      </c>
      <c r="AA53" s="3">
        <v>79</v>
      </c>
      <c r="AB53" s="3">
        <v>43</v>
      </c>
      <c r="AC53" s="3">
        <v>383</v>
      </c>
      <c r="AD53" s="3">
        <v>1</v>
      </c>
      <c r="AE53" s="9">
        <v>4</v>
      </c>
      <c r="AF53" s="9">
        <v>2</v>
      </c>
      <c r="AG53" s="9">
        <v>22</v>
      </c>
      <c r="AH53" s="3">
        <v>1</v>
      </c>
      <c r="AI53" s="3">
        <v>5</v>
      </c>
      <c r="AJ53" s="3">
        <v>2</v>
      </c>
      <c r="AK53" s="3">
        <v>6</v>
      </c>
      <c r="AL53" s="3">
        <v>0</v>
      </c>
      <c r="AM53" s="3">
        <v>14</v>
      </c>
      <c r="AN53" s="3">
        <v>0</v>
      </c>
      <c r="AO53" s="3">
        <v>3</v>
      </c>
      <c r="AP53" s="3">
        <v>0</v>
      </c>
      <c r="AQ53" s="3">
        <v>0</v>
      </c>
      <c r="AR53" s="2" t="s">
        <v>5</v>
      </c>
      <c r="AS53" s="2" t="s">
        <v>46</v>
      </c>
      <c r="AT53" s="5" t="str">
        <f>HYPERLINK("http://catalog.hathitrust.org/Record/004532153","HathiTrust Record")</f>
        <v>HathiTrust Record</v>
      </c>
      <c r="AU53" s="5" t="str">
        <f>HYPERLINK("https://creighton-primo.hosted.exlibrisgroup.com/primo-explore/search?tab=default_tab&amp;search_scope=EVERYTHING&amp;vid=01CRU&amp;lang=en_US&amp;offset=0&amp;query=any,contains,991002057969702656","Catalog Record")</f>
        <v>Catalog Record</v>
      </c>
      <c r="AV53" s="5" t="str">
        <f>HYPERLINK("http://www.worldcat.org/oclc/877565265","WorldCat Record")</f>
        <v>WorldCat Record</v>
      </c>
      <c r="AW53" s="2" t="s">
        <v>739</v>
      </c>
      <c r="AX53" s="2" t="s">
        <v>740</v>
      </c>
      <c r="AY53" s="2" t="s">
        <v>741</v>
      </c>
      <c r="AZ53" s="2" t="s">
        <v>741</v>
      </c>
      <c r="BA53" s="2" t="s">
        <v>742</v>
      </c>
      <c r="BB53" s="2" t="s">
        <v>20</v>
      </c>
      <c r="BD53" s="2" t="s">
        <v>743</v>
      </c>
      <c r="BE53" s="2" t="s">
        <v>744</v>
      </c>
      <c r="BF53" s="2" t="s">
        <v>745</v>
      </c>
    </row>
    <row r="54" spans="1:58" ht="39.75" customHeight="1" x14ac:dyDescent="0.25">
      <c r="A54" s="7" t="s">
        <v>5</v>
      </c>
      <c r="B54" s="1" t="s">
        <v>0</v>
      </c>
      <c r="C54" s="1" t="s">
        <v>1</v>
      </c>
      <c r="D54" s="1" t="s">
        <v>746</v>
      </c>
      <c r="E54" s="1" t="s">
        <v>747</v>
      </c>
      <c r="F54" s="1" t="s">
        <v>748</v>
      </c>
      <c r="H54" s="2" t="s">
        <v>5</v>
      </c>
      <c r="I54" s="2" t="s">
        <v>6</v>
      </c>
      <c r="J54" s="2" t="s">
        <v>5</v>
      </c>
      <c r="K54" s="2" t="s">
        <v>5</v>
      </c>
      <c r="L54" s="2" t="s">
        <v>7</v>
      </c>
      <c r="M54" s="1" t="s">
        <v>749</v>
      </c>
      <c r="N54" s="1" t="s">
        <v>750</v>
      </c>
      <c r="O54" s="2" t="s">
        <v>261</v>
      </c>
      <c r="Q54" s="2" t="s">
        <v>60</v>
      </c>
      <c r="R54" s="2" t="s">
        <v>751</v>
      </c>
      <c r="T54" s="2" t="s">
        <v>13</v>
      </c>
      <c r="U54" s="3">
        <v>2</v>
      </c>
      <c r="V54" s="3">
        <v>2</v>
      </c>
      <c r="W54" s="4" t="s">
        <v>752</v>
      </c>
      <c r="X54" s="4" t="s">
        <v>752</v>
      </c>
      <c r="Y54" s="4" t="s">
        <v>753</v>
      </c>
      <c r="Z54" s="4" t="s">
        <v>753</v>
      </c>
      <c r="AA54" s="3">
        <v>351</v>
      </c>
      <c r="AB54" s="3">
        <v>292</v>
      </c>
      <c r="AC54" s="3">
        <v>299</v>
      </c>
      <c r="AD54" s="3">
        <v>3</v>
      </c>
      <c r="AE54" s="9">
        <v>3</v>
      </c>
      <c r="AF54" s="9">
        <v>14</v>
      </c>
      <c r="AG54" s="9">
        <v>14</v>
      </c>
      <c r="AH54" s="3">
        <v>3</v>
      </c>
      <c r="AI54" s="3">
        <v>3</v>
      </c>
      <c r="AJ54" s="3">
        <v>2</v>
      </c>
      <c r="AK54" s="3">
        <v>2</v>
      </c>
      <c r="AL54" s="3">
        <v>11</v>
      </c>
      <c r="AM54" s="3">
        <v>11</v>
      </c>
      <c r="AN54" s="3">
        <v>2</v>
      </c>
      <c r="AO54" s="3">
        <v>2</v>
      </c>
      <c r="AP54" s="3">
        <v>0</v>
      </c>
      <c r="AQ54" s="3">
        <v>0</v>
      </c>
      <c r="AR54" s="2" t="s">
        <v>5</v>
      </c>
      <c r="AS54" s="2" t="s">
        <v>46</v>
      </c>
      <c r="AT54" s="5" t="str">
        <f>HYPERLINK("http://catalog.hathitrust.org/Record/000763923","HathiTrust Record")</f>
        <v>HathiTrust Record</v>
      </c>
      <c r="AU54" s="5" t="str">
        <f>HYPERLINK("https://creighton-primo.hosted.exlibrisgroup.com/primo-explore/search?tab=default_tab&amp;search_scope=EVERYTHING&amp;vid=01CRU&amp;lang=en_US&amp;offset=0&amp;query=any,contains,991005131649702656","Catalog Record")</f>
        <v>Catalog Record</v>
      </c>
      <c r="AV54" s="5" t="str">
        <f>HYPERLINK("http://www.worldcat.org/oclc/7573052","WorldCat Record")</f>
        <v>WorldCat Record</v>
      </c>
      <c r="AW54" s="2" t="s">
        <v>754</v>
      </c>
      <c r="AX54" s="2" t="s">
        <v>755</v>
      </c>
      <c r="AY54" s="2" t="s">
        <v>756</v>
      </c>
      <c r="AZ54" s="2" t="s">
        <v>756</v>
      </c>
      <c r="BA54" s="2" t="s">
        <v>757</v>
      </c>
      <c r="BB54" s="2" t="s">
        <v>20</v>
      </c>
      <c r="BD54" s="2" t="s">
        <v>758</v>
      </c>
      <c r="BE54" s="2" t="s">
        <v>759</v>
      </c>
      <c r="BF54" s="2" t="s">
        <v>760</v>
      </c>
    </row>
    <row r="55" spans="1:58" ht="39.75" customHeight="1" x14ac:dyDescent="0.25">
      <c r="A55" s="7" t="s">
        <v>5</v>
      </c>
      <c r="B55" s="1" t="s">
        <v>0</v>
      </c>
      <c r="C55" s="1" t="s">
        <v>1</v>
      </c>
      <c r="D55" s="1" t="s">
        <v>761</v>
      </c>
      <c r="E55" s="1" t="s">
        <v>762</v>
      </c>
      <c r="F55" s="1" t="s">
        <v>763</v>
      </c>
      <c r="H55" s="2" t="s">
        <v>5</v>
      </c>
      <c r="I55" s="2" t="s">
        <v>6</v>
      </c>
      <c r="J55" s="2" t="s">
        <v>5</v>
      </c>
      <c r="K55" s="2" t="s">
        <v>5</v>
      </c>
      <c r="L55" s="2" t="s">
        <v>7</v>
      </c>
      <c r="M55" s="1" t="s">
        <v>764</v>
      </c>
      <c r="N55" s="1" t="s">
        <v>765</v>
      </c>
      <c r="O55" s="2" t="s">
        <v>121</v>
      </c>
      <c r="Q55" s="2" t="s">
        <v>60</v>
      </c>
      <c r="R55" s="2" t="s">
        <v>61</v>
      </c>
      <c r="S55" s="1" t="s">
        <v>766</v>
      </c>
      <c r="T55" s="2" t="s">
        <v>13</v>
      </c>
      <c r="U55" s="3">
        <v>4</v>
      </c>
      <c r="V55" s="3">
        <v>4</v>
      </c>
      <c r="W55" s="4" t="s">
        <v>767</v>
      </c>
      <c r="X55" s="4" t="s">
        <v>767</v>
      </c>
      <c r="Y55" s="4" t="s">
        <v>768</v>
      </c>
      <c r="Z55" s="4" t="s">
        <v>768</v>
      </c>
      <c r="AA55" s="3">
        <v>552</v>
      </c>
      <c r="AB55" s="3">
        <v>495</v>
      </c>
      <c r="AC55" s="3">
        <v>502</v>
      </c>
      <c r="AD55" s="3">
        <v>3</v>
      </c>
      <c r="AE55" s="9">
        <v>3</v>
      </c>
      <c r="AF55" s="9">
        <v>25</v>
      </c>
      <c r="AG55" s="9">
        <v>25</v>
      </c>
      <c r="AH55" s="3">
        <v>9</v>
      </c>
      <c r="AI55" s="3">
        <v>9</v>
      </c>
      <c r="AJ55" s="3">
        <v>6</v>
      </c>
      <c r="AK55" s="3">
        <v>6</v>
      </c>
      <c r="AL55" s="3">
        <v>16</v>
      </c>
      <c r="AM55" s="3">
        <v>16</v>
      </c>
      <c r="AN55" s="3">
        <v>2</v>
      </c>
      <c r="AO55" s="3">
        <v>2</v>
      </c>
      <c r="AP55" s="3">
        <v>0</v>
      </c>
      <c r="AQ55" s="3">
        <v>0</v>
      </c>
      <c r="AR55" s="2" t="s">
        <v>5</v>
      </c>
      <c r="AS55" s="2" t="s">
        <v>46</v>
      </c>
      <c r="AT55" s="5" t="str">
        <f>HYPERLINK("http://catalog.hathitrust.org/Record/001014776","HathiTrust Record")</f>
        <v>HathiTrust Record</v>
      </c>
      <c r="AU55" s="5" t="str">
        <f>HYPERLINK("https://creighton-primo.hosted.exlibrisgroup.com/primo-explore/search?tab=default_tab&amp;search_scope=EVERYTHING&amp;vid=01CRU&amp;lang=en_US&amp;offset=0&amp;query=any,contains,991000659329702656","Catalog Record")</f>
        <v>Catalog Record</v>
      </c>
      <c r="AV55" s="5" t="str">
        <f>HYPERLINK("http://www.worldcat.org/oclc/117126","WorldCat Record")</f>
        <v>WorldCat Record</v>
      </c>
      <c r="AW55" s="2" t="s">
        <v>769</v>
      </c>
      <c r="AX55" s="2" t="s">
        <v>770</v>
      </c>
      <c r="AY55" s="2" t="s">
        <v>771</v>
      </c>
      <c r="AZ55" s="2" t="s">
        <v>771</v>
      </c>
      <c r="BA55" s="2" t="s">
        <v>772</v>
      </c>
      <c r="BB55" s="2" t="s">
        <v>20</v>
      </c>
      <c r="BE55" s="2" t="s">
        <v>773</v>
      </c>
      <c r="BF55" s="2" t="s">
        <v>774</v>
      </c>
    </row>
    <row r="56" spans="1:58" ht="39.75" customHeight="1" x14ac:dyDescent="0.25">
      <c r="A56" s="7" t="s">
        <v>5</v>
      </c>
      <c r="B56" s="1" t="s">
        <v>0</v>
      </c>
      <c r="C56" s="1" t="s">
        <v>1</v>
      </c>
      <c r="D56" s="1" t="s">
        <v>775</v>
      </c>
      <c r="E56" s="1" t="s">
        <v>776</v>
      </c>
      <c r="F56" s="1" t="s">
        <v>777</v>
      </c>
      <c r="H56" s="2" t="s">
        <v>5</v>
      </c>
      <c r="I56" s="2" t="s">
        <v>6</v>
      </c>
      <c r="J56" s="2" t="s">
        <v>5</v>
      </c>
      <c r="K56" s="2" t="s">
        <v>5</v>
      </c>
      <c r="L56" s="2" t="s">
        <v>7</v>
      </c>
      <c r="M56" s="1" t="s">
        <v>778</v>
      </c>
      <c r="N56" s="1" t="s">
        <v>779</v>
      </c>
      <c r="O56" s="2" t="s">
        <v>76</v>
      </c>
      <c r="Q56" s="2" t="s">
        <v>60</v>
      </c>
      <c r="R56" s="2" t="s">
        <v>61</v>
      </c>
      <c r="T56" s="2" t="s">
        <v>13</v>
      </c>
      <c r="U56" s="3">
        <v>4</v>
      </c>
      <c r="V56" s="3">
        <v>4</v>
      </c>
      <c r="W56" s="4" t="s">
        <v>767</v>
      </c>
      <c r="X56" s="4" t="s">
        <v>767</v>
      </c>
      <c r="Y56" s="4" t="s">
        <v>768</v>
      </c>
      <c r="Z56" s="4" t="s">
        <v>768</v>
      </c>
      <c r="AA56" s="3">
        <v>250</v>
      </c>
      <c r="AB56" s="3">
        <v>213</v>
      </c>
      <c r="AC56" s="3">
        <v>387</v>
      </c>
      <c r="AD56" s="3">
        <v>2</v>
      </c>
      <c r="AE56" s="9">
        <v>4</v>
      </c>
      <c r="AF56" s="9">
        <v>15</v>
      </c>
      <c r="AG56" s="9">
        <v>29</v>
      </c>
      <c r="AH56" s="3">
        <v>4</v>
      </c>
      <c r="AI56" s="3">
        <v>8</v>
      </c>
      <c r="AJ56" s="3">
        <v>5</v>
      </c>
      <c r="AK56" s="3">
        <v>8</v>
      </c>
      <c r="AL56" s="3">
        <v>9</v>
      </c>
      <c r="AM56" s="3">
        <v>18</v>
      </c>
      <c r="AN56" s="3">
        <v>1</v>
      </c>
      <c r="AO56" s="3">
        <v>3</v>
      </c>
      <c r="AP56" s="3">
        <v>0</v>
      </c>
      <c r="AQ56" s="3">
        <v>0</v>
      </c>
      <c r="AR56" s="2" t="s">
        <v>5</v>
      </c>
      <c r="AS56" s="2" t="s">
        <v>46</v>
      </c>
      <c r="AT56" s="5" t="str">
        <f>HYPERLINK("http://catalog.hathitrust.org/Record/009500650","HathiTrust Record")</f>
        <v>HathiTrust Record</v>
      </c>
      <c r="AU56" s="5" t="str">
        <f>HYPERLINK("https://creighton-primo.hosted.exlibrisgroup.com/primo-explore/search?tab=default_tab&amp;search_scope=EVERYTHING&amp;vid=01CRU&amp;lang=en_US&amp;offset=0&amp;query=any,contains,991002409739702656","Catalog Record")</f>
        <v>Catalog Record</v>
      </c>
      <c r="AV56" s="5" t="str">
        <f>HYPERLINK("http://www.worldcat.org/oclc/339087","WorldCat Record")</f>
        <v>WorldCat Record</v>
      </c>
      <c r="AW56" s="2" t="s">
        <v>780</v>
      </c>
      <c r="AX56" s="2" t="s">
        <v>781</v>
      </c>
      <c r="AY56" s="2" t="s">
        <v>782</v>
      </c>
      <c r="AZ56" s="2" t="s">
        <v>782</v>
      </c>
      <c r="BA56" s="2" t="s">
        <v>783</v>
      </c>
      <c r="BB56" s="2" t="s">
        <v>20</v>
      </c>
      <c r="BE56" s="2" t="s">
        <v>784</v>
      </c>
      <c r="BF56" s="2" t="s">
        <v>785</v>
      </c>
    </row>
    <row r="57" spans="1:58" ht="39.75" customHeight="1" x14ac:dyDescent="0.25">
      <c r="A57" s="7" t="s">
        <v>5</v>
      </c>
      <c r="B57" s="1" t="s">
        <v>0</v>
      </c>
      <c r="C57" s="1" t="s">
        <v>1</v>
      </c>
      <c r="D57" s="1" t="s">
        <v>786</v>
      </c>
      <c r="E57" s="1" t="s">
        <v>787</v>
      </c>
      <c r="F57" s="1" t="s">
        <v>788</v>
      </c>
      <c r="H57" s="2" t="s">
        <v>5</v>
      </c>
      <c r="I57" s="2" t="s">
        <v>6</v>
      </c>
      <c r="J57" s="2" t="s">
        <v>5</v>
      </c>
      <c r="K57" s="2" t="s">
        <v>5</v>
      </c>
      <c r="L57" s="2" t="s">
        <v>7</v>
      </c>
      <c r="M57" s="1" t="s">
        <v>789</v>
      </c>
      <c r="N57" s="1" t="s">
        <v>790</v>
      </c>
      <c r="O57" s="2" t="s">
        <v>791</v>
      </c>
      <c r="Q57" s="2" t="s">
        <v>60</v>
      </c>
      <c r="R57" s="2" t="s">
        <v>193</v>
      </c>
      <c r="S57" s="1" t="s">
        <v>792</v>
      </c>
      <c r="T57" s="2" t="s">
        <v>13</v>
      </c>
      <c r="U57" s="3">
        <v>3</v>
      </c>
      <c r="V57" s="3">
        <v>3</v>
      </c>
      <c r="W57" s="4" t="s">
        <v>793</v>
      </c>
      <c r="X57" s="4" t="s">
        <v>793</v>
      </c>
      <c r="Y57" s="4" t="s">
        <v>794</v>
      </c>
      <c r="Z57" s="4" t="s">
        <v>794</v>
      </c>
      <c r="AA57" s="3">
        <v>625</v>
      </c>
      <c r="AB57" s="3">
        <v>480</v>
      </c>
      <c r="AC57" s="3">
        <v>488</v>
      </c>
      <c r="AD57" s="3">
        <v>4</v>
      </c>
      <c r="AE57" s="9">
        <v>4</v>
      </c>
      <c r="AF57" s="9">
        <v>19</v>
      </c>
      <c r="AG57" s="9">
        <v>19</v>
      </c>
      <c r="AH57" s="3">
        <v>8</v>
      </c>
      <c r="AI57" s="3">
        <v>8</v>
      </c>
      <c r="AJ57" s="3">
        <v>5</v>
      </c>
      <c r="AK57" s="3">
        <v>5</v>
      </c>
      <c r="AL57" s="3">
        <v>9</v>
      </c>
      <c r="AM57" s="3">
        <v>9</v>
      </c>
      <c r="AN57" s="3">
        <v>2</v>
      </c>
      <c r="AO57" s="3">
        <v>2</v>
      </c>
      <c r="AP57" s="3">
        <v>0</v>
      </c>
      <c r="AQ57" s="3">
        <v>0</v>
      </c>
      <c r="AR57" s="2" t="s">
        <v>5</v>
      </c>
      <c r="AS57" s="2" t="s">
        <v>5</v>
      </c>
      <c r="AU57" s="5" t="str">
        <f>HYPERLINK("https://creighton-primo.hosted.exlibrisgroup.com/primo-explore/search?tab=default_tab&amp;search_scope=EVERYTHING&amp;vid=01CRU&amp;lang=en_US&amp;offset=0&amp;query=any,contains,991004002539702656","Catalog Record")</f>
        <v>Catalog Record</v>
      </c>
      <c r="AV57" s="5" t="str">
        <f>HYPERLINK("http://www.worldcat.org/oclc/2075209","WorldCat Record")</f>
        <v>WorldCat Record</v>
      </c>
      <c r="AW57" s="2" t="s">
        <v>795</v>
      </c>
      <c r="AX57" s="2" t="s">
        <v>796</v>
      </c>
      <c r="AY57" s="2" t="s">
        <v>797</v>
      </c>
      <c r="AZ57" s="2" t="s">
        <v>797</v>
      </c>
      <c r="BA57" s="2" t="s">
        <v>798</v>
      </c>
      <c r="BB57" s="2" t="s">
        <v>20</v>
      </c>
      <c r="BD57" s="2" t="s">
        <v>799</v>
      </c>
      <c r="BE57" s="2" t="s">
        <v>800</v>
      </c>
      <c r="BF57" s="2" t="s">
        <v>801</v>
      </c>
    </row>
    <row r="58" spans="1:58" ht="39.75" customHeight="1" x14ac:dyDescent="0.25">
      <c r="A58" s="7" t="s">
        <v>5</v>
      </c>
      <c r="B58" s="1" t="s">
        <v>0</v>
      </c>
      <c r="C58" s="1" t="s">
        <v>1</v>
      </c>
      <c r="D58" s="1" t="s">
        <v>802</v>
      </c>
      <c r="E58" s="1" t="s">
        <v>803</v>
      </c>
      <c r="F58" s="1" t="s">
        <v>804</v>
      </c>
      <c r="H58" s="2" t="s">
        <v>5</v>
      </c>
      <c r="I58" s="2" t="s">
        <v>6</v>
      </c>
      <c r="J58" s="2" t="s">
        <v>5</v>
      </c>
      <c r="K58" s="2" t="s">
        <v>5</v>
      </c>
      <c r="L58" s="2" t="s">
        <v>7</v>
      </c>
      <c r="M58" s="1" t="s">
        <v>789</v>
      </c>
      <c r="N58" s="1" t="s">
        <v>805</v>
      </c>
      <c r="O58" s="2" t="s">
        <v>162</v>
      </c>
      <c r="Q58" s="2" t="s">
        <v>11</v>
      </c>
      <c r="R58" s="2" t="s">
        <v>28</v>
      </c>
      <c r="S58" s="1" t="s">
        <v>806</v>
      </c>
      <c r="T58" s="2" t="s">
        <v>13</v>
      </c>
      <c r="U58" s="3">
        <v>1</v>
      </c>
      <c r="V58" s="3">
        <v>1</v>
      </c>
      <c r="W58" s="4" t="s">
        <v>807</v>
      </c>
      <c r="X58" s="4" t="s">
        <v>807</v>
      </c>
      <c r="Y58" s="4" t="s">
        <v>753</v>
      </c>
      <c r="Z58" s="4" t="s">
        <v>753</v>
      </c>
      <c r="AA58" s="3">
        <v>80</v>
      </c>
      <c r="AB58" s="3">
        <v>60</v>
      </c>
      <c r="AC58" s="3">
        <v>239</v>
      </c>
      <c r="AD58" s="3">
        <v>1</v>
      </c>
      <c r="AE58" s="9">
        <v>3</v>
      </c>
      <c r="AF58" s="9">
        <v>4</v>
      </c>
      <c r="AG58" s="9">
        <v>11</v>
      </c>
      <c r="AH58" s="3">
        <v>2</v>
      </c>
      <c r="AI58" s="3">
        <v>5</v>
      </c>
      <c r="AJ58" s="3">
        <v>1</v>
      </c>
      <c r="AK58" s="3">
        <v>4</v>
      </c>
      <c r="AL58" s="3">
        <v>3</v>
      </c>
      <c r="AM58" s="3">
        <v>5</v>
      </c>
      <c r="AN58" s="3">
        <v>0</v>
      </c>
      <c r="AO58" s="3">
        <v>2</v>
      </c>
      <c r="AP58" s="3">
        <v>0</v>
      </c>
      <c r="AQ58" s="3">
        <v>0</v>
      </c>
      <c r="AR58" s="2" t="s">
        <v>5</v>
      </c>
      <c r="AS58" s="2" t="s">
        <v>5</v>
      </c>
      <c r="AU58" s="5" t="str">
        <f>HYPERLINK("https://creighton-primo.hosted.exlibrisgroup.com/primo-explore/search?tab=default_tab&amp;search_scope=EVERYTHING&amp;vid=01CRU&amp;lang=en_US&amp;offset=0&amp;query=any,contains,991003998219702656","Catalog Record")</f>
        <v>Catalog Record</v>
      </c>
      <c r="AV58" s="5" t="str">
        <f>HYPERLINK("http://www.worldcat.org/oclc/2067709","WorldCat Record")</f>
        <v>WorldCat Record</v>
      </c>
      <c r="AW58" s="2" t="s">
        <v>808</v>
      </c>
      <c r="AX58" s="2" t="s">
        <v>809</v>
      </c>
      <c r="AY58" s="2" t="s">
        <v>810</v>
      </c>
      <c r="AZ58" s="2" t="s">
        <v>810</v>
      </c>
      <c r="BA58" s="2" t="s">
        <v>811</v>
      </c>
      <c r="BB58" s="2" t="s">
        <v>20</v>
      </c>
      <c r="BE58" s="2" t="s">
        <v>812</v>
      </c>
      <c r="BF58" s="2" t="s">
        <v>813</v>
      </c>
    </row>
    <row r="59" spans="1:58" ht="39.75" customHeight="1" x14ac:dyDescent="0.25">
      <c r="A59" s="7" t="s">
        <v>5</v>
      </c>
      <c r="B59" s="1" t="s">
        <v>0</v>
      </c>
      <c r="C59" s="1" t="s">
        <v>1</v>
      </c>
      <c r="D59" s="1" t="s">
        <v>814</v>
      </c>
      <c r="E59" s="1" t="s">
        <v>815</v>
      </c>
      <c r="F59" s="1" t="s">
        <v>816</v>
      </c>
      <c r="H59" s="2" t="s">
        <v>5</v>
      </c>
      <c r="I59" s="2" t="s">
        <v>6</v>
      </c>
      <c r="J59" s="2" t="s">
        <v>5</v>
      </c>
      <c r="K59" s="2" t="s">
        <v>5</v>
      </c>
      <c r="L59" s="2" t="s">
        <v>7</v>
      </c>
      <c r="M59" s="1" t="s">
        <v>817</v>
      </c>
      <c r="N59" s="1" t="s">
        <v>818</v>
      </c>
      <c r="O59" s="2" t="s">
        <v>108</v>
      </c>
      <c r="Q59" s="2" t="s">
        <v>60</v>
      </c>
      <c r="R59" s="2" t="s">
        <v>61</v>
      </c>
      <c r="S59" s="1" t="s">
        <v>819</v>
      </c>
      <c r="T59" s="2" t="s">
        <v>13</v>
      </c>
      <c r="U59" s="3">
        <v>1</v>
      </c>
      <c r="V59" s="3">
        <v>1</v>
      </c>
      <c r="W59" s="4" t="s">
        <v>820</v>
      </c>
      <c r="X59" s="4" t="s">
        <v>820</v>
      </c>
      <c r="Y59" s="4" t="s">
        <v>340</v>
      </c>
      <c r="Z59" s="4" t="s">
        <v>340</v>
      </c>
      <c r="AA59" s="3">
        <v>891</v>
      </c>
      <c r="AB59" s="3">
        <v>802</v>
      </c>
      <c r="AC59" s="3">
        <v>809</v>
      </c>
      <c r="AD59" s="3">
        <v>7</v>
      </c>
      <c r="AE59" s="9">
        <v>7</v>
      </c>
      <c r="AF59" s="9">
        <v>33</v>
      </c>
      <c r="AG59" s="9">
        <v>34</v>
      </c>
      <c r="AH59" s="3">
        <v>12</v>
      </c>
      <c r="AI59" s="3">
        <v>13</v>
      </c>
      <c r="AJ59" s="3">
        <v>7</v>
      </c>
      <c r="AK59" s="3">
        <v>7</v>
      </c>
      <c r="AL59" s="3">
        <v>18</v>
      </c>
      <c r="AM59" s="3">
        <v>19</v>
      </c>
      <c r="AN59" s="3">
        <v>6</v>
      </c>
      <c r="AO59" s="3">
        <v>6</v>
      </c>
      <c r="AP59" s="3">
        <v>0</v>
      </c>
      <c r="AQ59" s="3">
        <v>0</v>
      </c>
      <c r="AR59" s="2" t="s">
        <v>5</v>
      </c>
      <c r="AS59" s="2" t="s">
        <v>46</v>
      </c>
      <c r="AT59" s="5" t="str">
        <f>HYPERLINK("http://catalog.hathitrust.org/Record/001205933","HathiTrust Record")</f>
        <v>HathiTrust Record</v>
      </c>
      <c r="AU59" s="5" t="str">
        <f>HYPERLINK("https://creighton-primo.hosted.exlibrisgroup.com/primo-explore/search?tab=default_tab&amp;search_scope=EVERYTHING&amp;vid=01CRU&amp;lang=en_US&amp;offset=0&amp;query=any,contains,991002887179702656","Catalog Record")</f>
        <v>Catalog Record</v>
      </c>
      <c r="AV59" s="5" t="str">
        <f>HYPERLINK("http://www.worldcat.org/oclc/509345","WorldCat Record")</f>
        <v>WorldCat Record</v>
      </c>
      <c r="AW59" s="2" t="s">
        <v>821</v>
      </c>
      <c r="AX59" s="2" t="s">
        <v>822</v>
      </c>
      <c r="AY59" s="2" t="s">
        <v>823</v>
      </c>
      <c r="AZ59" s="2" t="s">
        <v>823</v>
      </c>
      <c r="BA59" s="2" t="s">
        <v>824</v>
      </c>
      <c r="BB59" s="2" t="s">
        <v>20</v>
      </c>
      <c r="BE59" s="2" t="s">
        <v>825</v>
      </c>
      <c r="BF59" s="2" t="s">
        <v>826</v>
      </c>
    </row>
    <row r="60" spans="1:58" ht="39.75" customHeight="1" x14ac:dyDescent="0.25">
      <c r="A60" s="7" t="s">
        <v>5</v>
      </c>
      <c r="B60" s="1" t="s">
        <v>0</v>
      </c>
      <c r="C60" s="1" t="s">
        <v>1</v>
      </c>
      <c r="D60" s="1" t="s">
        <v>827</v>
      </c>
      <c r="E60" s="1" t="s">
        <v>828</v>
      </c>
      <c r="F60" s="1" t="s">
        <v>829</v>
      </c>
      <c r="H60" s="2" t="s">
        <v>5</v>
      </c>
      <c r="I60" s="2" t="s">
        <v>6</v>
      </c>
      <c r="J60" s="2" t="s">
        <v>5</v>
      </c>
      <c r="K60" s="2" t="s">
        <v>5</v>
      </c>
      <c r="L60" s="2" t="s">
        <v>7</v>
      </c>
      <c r="M60" s="1" t="s">
        <v>830</v>
      </c>
      <c r="N60" s="1" t="s">
        <v>831</v>
      </c>
      <c r="O60" s="2" t="s">
        <v>468</v>
      </c>
      <c r="Q60" s="2" t="s">
        <v>60</v>
      </c>
      <c r="R60" s="2" t="s">
        <v>422</v>
      </c>
      <c r="S60" s="1" t="s">
        <v>832</v>
      </c>
      <c r="T60" s="2" t="s">
        <v>13</v>
      </c>
      <c r="U60" s="3">
        <v>3</v>
      </c>
      <c r="V60" s="3">
        <v>3</v>
      </c>
      <c r="W60" s="4" t="s">
        <v>833</v>
      </c>
      <c r="X60" s="4" t="s">
        <v>833</v>
      </c>
      <c r="Y60" s="4" t="s">
        <v>834</v>
      </c>
      <c r="Z60" s="4" t="s">
        <v>834</v>
      </c>
      <c r="AA60" s="3">
        <v>604</v>
      </c>
      <c r="AB60" s="3">
        <v>527</v>
      </c>
      <c r="AC60" s="3">
        <v>590</v>
      </c>
      <c r="AD60" s="3">
        <v>3</v>
      </c>
      <c r="AE60" s="9">
        <v>4</v>
      </c>
      <c r="AF60" s="9">
        <v>23</v>
      </c>
      <c r="AG60" s="9">
        <v>26</v>
      </c>
      <c r="AH60" s="3">
        <v>10</v>
      </c>
      <c r="AI60" s="3">
        <v>11</v>
      </c>
      <c r="AJ60" s="3">
        <v>8</v>
      </c>
      <c r="AK60" s="3">
        <v>8</v>
      </c>
      <c r="AL60" s="3">
        <v>10</v>
      </c>
      <c r="AM60" s="3">
        <v>11</v>
      </c>
      <c r="AN60" s="3">
        <v>2</v>
      </c>
      <c r="AO60" s="3">
        <v>3</v>
      </c>
      <c r="AP60" s="3">
        <v>0</v>
      </c>
      <c r="AQ60" s="3">
        <v>0</v>
      </c>
      <c r="AR60" s="2" t="s">
        <v>5</v>
      </c>
      <c r="AS60" s="2" t="s">
        <v>46</v>
      </c>
      <c r="AT60" s="5" t="str">
        <f>HYPERLINK("http://catalog.hathitrust.org/Record/001014781","HathiTrust Record")</f>
        <v>HathiTrust Record</v>
      </c>
      <c r="AU60" s="5" t="str">
        <f>HYPERLINK("https://creighton-primo.hosted.exlibrisgroup.com/primo-explore/search?tab=default_tab&amp;search_scope=EVERYTHING&amp;vid=01CRU&amp;lang=en_US&amp;offset=0&amp;query=any,contains,991002401919702656","Catalog Record")</f>
        <v>Catalog Record</v>
      </c>
      <c r="AV60" s="5" t="str">
        <f>HYPERLINK("http://www.worldcat.org/oclc/337247","WorldCat Record")</f>
        <v>WorldCat Record</v>
      </c>
      <c r="AW60" s="2" t="s">
        <v>835</v>
      </c>
      <c r="AX60" s="2" t="s">
        <v>836</v>
      </c>
      <c r="AY60" s="2" t="s">
        <v>837</v>
      </c>
      <c r="AZ60" s="2" t="s">
        <v>837</v>
      </c>
      <c r="BA60" s="2" t="s">
        <v>838</v>
      </c>
      <c r="BB60" s="2" t="s">
        <v>20</v>
      </c>
      <c r="BE60" s="2" t="s">
        <v>839</v>
      </c>
      <c r="BF60" s="2" t="s">
        <v>840</v>
      </c>
    </row>
    <row r="61" spans="1:58" ht="39.75" customHeight="1" x14ac:dyDescent="0.25">
      <c r="A61" s="7" t="s">
        <v>5</v>
      </c>
      <c r="B61" s="1" t="s">
        <v>0</v>
      </c>
      <c r="C61" s="1" t="s">
        <v>1</v>
      </c>
      <c r="D61" s="1" t="s">
        <v>841</v>
      </c>
      <c r="E61" s="1" t="s">
        <v>842</v>
      </c>
      <c r="F61" s="1" t="s">
        <v>843</v>
      </c>
      <c r="H61" s="2" t="s">
        <v>5</v>
      </c>
      <c r="I61" s="2" t="s">
        <v>6</v>
      </c>
      <c r="J61" s="2" t="s">
        <v>5</v>
      </c>
      <c r="K61" s="2" t="s">
        <v>5</v>
      </c>
      <c r="L61" s="2" t="s">
        <v>7</v>
      </c>
      <c r="M61" s="1" t="s">
        <v>844</v>
      </c>
      <c r="N61" s="1" t="s">
        <v>845</v>
      </c>
      <c r="O61" s="2" t="s">
        <v>584</v>
      </c>
      <c r="Q61" s="2" t="s">
        <v>60</v>
      </c>
      <c r="R61" s="2" t="s">
        <v>846</v>
      </c>
      <c r="T61" s="2" t="s">
        <v>13</v>
      </c>
      <c r="U61" s="3">
        <v>3</v>
      </c>
      <c r="V61" s="3">
        <v>3</v>
      </c>
      <c r="W61" s="4" t="s">
        <v>833</v>
      </c>
      <c r="X61" s="4" t="s">
        <v>833</v>
      </c>
      <c r="Y61" s="4" t="s">
        <v>834</v>
      </c>
      <c r="Z61" s="4" t="s">
        <v>834</v>
      </c>
      <c r="AA61" s="3">
        <v>807</v>
      </c>
      <c r="AB61" s="3">
        <v>665</v>
      </c>
      <c r="AC61" s="3">
        <v>811</v>
      </c>
      <c r="AD61" s="3">
        <v>4</v>
      </c>
      <c r="AE61" s="9">
        <v>4</v>
      </c>
      <c r="AF61" s="9">
        <v>23</v>
      </c>
      <c r="AG61" s="9">
        <v>32</v>
      </c>
      <c r="AH61" s="3">
        <v>8</v>
      </c>
      <c r="AI61" s="3">
        <v>14</v>
      </c>
      <c r="AJ61" s="3">
        <v>6</v>
      </c>
      <c r="AK61" s="3">
        <v>8</v>
      </c>
      <c r="AL61" s="3">
        <v>12</v>
      </c>
      <c r="AM61" s="3">
        <v>15</v>
      </c>
      <c r="AN61" s="3">
        <v>3</v>
      </c>
      <c r="AO61" s="3">
        <v>3</v>
      </c>
      <c r="AP61" s="3">
        <v>0</v>
      </c>
      <c r="AQ61" s="3">
        <v>0</v>
      </c>
      <c r="AR61" s="2" t="s">
        <v>5</v>
      </c>
      <c r="AS61" s="2" t="s">
        <v>46</v>
      </c>
      <c r="AT61" s="5" t="str">
        <f>HYPERLINK("http://catalog.hathitrust.org/Record/001014782","HathiTrust Record")</f>
        <v>HathiTrust Record</v>
      </c>
      <c r="AU61" s="5" t="str">
        <f>HYPERLINK("https://creighton-primo.hosted.exlibrisgroup.com/primo-explore/search?tab=default_tab&amp;search_scope=EVERYTHING&amp;vid=01CRU&amp;lang=en_US&amp;offset=0&amp;query=any,contains,991001228619702656","Catalog Record")</f>
        <v>Catalog Record</v>
      </c>
      <c r="AV61" s="5" t="str">
        <f>HYPERLINK("http://www.worldcat.org/oclc/17518617","WorldCat Record")</f>
        <v>WorldCat Record</v>
      </c>
      <c r="AW61" s="2" t="s">
        <v>847</v>
      </c>
      <c r="AX61" s="2" t="s">
        <v>848</v>
      </c>
      <c r="AY61" s="2" t="s">
        <v>849</v>
      </c>
      <c r="AZ61" s="2" t="s">
        <v>849</v>
      </c>
      <c r="BA61" s="2" t="s">
        <v>850</v>
      </c>
      <c r="BB61" s="2" t="s">
        <v>20</v>
      </c>
      <c r="BD61" s="2" t="s">
        <v>851</v>
      </c>
      <c r="BE61" s="2" t="s">
        <v>852</v>
      </c>
      <c r="BF61" s="2" t="s">
        <v>853</v>
      </c>
    </row>
    <row r="62" spans="1:58" ht="39.75" customHeight="1" x14ac:dyDescent="0.25">
      <c r="A62" s="7" t="s">
        <v>5</v>
      </c>
      <c r="B62" s="1" t="s">
        <v>0</v>
      </c>
      <c r="C62" s="1" t="s">
        <v>1</v>
      </c>
      <c r="D62" s="1" t="s">
        <v>854</v>
      </c>
      <c r="E62" s="1" t="s">
        <v>855</v>
      </c>
      <c r="F62" s="1" t="s">
        <v>856</v>
      </c>
      <c r="H62" s="2" t="s">
        <v>5</v>
      </c>
      <c r="I62" s="2" t="s">
        <v>6</v>
      </c>
      <c r="J62" s="2" t="s">
        <v>5</v>
      </c>
      <c r="K62" s="2" t="s">
        <v>5</v>
      </c>
      <c r="L62" s="2" t="s">
        <v>7</v>
      </c>
      <c r="M62" s="1" t="s">
        <v>857</v>
      </c>
      <c r="N62" s="1" t="s">
        <v>858</v>
      </c>
      <c r="O62" s="2" t="s">
        <v>524</v>
      </c>
      <c r="Q62" s="2" t="s">
        <v>11</v>
      </c>
      <c r="R62" s="2" t="s">
        <v>234</v>
      </c>
      <c r="S62" s="1" t="s">
        <v>859</v>
      </c>
      <c r="T62" s="2" t="s">
        <v>13</v>
      </c>
      <c r="U62" s="3">
        <v>1</v>
      </c>
      <c r="V62" s="3">
        <v>1</v>
      </c>
      <c r="W62" s="4" t="s">
        <v>682</v>
      </c>
      <c r="X62" s="4" t="s">
        <v>682</v>
      </c>
      <c r="Y62" s="4" t="s">
        <v>683</v>
      </c>
      <c r="Z62" s="4" t="s">
        <v>683</v>
      </c>
      <c r="AA62" s="3">
        <v>139</v>
      </c>
      <c r="AB62" s="3">
        <v>72</v>
      </c>
      <c r="AC62" s="3">
        <v>74</v>
      </c>
      <c r="AD62" s="3">
        <v>2</v>
      </c>
      <c r="AE62" s="9">
        <v>2</v>
      </c>
      <c r="AF62" s="9">
        <v>3</v>
      </c>
      <c r="AG62" s="9">
        <v>3</v>
      </c>
      <c r="AH62" s="3">
        <v>0</v>
      </c>
      <c r="AI62" s="3">
        <v>0</v>
      </c>
      <c r="AJ62" s="3">
        <v>1</v>
      </c>
      <c r="AK62" s="3">
        <v>1</v>
      </c>
      <c r="AL62" s="3">
        <v>1</v>
      </c>
      <c r="AM62" s="3">
        <v>1</v>
      </c>
      <c r="AN62" s="3">
        <v>1</v>
      </c>
      <c r="AO62" s="3">
        <v>1</v>
      </c>
      <c r="AP62" s="3">
        <v>0</v>
      </c>
      <c r="AQ62" s="3">
        <v>0</v>
      </c>
      <c r="AR62" s="2" t="s">
        <v>5</v>
      </c>
      <c r="AS62" s="2" t="s">
        <v>46</v>
      </c>
      <c r="AT62" s="5" t="str">
        <f>HYPERLINK("http://catalog.hathitrust.org/Record/001794121","HathiTrust Record")</f>
        <v>HathiTrust Record</v>
      </c>
      <c r="AU62" s="5" t="str">
        <f>HYPERLINK("https://creighton-primo.hosted.exlibrisgroup.com/primo-explore/search?tab=default_tab&amp;search_scope=EVERYTHING&amp;vid=01CRU&amp;lang=en_US&amp;offset=0&amp;query=any,contains,991004496449702656","Catalog Record")</f>
        <v>Catalog Record</v>
      </c>
      <c r="AV62" s="5" t="str">
        <f>HYPERLINK("http://www.worldcat.org/oclc/3701761","WorldCat Record")</f>
        <v>WorldCat Record</v>
      </c>
      <c r="AW62" s="2" t="s">
        <v>860</v>
      </c>
      <c r="AX62" s="2" t="s">
        <v>861</v>
      </c>
      <c r="AY62" s="2" t="s">
        <v>862</v>
      </c>
      <c r="AZ62" s="2" t="s">
        <v>862</v>
      </c>
      <c r="BA62" s="2" t="s">
        <v>863</v>
      </c>
      <c r="BB62" s="2" t="s">
        <v>20</v>
      </c>
      <c r="BE62" s="2" t="s">
        <v>864</v>
      </c>
      <c r="BF62" s="2" t="s">
        <v>865</v>
      </c>
    </row>
    <row r="63" spans="1:58" ht="39.75" customHeight="1" x14ac:dyDescent="0.25">
      <c r="A63" s="7" t="s">
        <v>5</v>
      </c>
      <c r="B63" s="1" t="s">
        <v>0</v>
      </c>
      <c r="C63" s="1" t="s">
        <v>1</v>
      </c>
      <c r="D63" s="1" t="s">
        <v>866</v>
      </c>
      <c r="E63" s="1" t="s">
        <v>867</v>
      </c>
      <c r="F63" s="1" t="s">
        <v>868</v>
      </c>
      <c r="H63" s="2" t="s">
        <v>5</v>
      </c>
      <c r="I63" s="2" t="s">
        <v>6</v>
      </c>
      <c r="J63" s="2" t="s">
        <v>5</v>
      </c>
      <c r="K63" s="2" t="s">
        <v>5</v>
      </c>
      <c r="L63" s="2" t="s">
        <v>7</v>
      </c>
      <c r="M63" s="1" t="s">
        <v>869</v>
      </c>
      <c r="N63" s="1" t="s">
        <v>870</v>
      </c>
      <c r="O63" s="2" t="s">
        <v>508</v>
      </c>
      <c r="Q63" s="2" t="s">
        <v>60</v>
      </c>
      <c r="R63" s="2" t="s">
        <v>871</v>
      </c>
      <c r="T63" s="2" t="s">
        <v>13</v>
      </c>
      <c r="U63" s="3">
        <v>1</v>
      </c>
      <c r="V63" s="3">
        <v>1</v>
      </c>
      <c r="W63" s="4" t="s">
        <v>872</v>
      </c>
      <c r="X63" s="4" t="s">
        <v>872</v>
      </c>
      <c r="Y63" s="4" t="s">
        <v>873</v>
      </c>
      <c r="Z63" s="4" t="s">
        <v>873</v>
      </c>
      <c r="AA63" s="3">
        <v>275</v>
      </c>
      <c r="AB63" s="3">
        <v>243</v>
      </c>
      <c r="AC63" s="3">
        <v>245</v>
      </c>
      <c r="AD63" s="3">
        <v>2</v>
      </c>
      <c r="AE63" s="9">
        <v>2</v>
      </c>
      <c r="AF63" s="9">
        <v>15</v>
      </c>
      <c r="AG63" s="9">
        <v>15</v>
      </c>
      <c r="AH63" s="3">
        <v>6</v>
      </c>
      <c r="AI63" s="3">
        <v>6</v>
      </c>
      <c r="AJ63" s="3">
        <v>5</v>
      </c>
      <c r="AK63" s="3">
        <v>5</v>
      </c>
      <c r="AL63" s="3">
        <v>8</v>
      </c>
      <c r="AM63" s="3">
        <v>8</v>
      </c>
      <c r="AN63" s="3">
        <v>1</v>
      </c>
      <c r="AO63" s="3">
        <v>1</v>
      </c>
      <c r="AP63" s="3">
        <v>0</v>
      </c>
      <c r="AQ63" s="3">
        <v>0</v>
      </c>
      <c r="AR63" s="2" t="s">
        <v>5</v>
      </c>
      <c r="AS63" s="2" t="s">
        <v>46</v>
      </c>
      <c r="AT63" s="5" t="str">
        <f>HYPERLINK("http://catalog.hathitrust.org/Record/004134413","HathiTrust Record")</f>
        <v>HathiTrust Record</v>
      </c>
      <c r="AU63" s="5" t="str">
        <f>HYPERLINK("https://creighton-primo.hosted.exlibrisgroup.com/primo-explore/search?tab=default_tab&amp;search_scope=EVERYTHING&amp;vid=01CRU&amp;lang=en_US&amp;offset=0&amp;query=any,contains,991003824429702656","Catalog Record")</f>
        <v>Catalog Record</v>
      </c>
      <c r="AV63" s="5" t="str">
        <f>HYPERLINK("http://www.worldcat.org/oclc/44026404","WorldCat Record")</f>
        <v>WorldCat Record</v>
      </c>
      <c r="AW63" s="2" t="s">
        <v>874</v>
      </c>
      <c r="AX63" s="2" t="s">
        <v>875</v>
      </c>
      <c r="AY63" s="2" t="s">
        <v>876</v>
      </c>
      <c r="AZ63" s="2" t="s">
        <v>876</v>
      </c>
      <c r="BA63" s="2" t="s">
        <v>877</v>
      </c>
      <c r="BB63" s="2" t="s">
        <v>20</v>
      </c>
      <c r="BD63" s="2" t="s">
        <v>878</v>
      </c>
      <c r="BE63" s="2" t="s">
        <v>879</v>
      </c>
      <c r="BF63" s="2" t="s">
        <v>880</v>
      </c>
    </row>
    <row r="64" spans="1:58" ht="39.75" customHeight="1" x14ac:dyDescent="0.25">
      <c r="A64" s="7" t="s">
        <v>5</v>
      </c>
      <c r="B64" s="1" t="s">
        <v>0</v>
      </c>
      <c r="C64" s="1" t="s">
        <v>1</v>
      </c>
      <c r="D64" s="1" t="s">
        <v>881</v>
      </c>
      <c r="E64" s="1" t="s">
        <v>882</v>
      </c>
      <c r="F64" s="1" t="s">
        <v>883</v>
      </c>
      <c r="H64" s="2" t="s">
        <v>5</v>
      </c>
      <c r="I64" s="2" t="s">
        <v>6</v>
      </c>
      <c r="J64" s="2" t="s">
        <v>5</v>
      </c>
      <c r="K64" s="2" t="s">
        <v>5</v>
      </c>
      <c r="L64" s="2" t="s">
        <v>7</v>
      </c>
      <c r="M64" s="1" t="s">
        <v>884</v>
      </c>
      <c r="N64" s="1" t="s">
        <v>885</v>
      </c>
      <c r="O64" s="2" t="s">
        <v>886</v>
      </c>
      <c r="Q64" s="2" t="s">
        <v>60</v>
      </c>
      <c r="R64" s="2" t="s">
        <v>61</v>
      </c>
      <c r="S64" s="1" t="s">
        <v>887</v>
      </c>
      <c r="T64" s="2" t="s">
        <v>13</v>
      </c>
      <c r="U64" s="3">
        <v>2</v>
      </c>
      <c r="V64" s="3">
        <v>2</v>
      </c>
      <c r="W64" s="4" t="s">
        <v>888</v>
      </c>
      <c r="X64" s="4" t="s">
        <v>888</v>
      </c>
      <c r="Y64" s="4" t="s">
        <v>768</v>
      </c>
      <c r="Z64" s="4" t="s">
        <v>768</v>
      </c>
      <c r="AA64" s="3">
        <v>593</v>
      </c>
      <c r="AB64" s="3">
        <v>531</v>
      </c>
      <c r="AC64" s="3">
        <v>549</v>
      </c>
      <c r="AD64" s="3">
        <v>4</v>
      </c>
      <c r="AE64" s="9">
        <v>4</v>
      </c>
      <c r="AF64" s="9">
        <v>23</v>
      </c>
      <c r="AG64" s="9">
        <v>24</v>
      </c>
      <c r="AH64" s="3">
        <v>10</v>
      </c>
      <c r="AI64" s="3">
        <v>10</v>
      </c>
      <c r="AJ64" s="3">
        <v>4</v>
      </c>
      <c r="AK64" s="3">
        <v>5</v>
      </c>
      <c r="AL64" s="3">
        <v>11</v>
      </c>
      <c r="AM64" s="3">
        <v>12</v>
      </c>
      <c r="AN64" s="3">
        <v>3</v>
      </c>
      <c r="AO64" s="3">
        <v>3</v>
      </c>
      <c r="AP64" s="3">
        <v>0</v>
      </c>
      <c r="AQ64" s="3">
        <v>0</v>
      </c>
      <c r="AR64" s="2" t="s">
        <v>5</v>
      </c>
      <c r="AS64" s="2" t="s">
        <v>5</v>
      </c>
      <c r="AU64" s="5" t="str">
        <f>HYPERLINK("https://creighton-primo.hosted.exlibrisgroup.com/primo-explore/search?tab=default_tab&amp;search_scope=EVERYTHING&amp;vid=01CRU&amp;lang=en_US&amp;offset=0&amp;query=any,contains,991003167829702656","Catalog Record")</f>
        <v>Catalog Record</v>
      </c>
      <c r="AV64" s="5" t="str">
        <f>HYPERLINK("http://www.worldcat.org/oclc/704906","WorldCat Record")</f>
        <v>WorldCat Record</v>
      </c>
      <c r="AW64" s="2" t="s">
        <v>889</v>
      </c>
      <c r="AX64" s="2" t="s">
        <v>890</v>
      </c>
      <c r="AY64" s="2" t="s">
        <v>891</v>
      </c>
      <c r="AZ64" s="2" t="s">
        <v>891</v>
      </c>
      <c r="BA64" s="2" t="s">
        <v>892</v>
      </c>
      <c r="BB64" s="2" t="s">
        <v>20</v>
      </c>
      <c r="BD64" s="2" t="s">
        <v>893</v>
      </c>
      <c r="BE64" s="2" t="s">
        <v>894</v>
      </c>
      <c r="BF64" s="2" t="s">
        <v>895</v>
      </c>
    </row>
    <row r="65" spans="1:58" ht="39.75" customHeight="1" x14ac:dyDescent="0.25">
      <c r="A65" s="7" t="s">
        <v>5</v>
      </c>
      <c r="B65" s="1" t="s">
        <v>0</v>
      </c>
      <c r="C65" s="1" t="s">
        <v>1</v>
      </c>
      <c r="D65" s="1" t="s">
        <v>896</v>
      </c>
      <c r="E65" s="1" t="s">
        <v>897</v>
      </c>
      <c r="F65" s="1" t="s">
        <v>898</v>
      </c>
      <c r="H65" s="2" t="s">
        <v>5</v>
      </c>
      <c r="I65" s="2" t="s">
        <v>6</v>
      </c>
      <c r="J65" s="2" t="s">
        <v>46</v>
      </c>
      <c r="K65" s="2" t="s">
        <v>46</v>
      </c>
      <c r="L65" s="2" t="s">
        <v>7</v>
      </c>
      <c r="M65" s="1" t="s">
        <v>899</v>
      </c>
      <c r="N65" s="1" t="s">
        <v>900</v>
      </c>
      <c r="O65" s="2" t="s">
        <v>901</v>
      </c>
      <c r="Q65" s="2" t="s">
        <v>60</v>
      </c>
      <c r="R65" s="2" t="s">
        <v>422</v>
      </c>
      <c r="T65" s="2" t="s">
        <v>13</v>
      </c>
      <c r="U65" s="3">
        <v>8</v>
      </c>
      <c r="V65" s="3">
        <v>8</v>
      </c>
      <c r="W65" s="4" t="s">
        <v>902</v>
      </c>
      <c r="X65" s="4" t="s">
        <v>902</v>
      </c>
      <c r="Y65" s="4" t="s">
        <v>903</v>
      </c>
      <c r="Z65" s="4" t="s">
        <v>904</v>
      </c>
      <c r="AA65" s="3">
        <v>818</v>
      </c>
      <c r="AB65" s="3">
        <v>746</v>
      </c>
      <c r="AC65" s="3">
        <v>811</v>
      </c>
      <c r="AD65" s="3">
        <v>4</v>
      </c>
      <c r="AE65" s="9">
        <v>6</v>
      </c>
      <c r="AF65" s="9">
        <v>34</v>
      </c>
      <c r="AG65" s="9">
        <v>38</v>
      </c>
      <c r="AH65" s="3">
        <v>14</v>
      </c>
      <c r="AI65" s="3">
        <v>16</v>
      </c>
      <c r="AJ65" s="3">
        <v>7</v>
      </c>
      <c r="AK65" s="3">
        <v>7</v>
      </c>
      <c r="AL65" s="3">
        <v>19</v>
      </c>
      <c r="AM65" s="3">
        <v>21</v>
      </c>
      <c r="AN65" s="3">
        <v>3</v>
      </c>
      <c r="AO65" s="3">
        <v>5</v>
      </c>
      <c r="AP65" s="3">
        <v>0</v>
      </c>
      <c r="AQ65" s="3">
        <v>0</v>
      </c>
      <c r="AR65" s="2" t="s">
        <v>5</v>
      </c>
      <c r="AS65" s="2" t="s">
        <v>46</v>
      </c>
      <c r="AT65" s="5" t="str">
        <f>HYPERLINK("http://catalog.hathitrust.org/Record/001362226","HathiTrust Record")</f>
        <v>HathiTrust Record</v>
      </c>
      <c r="AU65" s="5" t="str">
        <f>HYPERLINK("https://creighton-primo.hosted.exlibrisgroup.com/primo-explore/search?tab=default_tab&amp;search_scope=EVERYTHING&amp;vid=01CRU&amp;lang=en_US&amp;offset=0&amp;query=any,contains,991002401949702656","Catalog Record")</f>
        <v>Catalog Record</v>
      </c>
      <c r="AV65" s="5" t="str">
        <f>HYPERLINK("http://www.worldcat.org/oclc/337269","WorldCat Record")</f>
        <v>WorldCat Record</v>
      </c>
      <c r="AW65" s="2" t="s">
        <v>905</v>
      </c>
      <c r="AX65" s="2" t="s">
        <v>906</v>
      </c>
      <c r="AY65" s="2" t="s">
        <v>907</v>
      </c>
      <c r="AZ65" s="2" t="s">
        <v>907</v>
      </c>
      <c r="BA65" s="2" t="s">
        <v>908</v>
      </c>
      <c r="BB65" s="2" t="s">
        <v>20</v>
      </c>
      <c r="BE65" s="2" t="s">
        <v>909</v>
      </c>
      <c r="BF65" s="2" t="s">
        <v>910</v>
      </c>
    </row>
    <row r="66" spans="1:58" ht="39.75" customHeight="1" x14ac:dyDescent="0.25">
      <c r="A66" s="7" t="s">
        <v>5</v>
      </c>
      <c r="B66" s="1" t="s">
        <v>0</v>
      </c>
      <c r="C66" s="1" t="s">
        <v>1</v>
      </c>
      <c r="D66" s="1" t="s">
        <v>911</v>
      </c>
      <c r="E66" s="1" t="s">
        <v>912</v>
      </c>
      <c r="F66" s="1" t="s">
        <v>913</v>
      </c>
      <c r="H66" s="2" t="s">
        <v>5</v>
      </c>
      <c r="I66" s="2" t="s">
        <v>6</v>
      </c>
      <c r="J66" s="2" t="s">
        <v>5</v>
      </c>
      <c r="K66" s="2" t="s">
        <v>46</v>
      </c>
      <c r="L66" s="2" t="s">
        <v>7</v>
      </c>
      <c r="M66" s="1" t="s">
        <v>914</v>
      </c>
      <c r="N66" s="1" t="s">
        <v>161</v>
      </c>
      <c r="O66" s="2" t="s">
        <v>162</v>
      </c>
      <c r="Q66" s="2" t="s">
        <v>60</v>
      </c>
      <c r="R66" s="2" t="s">
        <v>61</v>
      </c>
      <c r="T66" s="2" t="s">
        <v>13</v>
      </c>
      <c r="U66" s="3">
        <v>5</v>
      </c>
      <c r="V66" s="3">
        <v>5</v>
      </c>
      <c r="W66" s="4" t="s">
        <v>902</v>
      </c>
      <c r="X66" s="4" t="s">
        <v>902</v>
      </c>
      <c r="Y66" s="4" t="s">
        <v>915</v>
      </c>
      <c r="Z66" s="4" t="s">
        <v>915</v>
      </c>
      <c r="AA66" s="3">
        <v>178</v>
      </c>
      <c r="AB66" s="3">
        <v>162</v>
      </c>
      <c r="AC66" s="3">
        <v>288</v>
      </c>
      <c r="AD66" s="3">
        <v>3</v>
      </c>
      <c r="AE66" s="9">
        <v>3</v>
      </c>
      <c r="AF66" s="9">
        <v>9</v>
      </c>
      <c r="AG66" s="9">
        <v>11</v>
      </c>
      <c r="AH66" s="3">
        <v>3</v>
      </c>
      <c r="AI66" s="3">
        <v>3</v>
      </c>
      <c r="AJ66" s="3">
        <v>3</v>
      </c>
      <c r="AK66" s="3">
        <v>4</v>
      </c>
      <c r="AL66" s="3">
        <v>5</v>
      </c>
      <c r="AM66" s="3">
        <v>6</v>
      </c>
      <c r="AN66" s="3">
        <v>2</v>
      </c>
      <c r="AO66" s="3">
        <v>2</v>
      </c>
      <c r="AP66" s="3">
        <v>0</v>
      </c>
      <c r="AQ66" s="3">
        <v>0</v>
      </c>
      <c r="AR66" s="2" t="s">
        <v>5</v>
      </c>
      <c r="AS66" s="2" t="s">
        <v>5</v>
      </c>
      <c r="AU66" s="5" t="str">
        <f>HYPERLINK("https://creighton-primo.hosted.exlibrisgroup.com/primo-explore/search?tab=default_tab&amp;search_scope=EVERYTHING&amp;vid=01CRU&amp;lang=en_US&amp;offset=0&amp;query=any,contains,991000609209702656","Catalog Record")</f>
        <v>Catalog Record</v>
      </c>
      <c r="AV66" s="5" t="str">
        <f>HYPERLINK("http://www.worldcat.org/oclc/100135","WorldCat Record")</f>
        <v>WorldCat Record</v>
      </c>
      <c r="AW66" s="2" t="s">
        <v>916</v>
      </c>
      <c r="AX66" s="2" t="s">
        <v>917</v>
      </c>
      <c r="AY66" s="2" t="s">
        <v>918</v>
      </c>
      <c r="AZ66" s="2" t="s">
        <v>918</v>
      </c>
      <c r="BA66" s="2" t="s">
        <v>919</v>
      </c>
      <c r="BB66" s="2" t="s">
        <v>20</v>
      </c>
      <c r="BD66" s="2" t="s">
        <v>920</v>
      </c>
      <c r="BE66" s="2" t="s">
        <v>921</v>
      </c>
      <c r="BF66" s="2" t="s">
        <v>922</v>
      </c>
    </row>
    <row r="67" spans="1:58" ht="39.75" customHeight="1" x14ac:dyDescent="0.25">
      <c r="A67" s="7" t="s">
        <v>5</v>
      </c>
      <c r="B67" s="1" t="s">
        <v>0</v>
      </c>
      <c r="C67" s="1" t="s">
        <v>1</v>
      </c>
      <c r="D67" s="1" t="s">
        <v>923</v>
      </c>
      <c r="E67" s="1" t="s">
        <v>924</v>
      </c>
      <c r="F67" s="1" t="s">
        <v>925</v>
      </c>
      <c r="H67" s="2" t="s">
        <v>5</v>
      </c>
      <c r="I67" s="2" t="s">
        <v>6</v>
      </c>
      <c r="J67" s="2" t="s">
        <v>5</v>
      </c>
      <c r="K67" s="2" t="s">
        <v>5</v>
      </c>
      <c r="L67" s="2" t="s">
        <v>7</v>
      </c>
      <c r="M67" s="1" t="s">
        <v>926</v>
      </c>
      <c r="N67" s="1" t="s">
        <v>927</v>
      </c>
      <c r="O67" s="2" t="s">
        <v>276</v>
      </c>
      <c r="Q67" s="2" t="s">
        <v>11</v>
      </c>
      <c r="R67" s="2" t="s">
        <v>28</v>
      </c>
      <c r="T67" s="2" t="s">
        <v>13</v>
      </c>
      <c r="U67" s="3">
        <v>4</v>
      </c>
      <c r="V67" s="3">
        <v>4</v>
      </c>
      <c r="W67" s="4" t="s">
        <v>928</v>
      </c>
      <c r="X67" s="4" t="s">
        <v>928</v>
      </c>
      <c r="Y67" s="4" t="s">
        <v>903</v>
      </c>
      <c r="Z67" s="4" t="s">
        <v>903</v>
      </c>
      <c r="AA67" s="3">
        <v>258</v>
      </c>
      <c r="AB67" s="3">
        <v>160</v>
      </c>
      <c r="AC67" s="3">
        <v>173</v>
      </c>
      <c r="AD67" s="3">
        <v>3</v>
      </c>
      <c r="AE67" s="9">
        <v>3</v>
      </c>
      <c r="AF67" s="9">
        <v>8</v>
      </c>
      <c r="AG67" s="9">
        <v>8</v>
      </c>
      <c r="AH67" s="3">
        <v>1</v>
      </c>
      <c r="AI67" s="3">
        <v>1</v>
      </c>
      <c r="AJ67" s="3">
        <v>3</v>
      </c>
      <c r="AK67" s="3">
        <v>3</v>
      </c>
      <c r="AL67" s="3">
        <v>4</v>
      </c>
      <c r="AM67" s="3">
        <v>4</v>
      </c>
      <c r="AN67" s="3">
        <v>2</v>
      </c>
      <c r="AO67" s="3">
        <v>2</v>
      </c>
      <c r="AP67" s="3">
        <v>0</v>
      </c>
      <c r="AQ67" s="3">
        <v>0</v>
      </c>
      <c r="AR67" s="2" t="s">
        <v>5</v>
      </c>
      <c r="AS67" s="2" t="s">
        <v>46</v>
      </c>
      <c r="AT67" s="5" t="str">
        <f>HYPERLINK("http://catalog.hathitrust.org/Record/000741553","HathiTrust Record")</f>
        <v>HathiTrust Record</v>
      </c>
      <c r="AU67" s="5" t="str">
        <f>HYPERLINK("https://creighton-primo.hosted.exlibrisgroup.com/primo-explore/search?tab=default_tab&amp;search_scope=EVERYTHING&amp;vid=01CRU&amp;lang=en_US&amp;offset=0&amp;query=any,contains,991004109349702656","Catalog Record")</f>
        <v>Catalog Record</v>
      </c>
      <c r="AV67" s="5" t="str">
        <f>HYPERLINK("http://www.worldcat.org/oclc/2391788","WorldCat Record")</f>
        <v>WorldCat Record</v>
      </c>
      <c r="AW67" s="2" t="s">
        <v>929</v>
      </c>
      <c r="AX67" s="2" t="s">
        <v>930</v>
      </c>
      <c r="AY67" s="2" t="s">
        <v>931</v>
      </c>
      <c r="AZ67" s="2" t="s">
        <v>931</v>
      </c>
      <c r="BA67" s="2" t="s">
        <v>932</v>
      </c>
      <c r="BB67" s="2" t="s">
        <v>20</v>
      </c>
      <c r="BD67" s="2" t="s">
        <v>933</v>
      </c>
      <c r="BE67" s="2" t="s">
        <v>934</v>
      </c>
      <c r="BF67" s="2" t="s">
        <v>935</v>
      </c>
    </row>
    <row r="68" spans="1:58" ht="39.75" customHeight="1" x14ac:dyDescent="0.25">
      <c r="A68" s="7" t="s">
        <v>5</v>
      </c>
      <c r="B68" s="1" t="s">
        <v>0</v>
      </c>
      <c r="C68" s="1" t="s">
        <v>1</v>
      </c>
      <c r="D68" s="1" t="s">
        <v>936</v>
      </c>
      <c r="E68" s="1" t="s">
        <v>937</v>
      </c>
      <c r="F68" s="1" t="s">
        <v>938</v>
      </c>
      <c r="H68" s="2" t="s">
        <v>5</v>
      </c>
      <c r="I68" s="2" t="s">
        <v>6</v>
      </c>
      <c r="J68" s="2" t="s">
        <v>5</v>
      </c>
      <c r="K68" s="2" t="s">
        <v>5</v>
      </c>
      <c r="L68" s="2" t="s">
        <v>7</v>
      </c>
      <c r="M68" s="1" t="s">
        <v>939</v>
      </c>
      <c r="N68" s="1" t="s">
        <v>940</v>
      </c>
      <c r="O68" s="2" t="s">
        <v>494</v>
      </c>
      <c r="Q68" s="2" t="s">
        <v>60</v>
      </c>
      <c r="R68" s="2" t="s">
        <v>193</v>
      </c>
      <c r="S68" s="1" t="s">
        <v>941</v>
      </c>
      <c r="T68" s="2" t="s">
        <v>13</v>
      </c>
      <c r="U68" s="3">
        <v>7</v>
      </c>
      <c r="V68" s="3">
        <v>7</v>
      </c>
      <c r="W68" s="4" t="s">
        <v>942</v>
      </c>
      <c r="X68" s="4" t="s">
        <v>942</v>
      </c>
      <c r="Y68" s="4" t="s">
        <v>753</v>
      </c>
      <c r="Z68" s="4" t="s">
        <v>753</v>
      </c>
      <c r="AA68" s="3">
        <v>583</v>
      </c>
      <c r="AB68" s="3">
        <v>457</v>
      </c>
      <c r="AC68" s="3">
        <v>468</v>
      </c>
      <c r="AD68" s="3">
        <v>4</v>
      </c>
      <c r="AE68" s="9">
        <v>4</v>
      </c>
      <c r="AF68" s="9">
        <v>16</v>
      </c>
      <c r="AG68" s="9">
        <v>16</v>
      </c>
      <c r="AH68" s="3">
        <v>6</v>
      </c>
      <c r="AI68" s="3">
        <v>6</v>
      </c>
      <c r="AJ68" s="3">
        <v>4</v>
      </c>
      <c r="AK68" s="3">
        <v>4</v>
      </c>
      <c r="AL68" s="3">
        <v>5</v>
      </c>
      <c r="AM68" s="3">
        <v>5</v>
      </c>
      <c r="AN68" s="3">
        <v>3</v>
      </c>
      <c r="AO68" s="3">
        <v>3</v>
      </c>
      <c r="AP68" s="3">
        <v>0</v>
      </c>
      <c r="AQ68" s="3">
        <v>0</v>
      </c>
      <c r="AR68" s="2" t="s">
        <v>5</v>
      </c>
      <c r="AS68" s="2" t="s">
        <v>46</v>
      </c>
      <c r="AT68" s="5" t="str">
        <f>HYPERLINK("http://catalog.hathitrust.org/Record/000024918","HathiTrust Record")</f>
        <v>HathiTrust Record</v>
      </c>
      <c r="AU68" s="5" t="str">
        <f>HYPERLINK("https://creighton-primo.hosted.exlibrisgroup.com/primo-explore/search?tab=default_tab&amp;search_scope=EVERYTHING&amp;vid=01CRU&amp;lang=en_US&amp;offset=0&amp;query=any,contains,991004392579702656","Catalog Record")</f>
        <v>Catalog Record</v>
      </c>
      <c r="AV68" s="5" t="str">
        <f>HYPERLINK("http://www.worldcat.org/oclc/3272827","WorldCat Record")</f>
        <v>WorldCat Record</v>
      </c>
      <c r="AW68" s="2" t="s">
        <v>943</v>
      </c>
      <c r="AX68" s="2" t="s">
        <v>944</v>
      </c>
      <c r="AY68" s="2" t="s">
        <v>945</v>
      </c>
      <c r="AZ68" s="2" t="s">
        <v>945</v>
      </c>
      <c r="BA68" s="2" t="s">
        <v>946</v>
      </c>
      <c r="BB68" s="2" t="s">
        <v>20</v>
      </c>
      <c r="BD68" s="2" t="s">
        <v>947</v>
      </c>
      <c r="BE68" s="2" t="s">
        <v>948</v>
      </c>
      <c r="BF68" s="2" t="s">
        <v>949</v>
      </c>
    </row>
    <row r="69" spans="1:58" ht="39.75" customHeight="1" x14ac:dyDescent="0.25">
      <c r="A69" s="7" t="s">
        <v>5</v>
      </c>
      <c r="B69" s="1" t="s">
        <v>0</v>
      </c>
      <c r="C69" s="1" t="s">
        <v>1</v>
      </c>
      <c r="D69" s="1" t="s">
        <v>950</v>
      </c>
      <c r="E69" s="1" t="s">
        <v>951</v>
      </c>
      <c r="F69" s="1" t="s">
        <v>952</v>
      </c>
      <c r="H69" s="2" t="s">
        <v>5</v>
      </c>
      <c r="I69" s="2" t="s">
        <v>6</v>
      </c>
      <c r="J69" s="2" t="s">
        <v>5</v>
      </c>
      <c r="K69" s="2" t="s">
        <v>5</v>
      </c>
      <c r="L69" s="2" t="s">
        <v>7</v>
      </c>
      <c r="M69" s="1" t="s">
        <v>953</v>
      </c>
      <c r="N69" s="1" t="s">
        <v>954</v>
      </c>
      <c r="O69" s="2" t="s">
        <v>468</v>
      </c>
      <c r="Q69" s="2" t="s">
        <v>11</v>
      </c>
      <c r="R69" s="2" t="s">
        <v>28</v>
      </c>
      <c r="S69" s="1" t="s">
        <v>955</v>
      </c>
      <c r="T69" s="2" t="s">
        <v>13</v>
      </c>
      <c r="U69" s="3">
        <v>1</v>
      </c>
      <c r="V69" s="3">
        <v>1</v>
      </c>
      <c r="W69" s="4" t="s">
        <v>956</v>
      </c>
      <c r="X69" s="4" t="s">
        <v>956</v>
      </c>
      <c r="Y69" s="4" t="s">
        <v>957</v>
      </c>
      <c r="Z69" s="4" t="s">
        <v>957</v>
      </c>
      <c r="AA69" s="3">
        <v>34</v>
      </c>
      <c r="AB69" s="3">
        <v>24</v>
      </c>
      <c r="AC69" s="3">
        <v>77</v>
      </c>
      <c r="AD69" s="3">
        <v>1</v>
      </c>
      <c r="AE69" s="9">
        <v>2</v>
      </c>
      <c r="AF69" s="9">
        <v>3</v>
      </c>
      <c r="AG69" s="9">
        <v>6</v>
      </c>
      <c r="AH69" s="3">
        <v>1</v>
      </c>
      <c r="AI69" s="3">
        <v>3</v>
      </c>
      <c r="AJ69" s="3">
        <v>0</v>
      </c>
      <c r="AK69" s="3">
        <v>0</v>
      </c>
      <c r="AL69" s="3">
        <v>3</v>
      </c>
      <c r="AM69" s="3">
        <v>4</v>
      </c>
      <c r="AN69" s="3">
        <v>0</v>
      </c>
      <c r="AO69" s="3">
        <v>1</v>
      </c>
      <c r="AP69" s="3">
        <v>0</v>
      </c>
      <c r="AQ69" s="3">
        <v>0</v>
      </c>
      <c r="AR69" s="2" t="s">
        <v>5</v>
      </c>
      <c r="AS69" s="2" t="s">
        <v>5</v>
      </c>
      <c r="AU69" s="5" t="str">
        <f>HYPERLINK("https://creighton-primo.hosted.exlibrisgroup.com/primo-explore/search?tab=default_tab&amp;search_scope=EVERYTHING&amp;vid=01CRU&amp;lang=en_US&amp;offset=0&amp;query=any,contains,991005215129702656","Catalog Record")</f>
        <v>Catalog Record</v>
      </c>
      <c r="AV69" s="5" t="str">
        <f>HYPERLINK("http://www.worldcat.org/oclc/8179193","WorldCat Record")</f>
        <v>WorldCat Record</v>
      </c>
      <c r="AW69" s="2" t="s">
        <v>958</v>
      </c>
      <c r="AX69" s="2" t="s">
        <v>959</v>
      </c>
      <c r="AY69" s="2" t="s">
        <v>960</v>
      </c>
      <c r="AZ69" s="2" t="s">
        <v>960</v>
      </c>
      <c r="BA69" s="2" t="s">
        <v>961</v>
      </c>
      <c r="BB69" s="2" t="s">
        <v>20</v>
      </c>
      <c r="BE69" s="2" t="s">
        <v>962</v>
      </c>
      <c r="BF69" s="2" t="s">
        <v>963</v>
      </c>
    </row>
    <row r="70" spans="1:58" ht="39.75" customHeight="1" x14ac:dyDescent="0.25">
      <c r="A70" s="7" t="s">
        <v>5</v>
      </c>
      <c r="B70" s="1" t="s">
        <v>0</v>
      </c>
      <c r="C70" s="1" t="s">
        <v>1</v>
      </c>
      <c r="D70" s="1" t="s">
        <v>964</v>
      </c>
      <c r="E70" s="1" t="s">
        <v>965</v>
      </c>
      <c r="F70" s="1" t="s">
        <v>966</v>
      </c>
      <c r="H70" s="2" t="s">
        <v>5</v>
      </c>
      <c r="I70" s="2" t="s">
        <v>6</v>
      </c>
      <c r="J70" s="2" t="s">
        <v>5</v>
      </c>
      <c r="K70" s="2" t="s">
        <v>5</v>
      </c>
      <c r="L70" s="2" t="s">
        <v>7</v>
      </c>
      <c r="M70" s="1" t="s">
        <v>967</v>
      </c>
      <c r="N70" s="1" t="s">
        <v>968</v>
      </c>
      <c r="O70" s="2" t="s">
        <v>969</v>
      </c>
      <c r="Q70" s="2" t="s">
        <v>11</v>
      </c>
      <c r="R70" s="2" t="s">
        <v>28</v>
      </c>
      <c r="T70" s="2" t="s">
        <v>13</v>
      </c>
      <c r="U70" s="3">
        <v>7</v>
      </c>
      <c r="V70" s="3">
        <v>7</v>
      </c>
      <c r="W70" s="4" t="s">
        <v>970</v>
      </c>
      <c r="X70" s="4" t="s">
        <v>970</v>
      </c>
      <c r="Y70" s="4" t="s">
        <v>971</v>
      </c>
      <c r="Z70" s="4" t="s">
        <v>971</v>
      </c>
      <c r="AA70" s="3">
        <v>255</v>
      </c>
      <c r="AB70" s="3">
        <v>176</v>
      </c>
      <c r="AC70" s="3">
        <v>255</v>
      </c>
      <c r="AD70" s="3">
        <v>1</v>
      </c>
      <c r="AE70" s="9">
        <v>1</v>
      </c>
      <c r="AF70" s="9">
        <v>13</v>
      </c>
      <c r="AG70" s="9">
        <v>14</v>
      </c>
      <c r="AH70" s="3">
        <v>3</v>
      </c>
      <c r="AI70" s="3">
        <v>3</v>
      </c>
      <c r="AJ70" s="3">
        <v>4</v>
      </c>
      <c r="AK70" s="3">
        <v>4</v>
      </c>
      <c r="AL70" s="3">
        <v>9</v>
      </c>
      <c r="AM70" s="3">
        <v>10</v>
      </c>
      <c r="AN70" s="3">
        <v>0</v>
      </c>
      <c r="AO70" s="3">
        <v>0</v>
      </c>
      <c r="AP70" s="3">
        <v>0</v>
      </c>
      <c r="AQ70" s="3">
        <v>0</v>
      </c>
      <c r="AR70" s="2" t="s">
        <v>5</v>
      </c>
      <c r="AS70" s="2" t="s">
        <v>46</v>
      </c>
      <c r="AT70" s="5" t="str">
        <f>HYPERLINK("http://catalog.hathitrust.org/Record/009496370","HathiTrust Record")</f>
        <v>HathiTrust Record</v>
      </c>
      <c r="AU70" s="5" t="str">
        <f>HYPERLINK("https://creighton-primo.hosted.exlibrisgroup.com/primo-explore/search?tab=default_tab&amp;search_scope=EVERYTHING&amp;vid=01CRU&amp;lang=en_US&amp;offset=0&amp;query=any,contains,991004427229702656","Catalog Record")</f>
        <v>Catalog Record</v>
      </c>
      <c r="AV70" s="5" t="str">
        <f>HYPERLINK("http://www.worldcat.org/oclc/3406170","WorldCat Record")</f>
        <v>WorldCat Record</v>
      </c>
      <c r="AW70" s="2" t="s">
        <v>972</v>
      </c>
      <c r="AX70" s="2" t="s">
        <v>973</v>
      </c>
      <c r="AY70" s="2" t="s">
        <v>974</v>
      </c>
      <c r="AZ70" s="2" t="s">
        <v>974</v>
      </c>
      <c r="BA70" s="2" t="s">
        <v>975</v>
      </c>
      <c r="BB70" s="2" t="s">
        <v>20</v>
      </c>
      <c r="BE70" s="2" t="s">
        <v>976</v>
      </c>
      <c r="BF70" s="2" t="s">
        <v>977</v>
      </c>
    </row>
    <row r="71" spans="1:58" ht="39.75" customHeight="1" x14ac:dyDescent="0.25">
      <c r="A71" s="7" t="s">
        <v>5</v>
      </c>
      <c r="B71" s="1" t="s">
        <v>0</v>
      </c>
      <c r="C71" s="1" t="s">
        <v>1</v>
      </c>
      <c r="D71" s="1" t="s">
        <v>978</v>
      </c>
      <c r="E71" s="1" t="s">
        <v>979</v>
      </c>
      <c r="F71" s="1" t="s">
        <v>980</v>
      </c>
      <c r="H71" s="2" t="s">
        <v>5</v>
      </c>
      <c r="I71" s="2" t="s">
        <v>6</v>
      </c>
      <c r="J71" s="2" t="s">
        <v>5</v>
      </c>
      <c r="K71" s="2" t="s">
        <v>5</v>
      </c>
      <c r="L71" s="2" t="s">
        <v>7</v>
      </c>
      <c r="M71" s="1" t="s">
        <v>981</v>
      </c>
      <c r="N71" s="1" t="s">
        <v>982</v>
      </c>
      <c r="O71" s="2" t="s">
        <v>468</v>
      </c>
      <c r="Q71" s="2" t="s">
        <v>60</v>
      </c>
      <c r="R71" s="2" t="s">
        <v>193</v>
      </c>
      <c r="T71" s="2" t="s">
        <v>13</v>
      </c>
      <c r="U71" s="3">
        <v>3</v>
      </c>
      <c r="V71" s="3">
        <v>3</v>
      </c>
      <c r="W71" s="4" t="s">
        <v>279</v>
      </c>
      <c r="X71" s="4" t="s">
        <v>279</v>
      </c>
      <c r="Y71" s="4" t="s">
        <v>983</v>
      </c>
      <c r="Z71" s="4" t="s">
        <v>983</v>
      </c>
      <c r="AA71" s="3">
        <v>553</v>
      </c>
      <c r="AB71" s="3">
        <v>432</v>
      </c>
      <c r="AC71" s="3">
        <v>434</v>
      </c>
      <c r="AD71" s="3">
        <v>4</v>
      </c>
      <c r="AE71" s="9">
        <v>4</v>
      </c>
      <c r="AF71" s="9">
        <v>23</v>
      </c>
      <c r="AG71" s="9">
        <v>23</v>
      </c>
      <c r="AH71" s="3">
        <v>5</v>
      </c>
      <c r="AI71" s="3">
        <v>5</v>
      </c>
      <c r="AJ71" s="3">
        <v>7</v>
      </c>
      <c r="AK71" s="3">
        <v>7</v>
      </c>
      <c r="AL71" s="3">
        <v>13</v>
      </c>
      <c r="AM71" s="3">
        <v>13</v>
      </c>
      <c r="AN71" s="3">
        <v>3</v>
      </c>
      <c r="AO71" s="3">
        <v>3</v>
      </c>
      <c r="AP71" s="3">
        <v>0</v>
      </c>
      <c r="AQ71" s="3">
        <v>0</v>
      </c>
      <c r="AR71" s="2" t="s">
        <v>5</v>
      </c>
      <c r="AS71" s="2" t="s">
        <v>46</v>
      </c>
      <c r="AT71" s="5" t="str">
        <f>HYPERLINK("http://catalog.hathitrust.org/Record/001014814","HathiTrust Record")</f>
        <v>HathiTrust Record</v>
      </c>
      <c r="AU71" s="5" t="str">
        <f>HYPERLINK("https://creighton-primo.hosted.exlibrisgroup.com/primo-explore/search?tab=default_tab&amp;search_scope=EVERYTHING&amp;vid=01CRU&amp;lang=en_US&amp;offset=0&amp;query=any,contains,991002691909702656","Catalog Record")</f>
        <v>Catalog Record</v>
      </c>
      <c r="AV71" s="5" t="str">
        <f>HYPERLINK("http://www.worldcat.org/oclc/401908","WorldCat Record")</f>
        <v>WorldCat Record</v>
      </c>
      <c r="AW71" s="2" t="s">
        <v>984</v>
      </c>
      <c r="AX71" s="2" t="s">
        <v>985</v>
      </c>
      <c r="AY71" s="2" t="s">
        <v>986</v>
      </c>
      <c r="AZ71" s="2" t="s">
        <v>986</v>
      </c>
      <c r="BA71" s="2" t="s">
        <v>987</v>
      </c>
      <c r="BB71" s="2" t="s">
        <v>20</v>
      </c>
      <c r="BE71" s="2" t="s">
        <v>988</v>
      </c>
      <c r="BF71" s="2" t="s">
        <v>989</v>
      </c>
    </row>
    <row r="72" spans="1:58" ht="39.75" customHeight="1" x14ac:dyDescent="0.25">
      <c r="A72" s="7" t="s">
        <v>5</v>
      </c>
      <c r="B72" s="1" t="s">
        <v>0</v>
      </c>
      <c r="C72" s="1" t="s">
        <v>1</v>
      </c>
      <c r="D72" s="1" t="s">
        <v>990</v>
      </c>
      <c r="E72" s="1" t="s">
        <v>991</v>
      </c>
      <c r="F72" s="1" t="s">
        <v>992</v>
      </c>
      <c r="H72" s="2" t="s">
        <v>5</v>
      </c>
      <c r="I72" s="2" t="s">
        <v>6</v>
      </c>
      <c r="J72" s="2" t="s">
        <v>5</v>
      </c>
      <c r="K72" s="2" t="s">
        <v>5</v>
      </c>
      <c r="L72" s="2" t="s">
        <v>7</v>
      </c>
      <c r="M72" s="1" t="s">
        <v>993</v>
      </c>
      <c r="N72" s="1" t="s">
        <v>994</v>
      </c>
      <c r="O72" s="2" t="s">
        <v>995</v>
      </c>
      <c r="Q72" s="2" t="s">
        <v>60</v>
      </c>
      <c r="R72" s="2" t="s">
        <v>277</v>
      </c>
      <c r="S72" s="1" t="s">
        <v>996</v>
      </c>
      <c r="T72" s="2" t="s">
        <v>13</v>
      </c>
      <c r="U72" s="3">
        <v>2</v>
      </c>
      <c r="V72" s="3">
        <v>2</v>
      </c>
      <c r="W72" s="4" t="s">
        <v>997</v>
      </c>
      <c r="X72" s="4" t="s">
        <v>997</v>
      </c>
      <c r="Y72" s="4" t="s">
        <v>753</v>
      </c>
      <c r="Z72" s="4" t="s">
        <v>753</v>
      </c>
      <c r="AA72" s="3">
        <v>465</v>
      </c>
      <c r="AB72" s="3">
        <v>396</v>
      </c>
      <c r="AC72" s="3">
        <v>405</v>
      </c>
      <c r="AD72" s="3">
        <v>3</v>
      </c>
      <c r="AE72" s="9">
        <v>3</v>
      </c>
      <c r="AF72" s="9">
        <v>15</v>
      </c>
      <c r="AG72" s="9">
        <v>15</v>
      </c>
      <c r="AH72" s="3">
        <v>5</v>
      </c>
      <c r="AI72" s="3">
        <v>5</v>
      </c>
      <c r="AJ72" s="3">
        <v>3</v>
      </c>
      <c r="AK72" s="3">
        <v>3</v>
      </c>
      <c r="AL72" s="3">
        <v>10</v>
      </c>
      <c r="AM72" s="3">
        <v>10</v>
      </c>
      <c r="AN72" s="3">
        <v>2</v>
      </c>
      <c r="AO72" s="3">
        <v>2</v>
      </c>
      <c r="AP72" s="3">
        <v>0</v>
      </c>
      <c r="AQ72" s="3">
        <v>0</v>
      </c>
      <c r="AR72" s="2" t="s">
        <v>5</v>
      </c>
      <c r="AS72" s="2" t="s">
        <v>46</v>
      </c>
      <c r="AT72" s="5" t="str">
        <f>HYPERLINK("http://catalog.hathitrust.org/Record/000184077","HathiTrust Record")</f>
        <v>HathiTrust Record</v>
      </c>
      <c r="AU72" s="5" t="str">
        <f>HYPERLINK("https://creighton-primo.hosted.exlibrisgroup.com/primo-explore/search?tab=default_tab&amp;search_scope=EVERYTHING&amp;vid=01CRU&amp;lang=en_US&amp;offset=0&amp;query=any,contains,991005126199702656","Catalog Record")</f>
        <v>Catalog Record</v>
      </c>
      <c r="AV72" s="5" t="str">
        <f>HYPERLINK("http://www.worldcat.org/oclc/7553740","WorldCat Record")</f>
        <v>WorldCat Record</v>
      </c>
      <c r="AW72" s="2" t="s">
        <v>998</v>
      </c>
      <c r="AX72" s="2" t="s">
        <v>999</v>
      </c>
      <c r="AY72" s="2" t="s">
        <v>1000</v>
      </c>
      <c r="AZ72" s="2" t="s">
        <v>1000</v>
      </c>
      <c r="BA72" s="2" t="s">
        <v>1001</v>
      </c>
      <c r="BB72" s="2" t="s">
        <v>20</v>
      </c>
      <c r="BD72" s="2" t="s">
        <v>1002</v>
      </c>
      <c r="BE72" s="2" t="s">
        <v>1003</v>
      </c>
      <c r="BF72" s="2" t="s">
        <v>1004</v>
      </c>
    </row>
    <row r="73" spans="1:58" ht="39.75" customHeight="1" x14ac:dyDescent="0.25">
      <c r="A73" s="7" t="s">
        <v>5</v>
      </c>
      <c r="B73" s="1" t="s">
        <v>0</v>
      </c>
      <c r="C73" s="1" t="s">
        <v>1</v>
      </c>
      <c r="D73" s="1" t="s">
        <v>1005</v>
      </c>
      <c r="E73" s="1" t="s">
        <v>1006</v>
      </c>
      <c r="F73" s="1" t="s">
        <v>1007</v>
      </c>
      <c r="H73" s="2" t="s">
        <v>5</v>
      </c>
      <c r="I73" s="2" t="s">
        <v>6</v>
      </c>
      <c r="J73" s="2" t="s">
        <v>5</v>
      </c>
      <c r="K73" s="2" t="s">
        <v>5</v>
      </c>
      <c r="L73" s="2" t="s">
        <v>7</v>
      </c>
      <c r="M73" s="1" t="s">
        <v>1008</v>
      </c>
      <c r="N73" s="1" t="s">
        <v>1009</v>
      </c>
      <c r="O73" s="2" t="s">
        <v>494</v>
      </c>
      <c r="P73" s="1" t="s">
        <v>1010</v>
      </c>
      <c r="Q73" s="2" t="s">
        <v>11</v>
      </c>
      <c r="R73" s="2" t="s">
        <v>28</v>
      </c>
      <c r="S73" s="1" t="s">
        <v>1011</v>
      </c>
      <c r="T73" s="2" t="s">
        <v>13</v>
      </c>
      <c r="U73" s="3">
        <v>4</v>
      </c>
      <c r="V73" s="3">
        <v>4</v>
      </c>
      <c r="W73" s="4" t="s">
        <v>1012</v>
      </c>
      <c r="X73" s="4" t="s">
        <v>1012</v>
      </c>
      <c r="Y73" s="4" t="s">
        <v>753</v>
      </c>
      <c r="Z73" s="4" t="s">
        <v>753</v>
      </c>
      <c r="AA73" s="3">
        <v>152</v>
      </c>
      <c r="AB73" s="3">
        <v>99</v>
      </c>
      <c r="AC73" s="3">
        <v>303</v>
      </c>
      <c r="AD73" s="3">
        <v>1</v>
      </c>
      <c r="AE73" s="9">
        <v>3</v>
      </c>
      <c r="AF73" s="9">
        <v>6</v>
      </c>
      <c r="AG73" s="9">
        <v>14</v>
      </c>
      <c r="AH73" s="3">
        <v>2</v>
      </c>
      <c r="AI73" s="3">
        <v>5</v>
      </c>
      <c r="AJ73" s="3">
        <v>2</v>
      </c>
      <c r="AK73" s="3">
        <v>3</v>
      </c>
      <c r="AL73" s="3">
        <v>3</v>
      </c>
      <c r="AM73" s="3">
        <v>9</v>
      </c>
      <c r="AN73" s="3">
        <v>0</v>
      </c>
      <c r="AO73" s="3">
        <v>2</v>
      </c>
      <c r="AP73" s="3">
        <v>0</v>
      </c>
      <c r="AQ73" s="3">
        <v>0</v>
      </c>
      <c r="AR73" s="2" t="s">
        <v>5</v>
      </c>
      <c r="AS73" s="2" t="s">
        <v>5</v>
      </c>
      <c r="AU73" s="5" t="str">
        <f>HYPERLINK("https://creighton-primo.hosted.exlibrisgroup.com/primo-explore/search?tab=default_tab&amp;search_scope=EVERYTHING&amp;vid=01CRU&amp;lang=en_US&amp;offset=0&amp;query=any,contains,991004742739702656","Catalog Record")</f>
        <v>Catalog Record</v>
      </c>
      <c r="AV73" s="5" t="str">
        <f>HYPERLINK("http://www.worldcat.org/oclc/4887301","WorldCat Record")</f>
        <v>WorldCat Record</v>
      </c>
      <c r="AW73" s="2" t="s">
        <v>1013</v>
      </c>
      <c r="AX73" s="2" t="s">
        <v>1014</v>
      </c>
      <c r="AY73" s="2" t="s">
        <v>1015</v>
      </c>
      <c r="AZ73" s="2" t="s">
        <v>1015</v>
      </c>
      <c r="BA73" s="2" t="s">
        <v>1016</v>
      </c>
      <c r="BB73" s="2" t="s">
        <v>20</v>
      </c>
      <c r="BD73" s="2" t="s">
        <v>1017</v>
      </c>
      <c r="BE73" s="2" t="s">
        <v>1018</v>
      </c>
      <c r="BF73" s="2" t="s">
        <v>1019</v>
      </c>
    </row>
    <row r="74" spans="1:58" ht="39.75" customHeight="1" x14ac:dyDescent="0.25">
      <c r="A74" s="7" t="s">
        <v>5</v>
      </c>
      <c r="B74" s="1" t="s">
        <v>0</v>
      </c>
      <c r="C74" s="1" t="s">
        <v>1</v>
      </c>
      <c r="D74" s="1" t="s">
        <v>1020</v>
      </c>
      <c r="E74" s="1" t="s">
        <v>1021</v>
      </c>
      <c r="F74" s="1" t="s">
        <v>1022</v>
      </c>
      <c r="H74" s="2" t="s">
        <v>5</v>
      </c>
      <c r="I74" s="2" t="s">
        <v>6</v>
      </c>
      <c r="J74" s="2" t="s">
        <v>5</v>
      </c>
      <c r="K74" s="2" t="s">
        <v>5</v>
      </c>
      <c r="L74" s="2" t="s">
        <v>7</v>
      </c>
      <c r="M74" s="1" t="s">
        <v>1023</v>
      </c>
      <c r="N74" s="1" t="s">
        <v>1024</v>
      </c>
      <c r="O74" s="2" t="s">
        <v>886</v>
      </c>
      <c r="Q74" s="2" t="s">
        <v>11</v>
      </c>
      <c r="R74" s="2" t="s">
        <v>28</v>
      </c>
      <c r="S74" s="1" t="s">
        <v>1025</v>
      </c>
      <c r="T74" s="2" t="s">
        <v>13</v>
      </c>
      <c r="U74" s="3">
        <v>2</v>
      </c>
      <c r="V74" s="3">
        <v>2</v>
      </c>
      <c r="W74" s="4" t="s">
        <v>1026</v>
      </c>
      <c r="X74" s="4" t="s">
        <v>1026</v>
      </c>
      <c r="Y74" s="4" t="s">
        <v>753</v>
      </c>
      <c r="Z74" s="4" t="s">
        <v>753</v>
      </c>
      <c r="AA74" s="3">
        <v>132</v>
      </c>
      <c r="AB74" s="3">
        <v>84</v>
      </c>
      <c r="AC74" s="3">
        <v>84</v>
      </c>
      <c r="AD74" s="3">
        <v>3</v>
      </c>
      <c r="AE74" s="9">
        <v>3</v>
      </c>
      <c r="AF74" s="9">
        <v>7</v>
      </c>
      <c r="AG74" s="9">
        <v>7</v>
      </c>
      <c r="AH74" s="3">
        <v>0</v>
      </c>
      <c r="AI74" s="3">
        <v>0</v>
      </c>
      <c r="AJ74" s="3">
        <v>2</v>
      </c>
      <c r="AK74" s="3">
        <v>2</v>
      </c>
      <c r="AL74" s="3">
        <v>4</v>
      </c>
      <c r="AM74" s="3">
        <v>4</v>
      </c>
      <c r="AN74" s="3">
        <v>2</v>
      </c>
      <c r="AO74" s="3">
        <v>2</v>
      </c>
      <c r="AP74" s="3">
        <v>0</v>
      </c>
      <c r="AQ74" s="3">
        <v>0</v>
      </c>
      <c r="AR74" s="2" t="s">
        <v>5</v>
      </c>
      <c r="AS74" s="2" t="s">
        <v>5</v>
      </c>
      <c r="AU74" s="5" t="str">
        <f>HYPERLINK("https://creighton-primo.hosted.exlibrisgroup.com/primo-explore/search?tab=default_tab&amp;search_scope=EVERYTHING&amp;vid=01CRU&amp;lang=en_US&amp;offset=0&amp;query=any,contains,991003699439702656","Catalog Record")</f>
        <v>Catalog Record</v>
      </c>
      <c r="AV74" s="5" t="str">
        <f>HYPERLINK("http://www.worldcat.org/oclc/1039156","WorldCat Record")</f>
        <v>WorldCat Record</v>
      </c>
      <c r="AW74" s="2" t="s">
        <v>1027</v>
      </c>
      <c r="AX74" s="2" t="s">
        <v>1028</v>
      </c>
      <c r="AY74" s="2" t="s">
        <v>1029</v>
      </c>
      <c r="AZ74" s="2" t="s">
        <v>1029</v>
      </c>
      <c r="BA74" s="2" t="s">
        <v>1030</v>
      </c>
      <c r="BB74" s="2" t="s">
        <v>20</v>
      </c>
      <c r="BE74" s="2" t="s">
        <v>1031</v>
      </c>
      <c r="BF74" s="2" t="s">
        <v>1032</v>
      </c>
    </row>
    <row r="75" spans="1:58" ht="39.75" customHeight="1" x14ac:dyDescent="0.25">
      <c r="A75" s="7" t="s">
        <v>5</v>
      </c>
      <c r="B75" s="1" t="s">
        <v>0</v>
      </c>
      <c r="C75" s="1" t="s">
        <v>1</v>
      </c>
      <c r="D75" s="1" t="s">
        <v>1033</v>
      </c>
      <c r="E75" s="1" t="s">
        <v>1034</v>
      </c>
      <c r="F75" s="1" t="s">
        <v>1035</v>
      </c>
      <c r="H75" s="2" t="s">
        <v>5</v>
      </c>
      <c r="I75" s="2" t="s">
        <v>6</v>
      </c>
      <c r="J75" s="2" t="s">
        <v>5</v>
      </c>
      <c r="K75" s="2" t="s">
        <v>5</v>
      </c>
      <c r="L75" s="2" t="s">
        <v>7</v>
      </c>
      <c r="M75" s="1" t="s">
        <v>190</v>
      </c>
      <c r="N75" s="1" t="s">
        <v>1036</v>
      </c>
      <c r="O75" s="2" t="s">
        <v>1037</v>
      </c>
      <c r="Q75" s="2" t="s">
        <v>60</v>
      </c>
      <c r="R75" s="2" t="s">
        <v>193</v>
      </c>
      <c r="T75" s="2" t="s">
        <v>13</v>
      </c>
      <c r="U75" s="3">
        <v>1</v>
      </c>
      <c r="V75" s="3">
        <v>1</v>
      </c>
      <c r="W75" s="4" t="s">
        <v>1026</v>
      </c>
      <c r="X75" s="4" t="s">
        <v>1026</v>
      </c>
      <c r="Y75" s="4" t="s">
        <v>1038</v>
      </c>
      <c r="Z75" s="4" t="s">
        <v>1038</v>
      </c>
      <c r="AA75" s="3">
        <v>414</v>
      </c>
      <c r="AB75" s="3">
        <v>325</v>
      </c>
      <c r="AC75" s="3">
        <v>445</v>
      </c>
      <c r="AD75" s="3">
        <v>4</v>
      </c>
      <c r="AE75" s="9">
        <v>5</v>
      </c>
      <c r="AF75" s="9">
        <v>25</v>
      </c>
      <c r="AG75" s="9">
        <v>30</v>
      </c>
      <c r="AH75" s="3">
        <v>9</v>
      </c>
      <c r="AI75" s="3">
        <v>10</v>
      </c>
      <c r="AJ75" s="3">
        <v>6</v>
      </c>
      <c r="AK75" s="3">
        <v>7</v>
      </c>
      <c r="AL75" s="3">
        <v>14</v>
      </c>
      <c r="AM75" s="3">
        <v>17</v>
      </c>
      <c r="AN75" s="3">
        <v>2</v>
      </c>
      <c r="AO75" s="3">
        <v>3</v>
      </c>
      <c r="AP75" s="3">
        <v>0</v>
      </c>
      <c r="AQ75" s="3">
        <v>0</v>
      </c>
      <c r="AR75" s="2" t="s">
        <v>5</v>
      </c>
      <c r="AS75" s="2" t="s">
        <v>46</v>
      </c>
      <c r="AT75" s="5" t="str">
        <f>HYPERLINK("http://catalog.hathitrust.org/Record/001215152","HathiTrust Record")</f>
        <v>HathiTrust Record</v>
      </c>
      <c r="AU75" s="5" t="str">
        <f>HYPERLINK("https://creighton-primo.hosted.exlibrisgroup.com/primo-explore/search?tab=default_tab&amp;search_scope=EVERYTHING&amp;vid=01CRU&amp;lang=en_US&amp;offset=0&amp;query=any,contains,991003252869702656","Catalog Record")</f>
        <v>Catalog Record</v>
      </c>
      <c r="AV75" s="5" t="str">
        <f>HYPERLINK("http://www.worldcat.org/oclc/777567","WorldCat Record")</f>
        <v>WorldCat Record</v>
      </c>
      <c r="AW75" s="2" t="s">
        <v>1039</v>
      </c>
      <c r="AX75" s="2" t="s">
        <v>1040</v>
      </c>
      <c r="AY75" s="2" t="s">
        <v>1041</v>
      </c>
      <c r="AZ75" s="2" t="s">
        <v>1041</v>
      </c>
      <c r="BA75" s="2" t="s">
        <v>1042</v>
      </c>
      <c r="BB75" s="2" t="s">
        <v>20</v>
      </c>
      <c r="BE75" s="2" t="s">
        <v>1043</v>
      </c>
      <c r="BF75" s="2" t="s">
        <v>1044</v>
      </c>
    </row>
    <row r="76" spans="1:58" ht="39.75" customHeight="1" x14ac:dyDescent="0.25">
      <c r="A76" s="7" t="s">
        <v>5</v>
      </c>
      <c r="B76" s="1" t="s">
        <v>0</v>
      </c>
      <c r="C76" s="1" t="s">
        <v>1</v>
      </c>
      <c r="D76" s="1" t="s">
        <v>1045</v>
      </c>
      <c r="E76" s="1" t="s">
        <v>1046</v>
      </c>
      <c r="F76" s="1" t="s">
        <v>1047</v>
      </c>
      <c r="H76" s="2" t="s">
        <v>5</v>
      </c>
      <c r="I76" s="2" t="s">
        <v>6</v>
      </c>
      <c r="J76" s="2" t="s">
        <v>5</v>
      </c>
      <c r="K76" s="2" t="s">
        <v>5</v>
      </c>
      <c r="L76" s="2" t="s">
        <v>7</v>
      </c>
      <c r="M76" s="1" t="s">
        <v>1048</v>
      </c>
      <c r="N76" s="1" t="s">
        <v>1049</v>
      </c>
      <c r="O76" s="2" t="s">
        <v>121</v>
      </c>
      <c r="P76" s="1" t="s">
        <v>1050</v>
      </c>
      <c r="Q76" s="2" t="s">
        <v>60</v>
      </c>
      <c r="R76" s="2" t="s">
        <v>323</v>
      </c>
      <c r="S76" s="1" t="s">
        <v>1051</v>
      </c>
      <c r="T76" s="2" t="s">
        <v>13</v>
      </c>
      <c r="U76" s="3">
        <v>5</v>
      </c>
      <c r="V76" s="3">
        <v>5</v>
      </c>
      <c r="W76" s="4" t="s">
        <v>1052</v>
      </c>
      <c r="X76" s="4" t="s">
        <v>1052</v>
      </c>
      <c r="Y76" s="4" t="s">
        <v>1053</v>
      </c>
      <c r="Z76" s="4" t="s">
        <v>1053</v>
      </c>
      <c r="AA76" s="3">
        <v>79</v>
      </c>
      <c r="AB76" s="3">
        <v>53</v>
      </c>
      <c r="AC76" s="3">
        <v>866</v>
      </c>
      <c r="AD76" s="3">
        <v>1</v>
      </c>
      <c r="AE76" s="9">
        <v>8</v>
      </c>
      <c r="AF76" s="9">
        <v>2</v>
      </c>
      <c r="AG76" s="9">
        <v>43</v>
      </c>
      <c r="AH76" s="3">
        <v>1</v>
      </c>
      <c r="AI76" s="3">
        <v>15</v>
      </c>
      <c r="AJ76" s="3">
        <v>1</v>
      </c>
      <c r="AK76" s="3">
        <v>11</v>
      </c>
      <c r="AL76" s="3">
        <v>0</v>
      </c>
      <c r="AM76" s="3">
        <v>21</v>
      </c>
      <c r="AN76" s="3">
        <v>0</v>
      </c>
      <c r="AO76" s="3">
        <v>7</v>
      </c>
      <c r="AP76" s="3">
        <v>0</v>
      </c>
      <c r="AQ76" s="3">
        <v>0</v>
      </c>
      <c r="AR76" s="2" t="s">
        <v>5</v>
      </c>
      <c r="AS76" s="2" t="s">
        <v>5</v>
      </c>
      <c r="AU76" s="5" t="str">
        <f>HYPERLINK("https://creighton-primo.hosted.exlibrisgroup.com/primo-explore/search?tab=default_tab&amp;search_scope=EVERYTHING&amp;vid=01CRU&amp;lang=en_US&amp;offset=0&amp;query=any,contains,991000732349702656","Catalog Record")</f>
        <v>Catalog Record</v>
      </c>
      <c r="AV76" s="5" t="str">
        <f>HYPERLINK("http://www.worldcat.org/oclc/12742453","WorldCat Record")</f>
        <v>WorldCat Record</v>
      </c>
      <c r="AW76" s="2" t="s">
        <v>1054</v>
      </c>
      <c r="AX76" s="2" t="s">
        <v>1055</v>
      </c>
      <c r="AY76" s="2" t="s">
        <v>1056</v>
      </c>
      <c r="AZ76" s="2" t="s">
        <v>1056</v>
      </c>
      <c r="BA76" s="2" t="s">
        <v>1057</v>
      </c>
      <c r="BB76" s="2" t="s">
        <v>20</v>
      </c>
      <c r="BE76" s="2" t="s">
        <v>1058</v>
      </c>
      <c r="BF76" s="2" t="s">
        <v>1059</v>
      </c>
    </row>
    <row r="77" spans="1:58" ht="39.75" customHeight="1" x14ac:dyDescent="0.25">
      <c r="A77" s="7" t="s">
        <v>5</v>
      </c>
      <c r="B77" s="1" t="s">
        <v>0</v>
      </c>
      <c r="C77" s="1" t="s">
        <v>1</v>
      </c>
      <c r="D77" s="1" t="s">
        <v>1060</v>
      </c>
      <c r="E77" s="1" t="s">
        <v>1061</v>
      </c>
      <c r="F77" s="1" t="s">
        <v>1062</v>
      </c>
      <c r="H77" s="2" t="s">
        <v>5</v>
      </c>
      <c r="I77" s="2" t="s">
        <v>6</v>
      </c>
      <c r="J77" s="2" t="s">
        <v>5</v>
      </c>
      <c r="K77" s="2" t="s">
        <v>5</v>
      </c>
      <c r="L77" s="2" t="s">
        <v>7</v>
      </c>
      <c r="M77" s="1" t="s">
        <v>1063</v>
      </c>
      <c r="N77" s="1" t="s">
        <v>1064</v>
      </c>
      <c r="O77" s="2" t="s">
        <v>1065</v>
      </c>
      <c r="Q77" s="2" t="s">
        <v>60</v>
      </c>
      <c r="R77" s="2" t="s">
        <v>1066</v>
      </c>
      <c r="T77" s="2" t="s">
        <v>13</v>
      </c>
      <c r="U77" s="3">
        <v>5</v>
      </c>
      <c r="V77" s="3">
        <v>5</v>
      </c>
      <c r="W77" s="4" t="s">
        <v>1067</v>
      </c>
      <c r="X77" s="4" t="s">
        <v>1067</v>
      </c>
      <c r="Y77" s="4" t="s">
        <v>915</v>
      </c>
      <c r="Z77" s="4" t="s">
        <v>915</v>
      </c>
      <c r="AA77" s="3">
        <v>463</v>
      </c>
      <c r="AB77" s="3">
        <v>399</v>
      </c>
      <c r="AC77" s="3">
        <v>492</v>
      </c>
      <c r="AD77" s="3">
        <v>3</v>
      </c>
      <c r="AE77" s="9">
        <v>4</v>
      </c>
      <c r="AF77" s="9">
        <v>29</v>
      </c>
      <c r="AG77" s="9">
        <v>33</v>
      </c>
      <c r="AH77" s="3">
        <v>11</v>
      </c>
      <c r="AI77" s="3">
        <v>13</v>
      </c>
      <c r="AJ77" s="3">
        <v>8</v>
      </c>
      <c r="AK77" s="3">
        <v>9</v>
      </c>
      <c r="AL77" s="3">
        <v>16</v>
      </c>
      <c r="AM77" s="3">
        <v>17</v>
      </c>
      <c r="AN77" s="3">
        <v>2</v>
      </c>
      <c r="AO77" s="3">
        <v>3</v>
      </c>
      <c r="AP77" s="3">
        <v>0</v>
      </c>
      <c r="AQ77" s="3">
        <v>0</v>
      </c>
      <c r="AR77" s="2" t="s">
        <v>5</v>
      </c>
      <c r="AS77" s="2" t="s">
        <v>5</v>
      </c>
      <c r="AU77" s="5" t="str">
        <f>HYPERLINK("https://creighton-primo.hosted.exlibrisgroup.com/primo-explore/search?tab=default_tab&amp;search_scope=EVERYTHING&amp;vid=01CRU&amp;lang=en_US&amp;offset=0&amp;query=any,contains,991002415559702656","Catalog Record")</f>
        <v>Catalog Record</v>
      </c>
      <c r="AV77" s="5" t="str">
        <f>HYPERLINK("http://www.worldcat.org/oclc/341654","WorldCat Record")</f>
        <v>WorldCat Record</v>
      </c>
      <c r="AW77" s="2" t="s">
        <v>1068</v>
      </c>
      <c r="AX77" s="2" t="s">
        <v>1069</v>
      </c>
      <c r="AY77" s="2" t="s">
        <v>1070</v>
      </c>
      <c r="AZ77" s="2" t="s">
        <v>1070</v>
      </c>
      <c r="BA77" s="2" t="s">
        <v>1071</v>
      </c>
      <c r="BB77" s="2" t="s">
        <v>20</v>
      </c>
      <c r="BE77" s="2" t="s">
        <v>1072</v>
      </c>
      <c r="BF77" s="2" t="s">
        <v>1073</v>
      </c>
    </row>
    <row r="78" spans="1:58" ht="39.75" customHeight="1" x14ac:dyDescent="0.25">
      <c r="A78" s="7" t="s">
        <v>5</v>
      </c>
      <c r="B78" s="1" t="s">
        <v>0</v>
      </c>
      <c r="C78" s="1" t="s">
        <v>1</v>
      </c>
      <c r="D78" s="1" t="s">
        <v>1074</v>
      </c>
      <c r="E78" s="1" t="s">
        <v>1075</v>
      </c>
      <c r="F78" s="1" t="s">
        <v>1076</v>
      </c>
      <c r="H78" s="2" t="s">
        <v>5</v>
      </c>
      <c r="I78" s="2" t="s">
        <v>6</v>
      </c>
      <c r="J78" s="2" t="s">
        <v>5</v>
      </c>
      <c r="K78" s="2" t="s">
        <v>5</v>
      </c>
      <c r="L78" s="2" t="s">
        <v>7</v>
      </c>
      <c r="M78" s="1" t="s">
        <v>1077</v>
      </c>
      <c r="N78" s="1" t="s">
        <v>1078</v>
      </c>
      <c r="O78" s="2" t="s">
        <v>42</v>
      </c>
      <c r="Q78" s="2" t="s">
        <v>60</v>
      </c>
      <c r="R78" s="2" t="s">
        <v>193</v>
      </c>
      <c r="S78" s="1" t="s">
        <v>1079</v>
      </c>
      <c r="T78" s="2" t="s">
        <v>13</v>
      </c>
      <c r="U78" s="3">
        <v>2</v>
      </c>
      <c r="V78" s="3">
        <v>2</v>
      </c>
      <c r="W78" s="4" t="s">
        <v>1080</v>
      </c>
      <c r="X78" s="4" t="s">
        <v>1080</v>
      </c>
      <c r="Y78" s="4" t="s">
        <v>1081</v>
      </c>
      <c r="Z78" s="4" t="s">
        <v>1081</v>
      </c>
      <c r="AA78" s="3">
        <v>288</v>
      </c>
      <c r="AB78" s="3">
        <v>239</v>
      </c>
      <c r="AC78" s="3">
        <v>266</v>
      </c>
      <c r="AD78" s="3">
        <v>3</v>
      </c>
      <c r="AE78" s="9">
        <v>3</v>
      </c>
      <c r="AF78" s="9">
        <v>14</v>
      </c>
      <c r="AG78" s="9">
        <v>14</v>
      </c>
      <c r="AH78" s="3">
        <v>1</v>
      </c>
      <c r="AI78" s="3">
        <v>1</v>
      </c>
      <c r="AJ78" s="3">
        <v>5</v>
      </c>
      <c r="AK78" s="3">
        <v>5</v>
      </c>
      <c r="AL78" s="3">
        <v>10</v>
      </c>
      <c r="AM78" s="3">
        <v>10</v>
      </c>
      <c r="AN78" s="3">
        <v>2</v>
      </c>
      <c r="AO78" s="3">
        <v>2</v>
      </c>
      <c r="AP78" s="3">
        <v>0</v>
      </c>
      <c r="AQ78" s="3">
        <v>0</v>
      </c>
      <c r="AR78" s="2" t="s">
        <v>5</v>
      </c>
      <c r="AS78" s="2" t="s">
        <v>46</v>
      </c>
      <c r="AT78" s="5" t="str">
        <f>HYPERLINK("http://catalog.hathitrust.org/Record/007108373","HathiTrust Record")</f>
        <v>HathiTrust Record</v>
      </c>
      <c r="AU78" s="5" t="str">
        <f>HYPERLINK("https://creighton-primo.hosted.exlibrisgroup.com/primo-explore/search?tab=default_tab&amp;search_scope=EVERYTHING&amp;vid=01CRU&amp;lang=en_US&amp;offset=0&amp;query=any,contains,991001557489702656","Catalog Record")</f>
        <v>Catalog Record</v>
      </c>
      <c r="AV78" s="5" t="str">
        <f>HYPERLINK("http://www.worldcat.org/oclc/20294513","WorldCat Record")</f>
        <v>WorldCat Record</v>
      </c>
      <c r="AW78" s="2" t="s">
        <v>1082</v>
      </c>
      <c r="AX78" s="2" t="s">
        <v>1083</v>
      </c>
      <c r="AY78" s="2" t="s">
        <v>1084</v>
      </c>
      <c r="AZ78" s="2" t="s">
        <v>1084</v>
      </c>
      <c r="BA78" s="2" t="s">
        <v>1085</v>
      </c>
      <c r="BB78" s="2" t="s">
        <v>20</v>
      </c>
      <c r="BD78" s="2" t="s">
        <v>1086</v>
      </c>
      <c r="BE78" s="2" t="s">
        <v>1087</v>
      </c>
      <c r="BF78" s="2" t="s">
        <v>1088</v>
      </c>
    </row>
    <row r="79" spans="1:58" ht="39.75" customHeight="1" x14ac:dyDescent="0.25">
      <c r="A79" s="7" t="s">
        <v>5</v>
      </c>
      <c r="B79" s="1" t="s">
        <v>0</v>
      </c>
      <c r="C79" s="1" t="s">
        <v>1</v>
      </c>
      <c r="D79" s="1" t="s">
        <v>1089</v>
      </c>
      <c r="E79" s="1" t="s">
        <v>1090</v>
      </c>
      <c r="F79" s="1" t="s">
        <v>1091</v>
      </c>
      <c r="G79" s="2" t="s">
        <v>73</v>
      </c>
      <c r="H79" s="2" t="s">
        <v>46</v>
      </c>
      <c r="I79" s="2" t="s">
        <v>6</v>
      </c>
      <c r="J79" s="2" t="s">
        <v>5</v>
      </c>
      <c r="K79" s="2" t="s">
        <v>5</v>
      </c>
      <c r="L79" s="2" t="s">
        <v>7</v>
      </c>
      <c r="M79" s="1" t="s">
        <v>1092</v>
      </c>
      <c r="N79" s="1" t="s">
        <v>1093</v>
      </c>
      <c r="O79" s="2" t="s">
        <v>1094</v>
      </c>
      <c r="Q79" s="2" t="s">
        <v>11</v>
      </c>
      <c r="R79" s="2" t="s">
        <v>28</v>
      </c>
      <c r="S79" s="1" t="s">
        <v>1095</v>
      </c>
      <c r="T79" s="2" t="s">
        <v>13</v>
      </c>
      <c r="U79" s="3">
        <v>1</v>
      </c>
      <c r="V79" s="3">
        <v>2</v>
      </c>
      <c r="W79" s="4" t="s">
        <v>1096</v>
      </c>
      <c r="X79" s="4" t="s">
        <v>1096</v>
      </c>
      <c r="Y79" s="4" t="s">
        <v>1096</v>
      </c>
      <c r="Z79" s="4" t="s">
        <v>1096</v>
      </c>
      <c r="AA79" s="3">
        <v>97</v>
      </c>
      <c r="AB79" s="3">
        <v>70</v>
      </c>
      <c r="AC79" s="3">
        <v>192</v>
      </c>
      <c r="AD79" s="3">
        <v>2</v>
      </c>
      <c r="AE79" s="9">
        <v>2</v>
      </c>
      <c r="AF79" s="9">
        <v>4</v>
      </c>
      <c r="AG79" s="9">
        <v>9</v>
      </c>
      <c r="AH79" s="3">
        <v>2</v>
      </c>
      <c r="AI79" s="3">
        <v>5</v>
      </c>
      <c r="AJ79" s="3">
        <v>1</v>
      </c>
      <c r="AK79" s="3">
        <v>2</v>
      </c>
      <c r="AL79" s="3">
        <v>2</v>
      </c>
      <c r="AM79" s="3">
        <v>6</v>
      </c>
      <c r="AN79" s="3">
        <v>1</v>
      </c>
      <c r="AO79" s="3">
        <v>1</v>
      </c>
      <c r="AP79" s="3">
        <v>0</v>
      </c>
      <c r="AQ79" s="3">
        <v>0</v>
      </c>
      <c r="AR79" s="2" t="s">
        <v>5</v>
      </c>
      <c r="AS79" s="2" t="s">
        <v>5</v>
      </c>
      <c r="AU79" s="5" t="str">
        <f>HYPERLINK("https://creighton-primo.hosted.exlibrisgroup.com/primo-explore/search?tab=default_tab&amp;search_scope=EVERYTHING&amp;vid=01CRU&amp;lang=en_US&amp;offset=0&amp;query=any,contains,991003348599702656","Catalog Record")</f>
        <v>Catalog Record</v>
      </c>
      <c r="AV79" s="5" t="str">
        <f>HYPERLINK("http://www.worldcat.org/oclc/5139993","WorldCat Record")</f>
        <v>WorldCat Record</v>
      </c>
      <c r="AW79" s="2" t="s">
        <v>1097</v>
      </c>
      <c r="AX79" s="2" t="s">
        <v>1098</v>
      </c>
      <c r="AY79" s="2" t="s">
        <v>1099</v>
      </c>
      <c r="AZ79" s="2" t="s">
        <v>1099</v>
      </c>
      <c r="BA79" s="2" t="s">
        <v>1100</v>
      </c>
      <c r="BB79" s="2" t="s">
        <v>20</v>
      </c>
      <c r="BE79" s="2" t="s">
        <v>1101</v>
      </c>
      <c r="BF79" s="2" t="s">
        <v>1102</v>
      </c>
    </row>
    <row r="80" spans="1:58" ht="39.75" customHeight="1" x14ac:dyDescent="0.25">
      <c r="A80" s="7" t="s">
        <v>5</v>
      </c>
      <c r="B80" s="1" t="s">
        <v>0</v>
      </c>
      <c r="C80" s="1" t="s">
        <v>1</v>
      </c>
      <c r="D80" s="1" t="s">
        <v>1089</v>
      </c>
      <c r="E80" s="1" t="s">
        <v>1090</v>
      </c>
      <c r="F80" s="1" t="s">
        <v>1091</v>
      </c>
      <c r="G80" s="2" t="s">
        <v>101</v>
      </c>
      <c r="H80" s="2" t="s">
        <v>46</v>
      </c>
      <c r="I80" s="2" t="s">
        <v>6</v>
      </c>
      <c r="J80" s="2" t="s">
        <v>5</v>
      </c>
      <c r="K80" s="2" t="s">
        <v>5</v>
      </c>
      <c r="L80" s="2" t="s">
        <v>7</v>
      </c>
      <c r="M80" s="1" t="s">
        <v>1092</v>
      </c>
      <c r="N80" s="1" t="s">
        <v>1093</v>
      </c>
      <c r="O80" s="2" t="s">
        <v>1094</v>
      </c>
      <c r="Q80" s="2" t="s">
        <v>11</v>
      </c>
      <c r="R80" s="2" t="s">
        <v>28</v>
      </c>
      <c r="S80" s="1" t="s">
        <v>1095</v>
      </c>
      <c r="T80" s="2" t="s">
        <v>13</v>
      </c>
      <c r="U80" s="3">
        <v>1</v>
      </c>
      <c r="V80" s="3">
        <v>2</v>
      </c>
      <c r="W80" s="4" t="s">
        <v>1096</v>
      </c>
      <c r="X80" s="4" t="s">
        <v>1096</v>
      </c>
      <c r="Y80" s="4" t="s">
        <v>1096</v>
      </c>
      <c r="Z80" s="4" t="s">
        <v>1096</v>
      </c>
      <c r="AA80" s="3">
        <v>97</v>
      </c>
      <c r="AB80" s="3">
        <v>70</v>
      </c>
      <c r="AC80" s="3">
        <v>192</v>
      </c>
      <c r="AD80" s="3">
        <v>2</v>
      </c>
      <c r="AE80" s="9">
        <v>2</v>
      </c>
      <c r="AF80" s="9">
        <v>4</v>
      </c>
      <c r="AG80" s="9">
        <v>9</v>
      </c>
      <c r="AH80" s="3">
        <v>2</v>
      </c>
      <c r="AI80" s="3">
        <v>5</v>
      </c>
      <c r="AJ80" s="3">
        <v>1</v>
      </c>
      <c r="AK80" s="3">
        <v>2</v>
      </c>
      <c r="AL80" s="3">
        <v>2</v>
      </c>
      <c r="AM80" s="3">
        <v>6</v>
      </c>
      <c r="AN80" s="3">
        <v>1</v>
      </c>
      <c r="AO80" s="3">
        <v>1</v>
      </c>
      <c r="AP80" s="3">
        <v>0</v>
      </c>
      <c r="AQ80" s="3">
        <v>0</v>
      </c>
      <c r="AR80" s="2" t="s">
        <v>5</v>
      </c>
      <c r="AS80" s="2" t="s">
        <v>5</v>
      </c>
      <c r="AU80" s="5" t="str">
        <f>HYPERLINK("https://creighton-primo.hosted.exlibrisgroup.com/primo-explore/search?tab=default_tab&amp;search_scope=EVERYTHING&amp;vid=01CRU&amp;lang=en_US&amp;offset=0&amp;query=any,contains,991003348599702656","Catalog Record")</f>
        <v>Catalog Record</v>
      </c>
      <c r="AV80" s="5" t="str">
        <f>HYPERLINK("http://www.worldcat.org/oclc/5139993","WorldCat Record")</f>
        <v>WorldCat Record</v>
      </c>
      <c r="AW80" s="2" t="s">
        <v>1097</v>
      </c>
      <c r="AX80" s="2" t="s">
        <v>1098</v>
      </c>
      <c r="AY80" s="2" t="s">
        <v>1099</v>
      </c>
      <c r="AZ80" s="2" t="s">
        <v>1099</v>
      </c>
      <c r="BA80" s="2" t="s">
        <v>1100</v>
      </c>
      <c r="BB80" s="2" t="s">
        <v>20</v>
      </c>
      <c r="BE80" s="2" t="s">
        <v>1103</v>
      </c>
      <c r="BF80" s="2" t="s">
        <v>1104</v>
      </c>
    </row>
    <row r="81" spans="1:58" ht="39.75" customHeight="1" x14ac:dyDescent="0.25">
      <c r="A81" s="7" t="s">
        <v>5</v>
      </c>
      <c r="B81" s="1" t="s">
        <v>0</v>
      </c>
      <c r="C81" s="1" t="s">
        <v>1</v>
      </c>
      <c r="D81" s="1" t="s">
        <v>1105</v>
      </c>
      <c r="E81" s="1" t="s">
        <v>1106</v>
      </c>
      <c r="F81" s="1" t="s">
        <v>1107</v>
      </c>
      <c r="H81" s="2" t="s">
        <v>5</v>
      </c>
      <c r="I81" s="2" t="s">
        <v>6</v>
      </c>
      <c r="J81" s="2" t="s">
        <v>5</v>
      </c>
      <c r="K81" s="2" t="s">
        <v>5</v>
      </c>
      <c r="L81" s="2" t="s">
        <v>7</v>
      </c>
      <c r="M81" s="1" t="s">
        <v>1108</v>
      </c>
      <c r="N81" s="1" t="s">
        <v>1109</v>
      </c>
      <c r="O81" s="2" t="s">
        <v>901</v>
      </c>
      <c r="Q81" s="2" t="s">
        <v>60</v>
      </c>
      <c r="R81" s="2" t="s">
        <v>1110</v>
      </c>
      <c r="T81" s="2" t="s">
        <v>13</v>
      </c>
      <c r="U81" s="3">
        <v>2</v>
      </c>
      <c r="V81" s="3">
        <v>2</v>
      </c>
      <c r="W81" s="4" t="s">
        <v>279</v>
      </c>
      <c r="X81" s="4" t="s">
        <v>279</v>
      </c>
      <c r="Y81" s="4" t="s">
        <v>340</v>
      </c>
      <c r="Z81" s="4" t="s">
        <v>340</v>
      </c>
      <c r="AA81" s="3">
        <v>503</v>
      </c>
      <c r="AB81" s="3">
        <v>401</v>
      </c>
      <c r="AC81" s="3">
        <v>530</v>
      </c>
      <c r="AD81" s="3">
        <v>4</v>
      </c>
      <c r="AE81" s="9">
        <v>4</v>
      </c>
      <c r="AF81" s="9">
        <v>26</v>
      </c>
      <c r="AG81" s="9">
        <v>31</v>
      </c>
      <c r="AH81" s="3">
        <v>4</v>
      </c>
      <c r="AI81" s="3">
        <v>8</v>
      </c>
      <c r="AJ81" s="3">
        <v>7</v>
      </c>
      <c r="AK81" s="3">
        <v>9</v>
      </c>
      <c r="AL81" s="3">
        <v>17</v>
      </c>
      <c r="AM81" s="3">
        <v>17</v>
      </c>
      <c r="AN81" s="3">
        <v>3</v>
      </c>
      <c r="AO81" s="3">
        <v>3</v>
      </c>
      <c r="AP81" s="3">
        <v>0</v>
      </c>
      <c r="AQ81" s="3">
        <v>0</v>
      </c>
      <c r="AR81" s="2" t="s">
        <v>5</v>
      </c>
      <c r="AS81" s="2" t="s">
        <v>46</v>
      </c>
      <c r="AT81" s="5" t="str">
        <f>HYPERLINK("http://catalog.hathitrust.org/Record/001203968","HathiTrust Record")</f>
        <v>HathiTrust Record</v>
      </c>
      <c r="AU81" s="5" t="str">
        <f>HYPERLINK("https://creighton-primo.hosted.exlibrisgroup.com/primo-explore/search?tab=default_tab&amp;search_scope=EVERYTHING&amp;vid=01CRU&amp;lang=en_US&amp;offset=0&amp;query=any,contains,991002406519702656","Catalog Record")</f>
        <v>Catalog Record</v>
      </c>
      <c r="AV81" s="5" t="str">
        <f>HYPERLINK("http://www.worldcat.org/oclc/338575","WorldCat Record")</f>
        <v>WorldCat Record</v>
      </c>
      <c r="AW81" s="2" t="s">
        <v>1111</v>
      </c>
      <c r="AX81" s="2" t="s">
        <v>1112</v>
      </c>
      <c r="AY81" s="2" t="s">
        <v>1113</v>
      </c>
      <c r="AZ81" s="2" t="s">
        <v>1113</v>
      </c>
      <c r="BA81" s="2" t="s">
        <v>1114</v>
      </c>
      <c r="BB81" s="2" t="s">
        <v>20</v>
      </c>
      <c r="BD81" s="2" t="s">
        <v>1115</v>
      </c>
      <c r="BE81" s="2" t="s">
        <v>1116</v>
      </c>
      <c r="BF81" s="2" t="s">
        <v>1117</v>
      </c>
    </row>
    <row r="82" spans="1:58" ht="39.75" customHeight="1" x14ac:dyDescent="0.25">
      <c r="A82" s="7" t="s">
        <v>5</v>
      </c>
      <c r="B82" s="1" t="s">
        <v>0</v>
      </c>
      <c r="C82" s="1" t="s">
        <v>1</v>
      </c>
      <c r="D82" s="1" t="s">
        <v>1118</v>
      </c>
      <c r="E82" s="1" t="s">
        <v>1119</v>
      </c>
      <c r="F82" s="1" t="s">
        <v>1120</v>
      </c>
      <c r="H82" s="2" t="s">
        <v>5</v>
      </c>
      <c r="I82" s="2" t="s">
        <v>6</v>
      </c>
      <c r="J82" s="2" t="s">
        <v>5</v>
      </c>
      <c r="K82" s="2" t="s">
        <v>5</v>
      </c>
      <c r="L82" s="2" t="s">
        <v>7</v>
      </c>
      <c r="M82" s="1" t="s">
        <v>1121</v>
      </c>
      <c r="N82" s="1" t="s">
        <v>1122</v>
      </c>
      <c r="O82" s="2" t="s">
        <v>494</v>
      </c>
      <c r="Q82" s="2" t="s">
        <v>60</v>
      </c>
      <c r="R82" s="2" t="s">
        <v>1123</v>
      </c>
      <c r="T82" s="2" t="s">
        <v>13</v>
      </c>
      <c r="U82" s="3">
        <v>2</v>
      </c>
      <c r="V82" s="3">
        <v>2</v>
      </c>
      <c r="W82" s="4" t="s">
        <v>1124</v>
      </c>
      <c r="X82" s="4" t="s">
        <v>1124</v>
      </c>
      <c r="Y82" s="4" t="s">
        <v>753</v>
      </c>
      <c r="Z82" s="4" t="s">
        <v>753</v>
      </c>
      <c r="AA82" s="3">
        <v>59</v>
      </c>
      <c r="AB82" s="3">
        <v>51</v>
      </c>
      <c r="AC82" s="3">
        <v>221</v>
      </c>
      <c r="AD82" s="3">
        <v>1</v>
      </c>
      <c r="AE82" s="9">
        <v>2</v>
      </c>
      <c r="AF82" s="9">
        <v>2</v>
      </c>
      <c r="AG82" s="9">
        <v>10</v>
      </c>
      <c r="AH82" s="3">
        <v>0</v>
      </c>
      <c r="AI82" s="3">
        <v>2</v>
      </c>
      <c r="AJ82" s="3">
        <v>1</v>
      </c>
      <c r="AK82" s="3">
        <v>3</v>
      </c>
      <c r="AL82" s="3">
        <v>2</v>
      </c>
      <c r="AM82" s="3">
        <v>7</v>
      </c>
      <c r="AN82" s="3">
        <v>0</v>
      </c>
      <c r="AO82" s="3">
        <v>1</v>
      </c>
      <c r="AP82" s="3">
        <v>0</v>
      </c>
      <c r="AQ82" s="3">
        <v>0</v>
      </c>
      <c r="AR82" s="2" t="s">
        <v>5</v>
      </c>
      <c r="AS82" s="2" t="s">
        <v>5</v>
      </c>
      <c r="AU82" s="5" t="str">
        <f>HYPERLINK("https://creighton-primo.hosted.exlibrisgroup.com/primo-explore/search?tab=default_tab&amp;search_scope=EVERYTHING&amp;vid=01CRU&amp;lang=en_US&amp;offset=0&amp;query=any,contains,991004573319702656","Catalog Record")</f>
        <v>Catalog Record</v>
      </c>
      <c r="AV82" s="5" t="str">
        <f>HYPERLINK("http://www.worldcat.org/oclc/4036769","WorldCat Record")</f>
        <v>WorldCat Record</v>
      </c>
      <c r="AW82" s="2" t="s">
        <v>1125</v>
      </c>
      <c r="AX82" s="2" t="s">
        <v>1126</v>
      </c>
      <c r="AY82" s="2" t="s">
        <v>1127</v>
      </c>
      <c r="AZ82" s="2" t="s">
        <v>1127</v>
      </c>
      <c r="BA82" s="2" t="s">
        <v>1128</v>
      </c>
      <c r="BB82" s="2" t="s">
        <v>20</v>
      </c>
      <c r="BD82" s="2" t="s">
        <v>1129</v>
      </c>
      <c r="BE82" s="2" t="s">
        <v>1130</v>
      </c>
      <c r="BF82" s="2" t="s">
        <v>1131</v>
      </c>
    </row>
    <row r="83" spans="1:58" ht="39.75" customHeight="1" x14ac:dyDescent="0.25">
      <c r="A83" s="7" t="s">
        <v>5</v>
      </c>
      <c r="B83" s="1" t="s">
        <v>0</v>
      </c>
      <c r="C83" s="1" t="s">
        <v>1</v>
      </c>
      <c r="D83" s="1" t="s">
        <v>1132</v>
      </c>
      <c r="E83" s="1" t="s">
        <v>1133</v>
      </c>
      <c r="F83" s="1" t="s">
        <v>1134</v>
      </c>
      <c r="H83" s="2" t="s">
        <v>5</v>
      </c>
      <c r="I83" s="2" t="s">
        <v>6</v>
      </c>
      <c r="J83" s="2" t="s">
        <v>5</v>
      </c>
      <c r="K83" s="2" t="s">
        <v>5</v>
      </c>
      <c r="L83" s="2" t="s">
        <v>7</v>
      </c>
      <c r="M83" s="1" t="s">
        <v>1135</v>
      </c>
      <c r="N83" s="1" t="s">
        <v>1136</v>
      </c>
      <c r="O83" s="2" t="s">
        <v>421</v>
      </c>
      <c r="Q83" s="2" t="s">
        <v>60</v>
      </c>
      <c r="R83" s="2" t="s">
        <v>193</v>
      </c>
      <c r="S83" s="1" t="s">
        <v>1137</v>
      </c>
      <c r="T83" s="2" t="s">
        <v>13</v>
      </c>
      <c r="U83" s="3">
        <v>2</v>
      </c>
      <c r="V83" s="3">
        <v>2</v>
      </c>
      <c r="W83" s="4" t="s">
        <v>1138</v>
      </c>
      <c r="X83" s="4" t="s">
        <v>1138</v>
      </c>
      <c r="Y83" s="4" t="s">
        <v>753</v>
      </c>
      <c r="Z83" s="4" t="s">
        <v>753</v>
      </c>
      <c r="AA83" s="3">
        <v>657</v>
      </c>
      <c r="AB83" s="3">
        <v>477</v>
      </c>
      <c r="AC83" s="3">
        <v>491</v>
      </c>
      <c r="AD83" s="3">
        <v>3</v>
      </c>
      <c r="AE83" s="9">
        <v>3</v>
      </c>
      <c r="AF83" s="9">
        <v>30</v>
      </c>
      <c r="AG83" s="9">
        <v>30</v>
      </c>
      <c r="AH83" s="3">
        <v>11</v>
      </c>
      <c r="AI83" s="3">
        <v>11</v>
      </c>
      <c r="AJ83" s="3">
        <v>9</v>
      </c>
      <c r="AK83" s="3">
        <v>9</v>
      </c>
      <c r="AL83" s="3">
        <v>16</v>
      </c>
      <c r="AM83" s="3">
        <v>16</v>
      </c>
      <c r="AN83" s="3">
        <v>2</v>
      </c>
      <c r="AO83" s="3">
        <v>2</v>
      </c>
      <c r="AP83" s="3">
        <v>0</v>
      </c>
      <c r="AQ83" s="3">
        <v>0</v>
      </c>
      <c r="AR83" s="2" t="s">
        <v>5</v>
      </c>
      <c r="AS83" s="2" t="s">
        <v>46</v>
      </c>
      <c r="AT83" s="5" t="str">
        <f>HYPERLINK("http://catalog.hathitrust.org/Record/000164094","HathiTrust Record")</f>
        <v>HathiTrust Record</v>
      </c>
      <c r="AU83" s="5" t="str">
        <f>HYPERLINK("https://creighton-primo.hosted.exlibrisgroup.com/primo-explore/search?tab=default_tab&amp;search_scope=EVERYTHING&amp;vid=01CRU&amp;lang=en_US&amp;offset=0&amp;query=any,contains,991000360679702656","Catalog Record")</f>
        <v>Catalog Record</v>
      </c>
      <c r="AV83" s="5" t="str">
        <f>HYPERLINK("http://www.worldcat.org/oclc/10362397","WorldCat Record")</f>
        <v>WorldCat Record</v>
      </c>
      <c r="AW83" s="2" t="s">
        <v>1139</v>
      </c>
      <c r="AX83" s="2" t="s">
        <v>1140</v>
      </c>
      <c r="AY83" s="2" t="s">
        <v>1141</v>
      </c>
      <c r="AZ83" s="2" t="s">
        <v>1141</v>
      </c>
      <c r="BA83" s="2" t="s">
        <v>1142</v>
      </c>
      <c r="BB83" s="2" t="s">
        <v>20</v>
      </c>
      <c r="BD83" s="2" t="s">
        <v>1143</v>
      </c>
      <c r="BE83" s="2" t="s">
        <v>1144</v>
      </c>
      <c r="BF83" s="2" t="s">
        <v>1145</v>
      </c>
    </row>
    <row r="84" spans="1:58" ht="39.75" customHeight="1" x14ac:dyDescent="0.25">
      <c r="A84" s="7" t="s">
        <v>5</v>
      </c>
      <c r="B84" s="1" t="s">
        <v>0</v>
      </c>
      <c r="C84" s="1" t="s">
        <v>1</v>
      </c>
      <c r="D84" s="1" t="s">
        <v>1146</v>
      </c>
      <c r="E84" s="1" t="s">
        <v>1147</v>
      </c>
      <c r="F84" s="1" t="s">
        <v>1148</v>
      </c>
      <c r="H84" s="2" t="s">
        <v>5</v>
      </c>
      <c r="I84" s="2" t="s">
        <v>6</v>
      </c>
      <c r="J84" s="2" t="s">
        <v>5</v>
      </c>
      <c r="K84" s="2" t="s">
        <v>5</v>
      </c>
      <c r="L84" s="2" t="s">
        <v>7</v>
      </c>
      <c r="M84" s="1" t="s">
        <v>1149</v>
      </c>
      <c r="N84" s="1" t="s">
        <v>1150</v>
      </c>
      <c r="O84" s="2" t="s">
        <v>121</v>
      </c>
      <c r="Q84" s="2" t="s">
        <v>1151</v>
      </c>
      <c r="R84" s="2" t="s">
        <v>1152</v>
      </c>
      <c r="S84" s="1" t="s">
        <v>1153</v>
      </c>
      <c r="T84" s="2" t="s">
        <v>13</v>
      </c>
      <c r="U84" s="3">
        <v>1</v>
      </c>
      <c r="V84" s="3">
        <v>1</v>
      </c>
      <c r="W84" s="4" t="s">
        <v>1154</v>
      </c>
      <c r="X84" s="4" t="s">
        <v>1154</v>
      </c>
      <c r="Y84" s="4" t="s">
        <v>1154</v>
      </c>
      <c r="Z84" s="4" t="s">
        <v>1154</v>
      </c>
      <c r="AA84" s="3">
        <v>7</v>
      </c>
      <c r="AB84" s="3">
        <v>3</v>
      </c>
      <c r="AC84" s="3">
        <v>3</v>
      </c>
      <c r="AD84" s="3">
        <v>1</v>
      </c>
      <c r="AE84" s="9">
        <v>1</v>
      </c>
      <c r="AF84" s="9">
        <v>0</v>
      </c>
      <c r="AG84" s="9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2" t="s">
        <v>5</v>
      </c>
      <c r="AS84" s="2" t="s">
        <v>5</v>
      </c>
      <c r="AU84" s="5" t="str">
        <f>HYPERLINK("https://creighton-primo.hosted.exlibrisgroup.com/primo-explore/search?tab=default_tab&amp;search_scope=EVERYTHING&amp;vid=01CRU&amp;lang=en_US&amp;offset=0&amp;query=any,contains,991003846439702656","Catalog Record")</f>
        <v>Catalog Record</v>
      </c>
      <c r="AV84" s="5" t="str">
        <f>HYPERLINK("http://www.worldcat.org/oclc/45246816","WorldCat Record")</f>
        <v>WorldCat Record</v>
      </c>
      <c r="AW84" s="2" t="s">
        <v>1155</v>
      </c>
      <c r="AX84" s="2" t="s">
        <v>1156</v>
      </c>
      <c r="AY84" s="2" t="s">
        <v>1157</v>
      </c>
      <c r="AZ84" s="2" t="s">
        <v>1157</v>
      </c>
      <c r="BA84" s="2" t="s">
        <v>1158</v>
      </c>
      <c r="BB84" s="2" t="s">
        <v>20</v>
      </c>
      <c r="BD84" s="2" t="s">
        <v>1159</v>
      </c>
      <c r="BE84" s="2" t="s">
        <v>1160</v>
      </c>
      <c r="BF84" s="2" t="s">
        <v>1161</v>
      </c>
    </row>
    <row r="85" spans="1:58" ht="39.75" customHeight="1" x14ac:dyDescent="0.25">
      <c r="A85" s="7" t="s">
        <v>5</v>
      </c>
      <c r="B85" s="1" t="s">
        <v>0</v>
      </c>
      <c r="C85" s="1" t="s">
        <v>1</v>
      </c>
      <c r="D85" s="1" t="s">
        <v>1162</v>
      </c>
      <c r="E85" s="1" t="s">
        <v>1163</v>
      </c>
      <c r="F85" s="1" t="s">
        <v>1164</v>
      </c>
      <c r="H85" s="2" t="s">
        <v>5</v>
      </c>
      <c r="I85" s="2" t="s">
        <v>6</v>
      </c>
      <c r="J85" s="2" t="s">
        <v>5</v>
      </c>
      <c r="K85" s="2" t="s">
        <v>46</v>
      </c>
      <c r="L85" s="2" t="s">
        <v>7</v>
      </c>
      <c r="M85" s="1" t="s">
        <v>1165</v>
      </c>
      <c r="N85" s="1" t="s">
        <v>1166</v>
      </c>
      <c r="O85" s="2" t="s">
        <v>584</v>
      </c>
      <c r="Q85" s="2" t="s">
        <v>11</v>
      </c>
      <c r="R85" s="2" t="s">
        <v>234</v>
      </c>
      <c r="S85" s="1" t="s">
        <v>1167</v>
      </c>
      <c r="T85" s="2" t="s">
        <v>13</v>
      </c>
      <c r="U85" s="3">
        <v>1</v>
      </c>
      <c r="V85" s="3">
        <v>1</v>
      </c>
      <c r="W85" s="4" t="s">
        <v>92</v>
      </c>
      <c r="X85" s="4" t="s">
        <v>92</v>
      </c>
      <c r="Y85" s="4" t="s">
        <v>1168</v>
      </c>
      <c r="Z85" s="4" t="s">
        <v>1168</v>
      </c>
      <c r="AA85" s="3">
        <v>180</v>
      </c>
      <c r="AB85" s="3">
        <v>162</v>
      </c>
      <c r="AC85" s="3">
        <v>556</v>
      </c>
      <c r="AD85" s="3">
        <v>3</v>
      </c>
      <c r="AE85" s="9">
        <v>5</v>
      </c>
      <c r="AF85" s="9">
        <v>9</v>
      </c>
      <c r="AG85" s="9">
        <v>35</v>
      </c>
      <c r="AH85" s="3">
        <v>1</v>
      </c>
      <c r="AI85" s="3">
        <v>12</v>
      </c>
      <c r="AJ85" s="3">
        <v>3</v>
      </c>
      <c r="AK85" s="3">
        <v>10</v>
      </c>
      <c r="AL85" s="3">
        <v>4</v>
      </c>
      <c r="AM85" s="3">
        <v>19</v>
      </c>
      <c r="AN85" s="3">
        <v>2</v>
      </c>
      <c r="AO85" s="3">
        <v>4</v>
      </c>
      <c r="AP85" s="3">
        <v>0</v>
      </c>
      <c r="AQ85" s="3">
        <v>0</v>
      </c>
      <c r="AR85" s="2" t="s">
        <v>5</v>
      </c>
      <c r="AS85" s="2" t="s">
        <v>5</v>
      </c>
      <c r="AU85" s="5" t="str">
        <f>HYPERLINK("https://creighton-primo.hosted.exlibrisgroup.com/primo-explore/search?tab=default_tab&amp;search_scope=EVERYTHING&amp;vid=01CRU&amp;lang=en_US&amp;offset=0&amp;query=any,contains,991003133729702656","Catalog Record")</f>
        <v>Catalog Record</v>
      </c>
      <c r="AV85" s="5" t="str">
        <f>HYPERLINK("http://www.worldcat.org/oclc/676111","WorldCat Record")</f>
        <v>WorldCat Record</v>
      </c>
      <c r="AW85" s="2" t="s">
        <v>1169</v>
      </c>
      <c r="AX85" s="2" t="s">
        <v>1170</v>
      </c>
      <c r="AY85" s="2" t="s">
        <v>1171</v>
      </c>
      <c r="AZ85" s="2" t="s">
        <v>1171</v>
      </c>
      <c r="BA85" s="2" t="s">
        <v>1172</v>
      </c>
      <c r="BB85" s="2" t="s">
        <v>20</v>
      </c>
      <c r="BE85" s="2" t="s">
        <v>1173</v>
      </c>
      <c r="BF85" s="2" t="s">
        <v>1174</v>
      </c>
    </row>
    <row r="86" spans="1:58" ht="39.75" customHeight="1" x14ac:dyDescent="0.25">
      <c r="A86" s="7" t="s">
        <v>5</v>
      </c>
      <c r="B86" s="1" t="s">
        <v>0</v>
      </c>
      <c r="C86" s="1" t="s">
        <v>1</v>
      </c>
      <c r="D86" s="1" t="s">
        <v>1175</v>
      </c>
      <c r="E86" s="1" t="s">
        <v>1176</v>
      </c>
      <c r="F86" s="1" t="s">
        <v>1177</v>
      </c>
      <c r="H86" s="2" t="s">
        <v>5</v>
      </c>
      <c r="I86" s="2" t="s">
        <v>6</v>
      </c>
      <c r="J86" s="2" t="s">
        <v>5</v>
      </c>
      <c r="K86" s="2" t="s">
        <v>5</v>
      </c>
      <c r="L86" s="2" t="s">
        <v>7</v>
      </c>
      <c r="M86" s="1" t="s">
        <v>1178</v>
      </c>
      <c r="N86" s="1" t="s">
        <v>1179</v>
      </c>
      <c r="O86" s="2" t="s">
        <v>480</v>
      </c>
      <c r="Q86" s="2" t="s">
        <v>11</v>
      </c>
      <c r="R86" s="2" t="s">
        <v>234</v>
      </c>
      <c r="S86" s="1" t="s">
        <v>1180</v>
      </c>
      <c r="T86" s="2" t="s">
        <v>13</v>
      </c>
      <c r="U86" s="3">
        <v>2</v>
      </c>
      <c r="V86" s="3">
        <v>2</v>
      </c>
      <c r="W86" s="4" t="s">
        <v>1181</v>
      </c>
      <c r="X86" s="4" t="s">
        <v>1181</v>
      </c>
      <c r="Y86" s="4" t="s">
        <v>1168</v>
      </c>
      <c r="Z86" s="4" t="s">
        <v>1168</v>
      </c>
      <c r="AA86" s="3">
        <v>250</v>
      </c>
      <c r="AB86" s="3">
        <v>162</v>
      </c>
      <c r="AC86" s="3">
        <v>173</v>
      </c>
      <c r="AD86" s="3">
        <v>2</v>
      </c>
      <c r="AE86" s="9">
        <v>2</v>
      </c>
      <c r="AF86" s="9">
        <v>7</v>
      </c>
      <c r="AG86" s="9">
        <v>7</v>
      </c>
      <c r="AH86" s="3">
        <v>0</v>
      </c>
      <c r="AI86" s="3">
        <v>0</v>
      </c>
      <c r="AJ86" s="3">
        <v>3</v>
      </c>
      <c r="AK86" s="3">
        <v>3</v>
      </c>
      <c r="AL86" s="3">
        <v>5</v>
      </c>
      <c r="AM86" s="3">
        <v>5</v>
      </c>
      <c r="AN86" s="3">
        <v>1</v>
      </c>
      <c r="AO86" s="3">
        <v>1</v>
      </c>
      <c r="AP86" s="3">
        <v>0</v>
      </c>
      <c r="AQ86" s="3">
        <v>0</v>
      </c>
      <c r="AR86" s="2" t="s">
        <v>5</v>
      </c>
      <c r="AS86" s="2" t="s">
        <v>46</v>
      </c>
      <c r="AT86" s="5" t="str">
        <f>HYPERLINK("http://catalog.hathitrust.org/Record/001214028","HathiTrust Record")</f>
        <v>HathiTrust Record</v>
      </c>
      <c r="AU86" s="5" t="str">
        <f>HYPERLINK("https://creighton-primo.hosted.exlibrisgroup.com/primo-explore/search?tab=default_tab&amp;search_scope=EVERYTHING&amp;vid=01CRU&amp;lang=en_US&amp;offset=0&amp;query=any,contains,991003023809702656","Catalog Record")</f>
        <v>Catalog Record</v>
      </c>
      <c r="AV86" s="5" t="str">
        <f>HYPERLINK("http://www.worldcat.org/oclc/588759","WorldCat Record")</f>
        <v>WorldCat Record</v>
      </c>
      <c r="AW86" s="2" t="s">
        <v>1182</v>
      </c>
      <c r="AX86" s="2" t="s">
        <v>1183</v>
      </c>
      <c r="AY86" s="2" t="s">
        <v>1184</v>
      </c>
      <c r="AZ86" s="2" t="s">
        <v>1184</v>
      </c>
      <c r="BA86" s="2" t="s">
        <v>1185</v>
      </c>
      <c r="BB86" s="2" t="s">
        <v>20</v>
      </c>
      <c r="BE86" s="2" t="s">
        <v>1186</v>
      </c>
      <c r="BF86" s="2" t="s">
        <v>1187</v>
      </c>
    </row>
    <row r="87" spans="1:58" ht="39.75" customHeight="1" x14ac:dyDescent="0.25">
      <c r="A87" s="7" t="s">
        <v>5</v>
      </c>
      <c r="B87" s="1" t="s">
        <v>0</v>
      </c>
      <c r="C87" s="1" t="s">
        <v>1</v>
      </c>
      <c r="D87" s="1" t="s">
        <v>1188</v>
      </c>
      <c r="E87" s="1" t="s">
        <v>1189</v>
      </c>
      <c r="F87" s="1" t="s">
        <v>1190</v>
      </c>
      <c r="H87" s="2" t="s">
        <v>5</v>
      </c>
      <c r="I87" s="2" t="s">
        <v>6</v>
      </c>
      <c r="J87" s="2" t="s">
        <v>5</v>
      </c>
      <c r="K87" s="2" t="s">
        <v>5</v>
      </c>
      <c r="L87" s="2" t="s">
        <v>7</v>
      </c>
      <c r="M87" s="1" t="s">
        <v>1191</v>
      </c>
      <c r="N87" s="1" t="s">
        <v>1192</v>
      </c>
      <c r="O87" s="2" t="s">
        <v>468</v>
      </c>
      <c r="Q87" s="2" t="s">
        <v>60</v>
      </c>
      <c r="R87" s="2" t="s">
        <v>43</v>
      </c>
      <c r="T87" s="2" t="s">
        <v>13</v>
      </c>
      <c r="U87" s="3">
        <v>1</v>
      </c>
      <c r="V87" s="3">
        <v>1</v>
      </c>
      <c r="W87" s="4" t="s">
        <v>1193</v>
      </c>
      <c r="X87" s="4" t="s">
        <v>1193</v>
      </c>
      <c r="Y87" s="4" t="s">
        <v>1193</v>
      </c>
      <c r="Z87" s="4" t="s">
        <v>1193</v>
      </c>
      <c r="AA87" s="3">
        <v>468</v>
      </c>
      <c r="AB87" s="3">
        <v>382</v>
      </c>
      <c r="AC87" s="3">
        <v>500</v>
      </c>
      <c r="AD87" s="3">
        <v>5</v>
      </c>
      <c r="AE87" s="9">
        <v>7</v>
      </c>
      <c r="AF87" s="9">
        <v>19</v>
      </c>
      <c r="AG87" s="9">
        <v>24</v>
      </c>
      <c r="AH87" s="3">
        <v>5</v>
      </c>
      <c r="AI87" s="3">
        <v>8</v>
      </c>
      <c r="AJ87" s="3">
        <v>6</v>
      </c>
      <c r="AK87" s="3">
        <v>7</v>
      </c>
      <c r="AL87" s="3">
        <v>9</v>
      </c>
      <c r="AM87" s="3">
        <v>9</v>
      </c>
      <c r="AN87" s="3">
        <v>4</v>
      </c>
      <c r="AO87" s="3">
        <v>6</v>
      </c>
      <c r="AP87" s="3">
        <v>0</v>
      </c>
      <c r="AQ87" s="3">
        <v>0</v>
      </c>
      <c r="AR87" s="2" t="s">
        <v>5</v>
      </c>
      <c r="AS87" s="2" t="s">
        <v>46</v>
      </c>
      <c r="AT87" s="5" t="str">
        <f>HYPERLINK("http://catalog.hathitrust.org/Record/001215792","HathiTrust Record")</f>
        <v>HathiTrust Record</v>
      </c>
      <c r="AU87" s="5" t="str">
        <f>HYPERLINK("https://creighton-primo.hosted.exlibrisgroup.com/primo-explore/search?tab=default_tab&amp;search_scope=EVERYTHING&amp;vid=01CRU&amp;lang=en_US&amp;offset=0&amp;query=any,contains,991004162139702656","Catalog Record")</f>
        <v>Catalog Record</v>
      </c>
      <c r="AV87" s="5" t="str">
        <f>HYPERLINK("http://www.worldcat.org/oclc/342353","WorldCat Record")</f>
        <v>WorldCat Record</v>
      </c>
      <c r="AW87" s="2" t="s">
        <v>1194</v>
      </c>
      <c r="AX87" s="2" t="s">
        <v>1195</v>
      </c>
      <c r="AY87" s="2" t="s">
        <v>1196</v>
      </c>
      <c r="AZ87" s="2" t="s">
        <v>1196</v>
      </c>
      <c r="BA87" s="2" t="s">
        <v>1197</v>
      </c>
      <c r="BB87" s="2" t="s">
        <v>20</v>
      </c>
      <c r="BE87" s="2" t="s">
        <v>1198</v>
      </c>
      <c r="BF87" s="2" t="s">
        <v>1199</v>
      </c>
    </row>
    <row r="88" spans="1:58" ht="39.75" customHeight="1" x14ac:dyDescent="0.25">
      <c r="A88" s="7" t="s">
        <v>5</v>
      </c>
      <c r="B88" s="1" t="s">
        <v>0</v>
      </c>
      <c r="C88" s="1" t="s">
        <v>1</v>
      </c>
      <c r="D88" s="1" t="s">
        <v>1200</v>
      </c>
      <c r="E88" s="1" t="s">
        <v>1201</v>
      </c>
      <c r="F88" s="1" t="s">
        <v>1202</v>
      </c>
      <c r="H88" s="2" t="s">
        <v>5</v>
      </c>
      <c r="I88" s="2" t="s">
        <v>6</v>
      </c>
      <c r="J88" s="2" t="s">
        <v>5</v>
      </c>
      <c r="K88" s="2" t="s">
        <v>5</v>
      </c>
      <c r="L88" s="2" t="s">
        <v>7</v>
      </c>
      <c r="M88" s="1" t="s">
        <v>1203</v>
      </c>
      <c r="N88" s="1" t="s">
        <v>1204</v>
      </c>
      <c r="O88" s="2" t="s">
        <v>480</v>
      </c>
      <c r="Q88" s="2" t="s">
        <v>11</v>
      </c>
      <c r="R88" s="2" t="s">
        <v>28</v>
      </c>
      <c r="S88" s="1" t="s">
        <v>1205</v>
      </c>
      <c r="T88" s="2" t="s">
        <v>13</v>
      </c>
      <c r="U88" s="3">
        <v>3</v>
      </c>
      <c r="V88" s="3">
        <v>3</v>
      </c>
      <c r="W88" s="4" t="s">
        <v>1206</v>
      </c>
      <c r="X88" s="4" t="s">
        <v>1206</v>
      </c>
      <c r="Y88" s="4" t="s">
        <v>1207</v>
      </c>
      <c r="Z88" s="4" t="s">
        <v>1207</v>
      </c>
      <c r="AA88" s="3">
        <v>63</v>
      </c>
      <c r="AB88" s="3">
        <v>57</v>
      </c>
      <c r="AC88" s="3">
        <v>415</v>
      </c>
      <c r="AD88" s="3">
        <v>1</v>
      </c>
      <c r="AE88" s="9">
        <v>3</v>
      </c>
      <c r="AF88" s="9">
        <v>7</v>
      </c>
      <c r="AG88" s="9">
        <v>21</v>
      </c>
      <c r="AH88" s="3">
        <v>4</v>
      </c>
      <c r="AI88" s="3">
        <v>8</v>
      </c>
      <c r="AJ88" s="3">
        <v>1</v>
      </c>
      <c r="AK88" s="3">
        <v>5</v>
      </c>
      <c r="AL88" s="3">
        <v>4</v>
      </c>
      <c r="AM88" s="3">
        <v>13</v>
      </c>
      <c r="AN88" s="3">
        <v>0</v>
      </c>
      <c r="AO88" s="3">
        <v>2</v>
      </c>
      <c r="AP88" s="3">
        <v>0</v>
      </c>
      <c r="AQ88" s="3">
        <v>0</v>
      </c>
      <c r="AR88" s="2" t="s">
        <v>5</v>
      </c>
      <c r="AS88" s="2" t="s">
        <v>5</v>
      </c>
      <c r="AU88" s="5" t="str">
        <f>HYPERLINK("https://creighton-primo.hosted.exlibrisgroup.com/primo-explore/search?tab=default_tab&amp;search_scope=EVERYTHING&amp;vid=01CRU&amp;lang=en_US&amp;offset=0&amp;query=any,contains,991002389249702656","Catalog Record")</f>
        <v>Catalog Record</v>
      </c>
      <c r="AV88" s="5" t="str">
        <f>HYPERLINK("http://www.worldcat.org/oclc/331436","WorldCat Record")</f>
        <v>WorldCat Record</v>
      </c>
      <c r="AW88" s="2" t="s">
        <v>1208</v>
      </c>
      <c r="AX88" s="2" t="s">
        <v>1209</v>
      </c>
      <c r="AY88" s="2" t="s">
        <v>1210</v>
      </c>
      <c r="AZ88" s="2" t="s">
        <v>1210</v>
      </c>
      <c r="BA88" s="2" t="s">
        <v>1211</v>
      </c>
      <c r="BB88" s="2" t="s">
        <v>20</v>
      </c>
      <c r="BE88" s="2" t="s">
        <v>1212</v>
      </c>
      <c r="BF88" s="2" t="s">
        <v>1213</v>
      </c>
    </row>
    <row r="89" spans="1:58" ht="39.75" customHeight="1" x14ac:dyDescent="0.25">
      <c r="A89" s="7" t="s">
        <v>5</v>
      </c>
      <c r="B89" s="1" t="s">
        <v>0</v>
      </c>
      <c r="C89" s="1" t="s">
        <v>1</v>
      </c>
      <c r="D89" s="1" t="s">
        <v>1214</v>
      </c>
      <c r="E89" s="1" t="s">
        <v>1215</v>
      </c>
      <c r="F89" s="1" t="s">
        <v>1216</v>
      </c>
      <c r="H89" s="2" t="s">
        <v>5</v>
      </c>
      <c r="I89" s="2" t="s">
        <v>6</v>
      </c>
      <c r="J89" s="2" t="s">
        <v>46</v>
      </c>
      <c r="K89" s="2" t="s">
        <v>5</v>
      </c>
      <c r="L89" s="2" t="s">
        <v>7</v>
      </c>
      <c r="M89" s="1" t="s">
        <v>1217</v>
      </c>
      <c r="N89" s="1" t="s">
        <v>1218</v>
      </c>
      <c r="O89" s="2" t="s">
        <v>1219</v>
      </c>
      <c r="Q89" s="2" t="s">
        <v>60</v>
      </c>
      <c r="R89" s="2" t="s">
        <v>193</v>
      </c>
      <c r="T89" s="2" t="s">
        <v>13</v>
      </c>
      <c r="U89" s="3">
        <v>4</v>
      </c>
      <c r="V89" s="3">
        <v>6</v>
      </c>
      <c r="W89" s="4" t="s">
        <v>1220</v>
      </c>
      <c r="X89" s="4" t="s">
        <v>1220</v>
      </c>
      <c r="Y89" s="4" t="s">
        <v>1221</v>
      </c>
      <c r="Z89" s="4" t="s">
        <v>1221</v>
      </c>
      <c r="AA89" s="3">
        <v>873</v>
      </c>
      <c r="AB89" s="3">
        <v>719</v>
      </c>
      <c r="AC89" s="3">
        <v>936</v>
      </c>
      <c r="AD89" s="3">
        <v>8</v>
      </c>
      <c r="AE89" s="9">
        <v>9</v>
      </c>
      <c r="AF89" s="9">
        <v>41</v>
      </c>
      <c r="AG89" s="9">
        <v>48</v>
      </c>
      <c r="AH89" s="3">
        <v>17</v>
      </c>
      <c r="AI89" s="3">
        <v>19</v>
      </c>
      <c r="AJ89" s="3">
        <v>8</v>
      </c>
      <c r="AK89" s="3">
        <v>10</v>
      </c>
      <c r="AL89" s="3">
        <v>21</v>
      </c>
      <c r="AM89" s="3">
        <v>24</v>
      </c>
      <c r="AN89" s="3">
        <v>7</v>
      </c>
      <c r="AO89" s="3">
        <v>8</v>
      </c>
      <c r="AP89" s="3">
        <v>0</v>
      </c>
      <c r="AQ89" s="3">
        <v>0</v>
      </c>
      <c r="AR89" s="2" t="s">
        <v>5</v>
      </c>
      <c r="AS89" s="2" t="s">
        <v>46</v>
      </c>
      <c r="AT89" s="5" t="str">
        <f>HYPERLINK("http://catalog.hathitrust.org/Record/001800983","HathiTrust Record")</f>
        <v>HathiTrust Record</v>
      </c>
      <c r="AU89" s="5" t="str">
        <f>HYPERLINK("https://creighton-primo.hosted.exlibrisgroup.com/primo-explore/search?tab=default_tab&amp;search_scope=EVERYTHING&amp;vid=01CRU&amp;lang=en_US&amp;offset=0&amp;query=any,contains,991002409239702656","Catalog Record")</f>
        <v>Catalog Record</v>
      </c>
      <c r="AV89" s="5" t="str">
        <f>HYPERLINK("http://www.worldcat.org/oclc/338930","WorldCat Record")</f>
        <v>WorldCat Record</v>
      </c>
      <c r="AW89" s="2" t="s">
        <v>1222</v>
      </c>
      <c r="AX89" s="2" t="s">
        <v>1223</v>
      </c>
      <c r="AY89" s="2" t="s">
        <v>1224</v>
      </c>
      <c r="AZ89" s="2" t="s">
        <v>1224</v>
      </c>
      <c r="BA89" s="2" t="s">
        <v>1225</v>
      </c>
      <c r="BB89" s="2" t="s">
        <v>20</v>
      </c>
      <c r="BE89" s="2" t="s">
        <v>1226</v>
      </c>
      <c r="BF89" s="2" t="s">
        <v>1227</v>
      </c>
    </row>
    <row r="90" spans="1:58" ht="39.75" customHeight="1" x14ac:dyDescent="0.25">
      <c r="A90" s="7" t="s">
        <v>5</v>
      </c>
      <c r="B90" s="1" t="s">
        <v>0</v>
      </c>
      <c r="C90" s="1" t="s">
        <v>1</v>
      </c>
      <c r="D90" s="1" t="s">
        <v>1214</v>
      </c>
      <c r="E90" s="1" t="s">
        <v>1215</v>
      </c>
      <c r="F90" s="1" t="s">
        <v>1216</v>
      </c>
      <c r="H90" s="2" t="s">
        <v>5</v>
      </c>
      <c r="I90" s="2" t="s">
        <v>6</v>
      </c>
      <c r="J90" s="2" t="s">
        <v>46</v>
      </c>
      <c r="K90" s="2" t="s">
        <v>5</v>
      </c>
      <c r="L90" s="2" t="s">
        <v>7</v>
      </c>
      <c r="M90" s="1" t="s">
        <v>1217</v>
      </c>
      <c r="N90" s="1" t="s">
        <v>1218</v>
      </c>
      <c r="O90" s="2" t="s">
        <v>1219</v>
      </c>
      <c r="Q90" s="2" t="s">
        <v>60</v>
      </c>
      <c r="R90" s="2" t="s">
        <v>193</v>
      </c>
      <c r="T90" s="2" t="s">
        <v>13</v>
      </c>
      <c r="U90" s="3">
        <v>2</v>
      </c>
      <c r="V90" s="3">
        <v>6</v>
      </c>
      <c r="W90" s="4" t="s">
        <v>1228</v>
      </c>
      <c r="X90" s="4" t="s">
        <v>1220</v>
      </c>
      <c r="Y90" s="4" t="s">
        <v>1229</v>
      </c>
      <c r="Z90" s="4" t="s">
        <v>1221</v>
      </c>
      <c r="AA90" s="3">
        <v>873</v>
      </c>
      <c r="AB90" s="3">
        <v>719</v>
      </c>
      <c r="AC90" s="3">
        <v>936</v>
      </c>
      <c r="AD90" s="3">
        <v>8</v>
      </c>
      <c r="AE90" s="9">
        <v>9</v>
      </c>
      <c r="AF90" s="9">
        <v>41</v>
      </c>
      <c r="AG90" s="9">
        <v>48</v>
      </c>
      <c r="AH90" s="3">
        <v>17</v>
      </c>
      <c r="AI90" s="3">
        <v>19</v>
      </c>
      <c r="AJ90" s="3">
        <v>8</v>
      </c>
      <c r="AK90" s="3">
        <v>10</v>
      </c>
      <c r="AL90" s="3">
        <v>21</v>
      </c>
      <c r="AM90" s="3">
        <v>24</v>
      </c>
      <c r="AN90" s="3">
        <v>7</v>
      </c>
      <c r="AO90" s="3">
        <v>8</v>
      </c>
      <c r="AP90" s="3">
        <v>0</v>
      </c>
      <c r="AQ90" s="3">
        <v>0</v>
      </c>
      <c r="AR90" s="2" t="s">
        <v>5</v>
      </c>
      <c r="AS90" s="2" t="s">
        <v>46</v>
      </c>
      <c r="AT90" s="5" t="str">
        <f>HYPERLINK("http://catalog.hathitrust.org/Record/001800983","HathiTrust Record")</f>
        <v>HathiTrust Record</v>
      </c>
      <c r="AU90" s="5" t="str">
        <f>HYPERLINK("https://creighton-primo.hosted.exlibrisgroup.com/primo-explore/search?tab=default_tab&amp;search_scope=EVERYTHING&amp;vid=01CRU&amp;lang=en_US&amp;offset=0&amp;query=any,contains,991002409239702656","Catalog Record")</f>
        <v>Catalog Record</v>
      </c>
      <c r="AV90" s="5" t="str">
        <f>HYPERLINK("http://www.worldcat.org/oclc/338930","WorldCat Record")</f>
        <v>WorldCat Record</v>
      </c>
      <c r="AW90" s="2" t="s">
        <v>1222</v>
      </c>
      <c r="AX90" s="2" t="s">
        <v>1223</v>
      </c>
      <c r="AY90" s="2" t="s">
        <v>1224</v>
      </c>
      <c r="AZ90" s="2" t="s">
        <v>1224</v>
      </c>
      <c r="BA90" s="2" t="s">
        <v>1225</v>
      </c>
      <c r="BB90" s="2" t="s">
        <v>20</v>
      </c>
      <c r="BE90" s="2" t="s">
        <v>1230</v>
      </c>
      <c r="BF90" s="2" t="s">
        <v>1231</v>
      </c>
    </row>
    <row r="91" spans="1:58" ht="39.75" customHeight="1" x14ac:dyDescent="0.25">
      <c r="A91" s="7" t="s">
        <v>5</v>
      </c>
      <c r="B91" s="1" t="s">
        <v>0</v>
      </c>
      <c r="C91" s="1" t="s">
        <v>1</v>
      </c>
      <c r="D91" s="1" t="s">
        <v>1232</v>
      </c>
      <c r="E91" s="1" t="s">
        <v>1233</v>
      </c>
      <c r="F91" s="1" t="s">
        <v>1234</v>
      </c>
      <c r="H91" s="2" t="s">
        <v>5</v>
      </c>
      <c r="I91" s="2" t="s">
        <v>6</v>
      </c>
      <c r="J91" s="2" t="s">
        <v>5</v>
      </c>
      <c r="K91" s="2" t="s">
        <v>5</v>
      </c>
      <c r="L91" s="2" t="s">
        <v>7</v>
      </c>
      <c r="M91" s="1" t="s">
        <v>1008</v>
      </c>
      <c r="N91" s="1" t="s">
        <v>1235</v>
      </c>
      <c r="O91" s="2" t="s">
        <v>468</v>
      </c>
      <c r="Q91" s="2" t="s">
        <v>11</v>
      </c>
      <c r="R91" s="2" t="s">
        <v>1236</v>
      </c>
      <c r="T91" s="2" t="s">
        <v>13</v>
      </c>
      <c r="U91" s="3">
        <v>2</v>
      </c>
      <c r="V91" s="3">
        <v>2</v>
      </c>
      <c r="W91" s="4" t="s">
        <v>1237</v>
      </c>
      <c r="X91" s="4" t="s">
        <v>1237</v>
      </c>
      <c r="Y91" s="4" t="s">
        <v>753</v>
      </c>
      <c r="Z91" s="4" t="s">
        <v>753</v>
      </c>
      <c r="AA91" s="3">
        <v>314</v>
      </c>
      <c r="AB91" s="3">
        <v>231</v>
      </c>
      <c r="AC91" s="3">
        <v>240</v>
      </c>
      <c r="AD91" s="3">
        <v>2</v>
      </c>
      <c r="AE91" s="9">
        <v>2</v>
      </c>
      <c r="AF91" s="9">
        <v>13</v>
      </c>
      <c r="AG91" s="9">
        <v>13</v>
      </c>
      <c r="AH91" s="3">
        <v>3</v>
      </c>
      <c r="AI91" s="3">
        <v>3</v>
      </c>
      <c r="AJ91" s="3">
        <v>5</v>
      </c>
      <c r="AK91" s="3">
        <v>5</v>
      </c>
      <c r="AL91" s="3">
        <v>7</v>
      </c>
      <c r="AM91" s="3">
        <v>7</v>
      </c>
      <c r="AN91" s="3">
        <v>1</v>
      </c>
      <c r="AO91" s="3">
        <v>1</v>
      </c>
      <c r="AP91" s="3">
        <v>0</v>
      </c>
      <c r="AQ91" s="3">
        <v>0</v>
      </c>
      <c r="AR91" s="2" t="s">
        <v>5</v>
      </c>
      <c r="AS91" s="2" t="s">
        <v>46</v>
      </c>
      <c r="AT91" s="5" t="str">
        <f>HYPERLINK("http://catalog.hathitrust.org/Record/001226005","HathiTrust Record")</f>
        <v>HathiTrust Record</v>
      </c>
      <c r="AU91" s="5" t="str">
        <f>HYPERLINK("https://creighton-primo.hosted.exlibrisgroup.com/primo-explore/search?tab=default_tab&amp;search_scope=EVERYTHING&amp;vid=01CRU&amp;lang=en_US&amp;offset=0&amp;query=any,contains,991002186679702656","Catalog Record")</f>
        <v>Catalog Record</v>
      </c>
      <c r="AV91" s="5" t="str">
        <f>HYPERLINK("http://www.worldcat.org/oclc/280049","WorldCat Record")</f>
        <v>WorldCat Record</v>
      </c>
      <c r="AW91" s="2" t="s">
        <v>1238</v>
      </c>
      <c r="AX91" s="2" t="s">
        <v>1239</v>
      </c>
      <c r="AY91" s="2" t="s">
        <v>1240</v>
      </c>
      <c r="AZ91" s="2" t="s">
        <v>1240</v>
      </c>
      <c r="BA91" s="2" t="s">
        <v>1241</v>
      </c>
      <c r="BB91" s="2" t="s">
        <v>20</v>
      </c>
      <c r="BE91" s="2" t="s">
        <v>1242</v>
      </c>
      <c r="BF91" s="2" t="s">
        <v>1243</v>
      </c>
    </row>
    <row r="92" spans="1:58" ht="39.75" customHeight="1" x14ac:dyDescent="0.25">
      <c r="A92" s="7" t="s">
        <v>5</v>
      </c>
      <c r="B92" s="1" t="s">
        <v>0</v>
      </c>
      <c r="C92" s="1" t="s">
        <v>1</v>
      </c>
      <c r="D92" s="1" t="s">
        <v>1244</v>
      </c>
      <c r="E92" s="1" t="s">
        <v>1245</v>
      </c>
      <c r="F92" s="1" t="s">
        <v>1246</v>
      </c>
      <c r="H92" s="2" t="s">
        <v>5</v>
      </c>
      <c r="I92" s="2" t="s">
        <v>6</v>
      </c>
      <c r="J92" s="2" t="s">
        <v>5</v>
      </c>
      <c r="K92" s="2" t="s">
        <v>5</v>
      </c>
      <c r="L92" s="2" t="s">
        <v>7</v>
      </c>
      <c r="M92" s="1" t="s">
        <v>1247</v>
      </c>
      <c r="N92" s="1" t="s">
        <v>1248</v>
      </c>
      <c r="O92" s="2" t="s">
        <v>121</v>
      </c>
      <c r="Q92" s="2" t="s">
        <v>60</v>
      </c>
      <c r="R92" s="2" t="s">
        <v>61</v>
      </c>
      <c r="T92" s="2" t="s">
        <v>13</v>
      </c>
      <c r="U92" s="3">
        <v>1</v>
      </c>
      <c r="V92" s="3">
        <v>1</v>
      </c>
      <c r="W92" s="4" t="s">
        <v>1249</v>
      </c>
      <c r="X92" s="4" t="s">
        <v>1249</v>
      </c>
      <c r="Y92" s="4" t="s">
        <v>957</v>
      </c>
      <c r="Z92" s="4" t="s">
        <v>957</v>
      </c>
      <c r="AA92" s="3">
        <v>194</v>
      </c>
      <c r="AB92" s="3">
        <v>162</v>
      </c>
      <c r="AC92" s="3">
        <v>422</v>
      </c>
      <c r="AD92" s="3">
        <v>3</v>
      </c>
      <c r="AE92" s="9">
        <v>3</v>
      </c>
      <c r="AF92" s="9">
        <v>12</v>
      </c>
      <c r="AG92" s="9">
        <v>22</v>
      </c>
      <c r="AH92" s="3">
        <v>4</v>
      </c>
      <c r="AI92" s="3">
        <v>8</v>
      </c>
      <c r="AJ92" s="3">
        <v>1</v>
      </c>
      <c r="AK92" s="3">
        <v>6</v>
      </c>
      <c r="AL92" s="3">
        <v>8</v>
      </c>
      <c r="AM92" s="3">
        <v>12</v>
      </c>
      <c r="AN92" s="3">
        <v>2</v>
      </c>
      <c r="AO92" s="3">
        <v>2</v>
      </c>
      <c r="AP92" s="3">
        <v>0</v>
      </c>
      <c r="AQ92" s="3">
        <v>0</v>
      </c>
      <c r="AR92" s="2" t="s">
        <v>5</v>
      </c>
      <c r="AS92" s="2" t="s">
        <v>5</v>
      </c>
      <c r="AU92" s="5" t="str">
        <f>HYPERLINK("https://creighton-primo.hosted.exlibrisgroup.com/primo-explore/search?tab=default_tab&amp;search_scope=EVERYTHING&amp;vid=01CRU&amp;lang=en_US&amp;offset=0&amp;query=any,contains,991000058579702656","Catalog Record")</f>
        <v>Catalog Record</v>
      </c>
      <c r="AV92" s="5" t="str">
        <f>HYPERLINK("http://www.worldcat.org/oclc/24114","WorldCat Record")</f>
        <v>WorldCat Record</v>
      </c>
      <c r="AW92" s="2" t="s">
        <v>1250</v>
      </c>
      <c r="AX92" s="2" t="s">
        <v>1251</v>
      </c>
      <c r="AY92" s="2" t="s">
        <v>1252</v>
      </c>
      <c r="AZ92" s="2" t="s">
        <v>1252</v>
      </c>
      <c r="BA92" s="2" t="s">
        <v>1253</v>
      </c>
      <c r="BB92" s="2" t="s">
        <v>20</v>
      </c>
      <c r="BE92" s="2" t="s">
        <v>1254</v>
      </c>
      <c r="BF92" s="2" t="s">
        <v>1255</v>
      </c>
    </row>
    <row r="93" spans="1:58" ht="39.75" customHeight="1" x14ac:dyDescent="0.25">
      <c r="A93" s="7" t="s">
        <v>5</v>
      </c>
      <c r="B93" s="1" t="s">
        <v>0</v>
      </c>
      <c r="C93" s="1" t="s">
        <v>1</v>
      </c>
      <c r="D93" s="1" t="s">
        <v>1256</v>
      </c>
      <c r="E93" s="1" t="s">
        <v>1257</v>
      </c>
      <c r="F93" s="1" t="s">
        <v>1258</v>
      </c>
      <c r="H93" s="2" t="s">
        <v>5</v>
      </c>
      <c r="I93" s="2" t="s">
        <v>6</v>
      </c>
      <c r="J93" s="2" t="s">
        <v>5</v>
      </c>
      <c r="K93" s="2" t="s">
        <v>5</v>
      </c>
      <c r="L93" s="2" t="s">
        <v>7</v>
      </c>
      <c r="M93" s="1" t="s">
        <v>1259</v>
      </c>
      <c r="N93" s="1" t="s">
        <v>1260</v>
      </c>
      <c r="O93" s="2" t="s">
        <v>248</v>
      </c>
      <c r="Q93" s="2" t="s">
        <v>60</v>
      </c>
      <c r="R93" s="2" t="s">
        <v>61</v>
      </c>
      <c r="T93" s="2" t="s">
        <v>13</v>
      </c>
      <c r="U93" s="3">
        <v>2</v>
      </c>
      <c r="V93" s="3">
        <v>2</v>
      </c>
      <c r="W93" s="4" t="s">
        <v>1261</v>
      </c>
      <c r="X93" s="4" t="s">
        <v>1261</v>
      </c>
      <c r="Y93" s="4" t="s">
        <v>957</v>
      </c>
      <c r="Z93" s="4" t="s">
        <v>957</v>
      </c>
      <c r="AA93" s="3">
        <v>247</v>
      </c>
      <c r="AB93" s="3">
        <v>223</v>
      </c>
      <c r="AC93" s="3">
        <v>236</v>
      </c>
      <c r="AD93" s="3">
        <v>4</v>
      </c>
      <c r="AE93" s="9">
        <v>4</v>
      </c>
      <c r="AF93" s="9">
        <v>10</v>
      </c>
      <c r="AG93" s="9">
        <v>10</v>
      </c>
      <c r="AH93" s="3">
        <v>4</v>
      </c>
      <c r="AI93" s="3">
        <v>4</v>
      </c>
      <c r="AJ93" s="3">
        <v>2</v>
      </c>
      <c r="AK93" s="3">
        <v>2</v>
      </c>
      <c r="AL93" s="3">
        <v>4</v>
      </c>
      <c r="AM93" s="3">
        <v>4</v>
      </c>
      <c r="AN93" s="3">
        <v>2</v>
      </c>
      <c r="AO93" s="3">
        <v>2</v>
      </c>
      <c r="AP93" s="3">
        <v>0</v>
      </c>
      <c r="AQ93" s="3">
        <v>0</v>
      </c>
      <c r="AR93" s="2" t="s">
        <v>5</v>
      </c>
      <c r="AS93" s="2" t="s">
        <v>46</v>
      </c>
      <c r="AT93" s="5" t="str">
        <f>HYPERLINK("http://catalog.hathitrust.org/Record/001215976","HathiTrust Record")</f>
        <v>HathiTrust Record</v>
      </c>
      <c r="AU93" s="5" t="str">
        <f>HYPERLINK("https://creighton-primo.hosted.exlibrisgroup.com/primo-explore/search?tab=default_tab&amp;search_scope=EVERYTHING&amp;vid=01CRU&amp;lang=en_US&amp;offset=0&amp;query=any,contains,991000829129702656","Catalog Record")</f>
        <v>Catalog Record</v>
      </c>
      <c r="AV93" s="5" t="str">
        <f>HYPERLINK("http://www.worldcat.org/oclc/146991","WorldCat Record")</f>
        <v>WorldCat Record</v>
      </c>
      <c r="AW93" s="2" t="s">
        <v>1262</v>
      </c>
      <c r="AX93" s="2" t="s">
        <v>1263</v>
      </c>
      <c r="AY93" s="2" t="s">
        <v>1264</v>
      </c>
      <c r="AZ93" s="2" t="s">
        <v>1264</v>
      </c>
      <c r="BA93" s="2" t="s">
        <v>1265</v>
      </c>
      <c r="BB93" s="2" t="s">
        <v>20</v>
      </c>
      <c r="BE93" s="2" t="s">
        <v>1266</v>
      </c>
      <c r="BF93" s="2" t="s">
        <v>1267</v>
      </c>
    </row>
    <row r="94" spans="1:58" ht="39.75" customHeight="1" x14ac:dyDescent="0.25">
      <c r="A94" s="7" t="s">
        <v>5</v>
      </c>
      <c r="B94" s="1" t="s">
        <v>0</v>
      </c>
      <c r="C94" s="1" t="s">
        <v>1</v>
      </c>
      <c r="D94" s="1" t="s">
        <v>1268</v>
      </c>
      <c r="E94" s="1" t="s">
        <v>1269</v>
      </c>
      <c r="F94" s="1" t="s">
        <v>1270</v>
      </c>
      <c r="H94" s="2" t="s">
        <v>5</v>
      </c>
      <c r="I94" s="2" t="s">
        <v>6</v>
      </c>
      <c r="J94" s="2" t="s">
        <v>5</v>
      </c>
      <c r="K94" s="2" t="s">
        <v>5</v>
      </c>
      <c r="L94" s="2" t="s">
        <v>7</v>
      </c>
      <c r="M94" s="1" t="s">
        <v>1271</v>
      </c>
      <c r="N94" s="1" t="s">
        <v>1272</v>
      </c>
      <c r="O94" s="2" t="s">
        <v>1273</v>
      </c>
      <c r="Q94" s="2" t="s">
        <v>60</v>
      </c>
      <c r="R94" s="2" t="s">
        <v>323</v>
      </c>
      <c r="T94" s="2" t="s">
        <v>13</v>
      </c>
      <c r="U94" s="3">
        <v>1</v>
      </c>
      <c r="V94" s="3">
        <v>1</v>
      </c>
      <c r="W94" s="4" t="s">
        <v>1274</v>
      </c>
      <c r="X94" s="4" t="s">
        <v>1274</v>
      </c>
      <c r="Y94" s="4" t="s">
        <v>15</v>
      </c>
      <c r="Z94" s="4" t="s">
        <v>15</v>
      </c>
      <c r="AA94" s="3">
        <v>571</v>
      </c>
      <c r="AB94" s="3">
        <v>457</v>
      </c>
      <c r="AC94" s="3">
        <v>457</v>
      </c>
      <c r="AD94" s="3">
        <v>3</v>
      </c>
      <c r="AE94" s="9">
        <v>3</v>
      </c>
      <c r="AF94" s="9">
        <v>26</v>
      </c>
      <c r="AG94" s="9">
        <v>26</v>
      </c>
      <c r="AH94" s="3">
        <v>9</v>
      </c>
      <c r="AI94" s="3">
        <v>9</v>
      </c>
      <c r="AJ94" s="3">
        <v>8</v>
      </c>
      <c r="AK94" s="3">
        <v>8</v>
      </c>
      <c r="AL94" s="3">
        <v>14</v>
      </c>
      <c r="AM94" s="3">
        <v>14</v>
      </c>
      <c r="AN94" s="3">
        <v>2</v>
      </c>
      <c r="AO94" s="3">
        <v>2</v>
      </c>
      <c r="AP94" s="3">
        <v>0</v>
      </c>
      <c r="AQ94" s="3">
        <v>0</v>
      </c>
      <c r="AR94" s="2" t="s">
        <v>5</v>
      </c>
      <c r="AS94" s="2" t="s">
        <v>5</v>
      </c>
      <c r="AU94" s="5" t="str">
        <f>HYPERLINK("https://creighton-primo.hosted.exlibrisgroup.com/primo-explore/search?tab=default_tab&amp;search_scope=EVERYTHING&amp;vid=01CRU&amp;lang=en_US&amp;offset=0&amp;query=any,contains,991000671649702656","Catalog Record")</f>
        <v>Catalog Record</v>
      </c>
      <c r="AV94" s="5" t="str">
        <f>HYPERLINK("http://www.worldcat.org/oclc/12315661","WorldCat Record")</f>
        <v>WorldCat Record</v>
      </c>
      <c r="AW94" s="2" t="s">
        <v>1275</v>
      </c>
      <c r="AX94" s="2" t="s">
        <v>1276</v>
      </c>
      <c r="AY94" s="2" t="s">
        <v>1277</v>
      </c>
      <c r="AZ94" s="2" t="s">
        <v>1277</v>
      </c>
      <c r="BA94" s="2" t="s">
        <v>1278</v>
      </c>
      <c r="BB94" s="2" t="s">
        <v>20</v>
      </c>
      <c r="BD94" s="2" t="s">
        <v>1279</v>
      </c>
      <c r="BE94" s="2" t="s">
        <v>1280</v>
      </c>
      <c r="BF94" s="2" t="s">
        <v>1281</v>
      </c>
    </row>
    <row r="95" spans="1:58" ht="39.75" customHeight="1" x14ac:dyDescent="0.25">
      <c r="A95" s="7" t="s">
        <v>5</v>
      </c>
      <c r="B95" s="1" t="s">
        <v>0</v>
      </c>
      <c r="C95" s="1" t="s">
        <v>1</v>
      </c>
      <c r="D95" s="1" t="s">
        <v>1282</v>
      </c>
      <c r="E95" s="1" t="s">
        <v>1283</v>
      </c>
      <c r="F95" s="1" t="s">
        <v>1284</v>
      </c>
      <c r="H95" s="2" t="s">
        <v>5</v>
      </c>
      <c r="I95" s="2" t="s">
        <v>6</v>
      </c>
      <c r="J95" s="2" t="s">
        <v>5</v>
      </c>
      <c r="K95" s="2" t="s">
        <v>5</v>
      </c>
      <c r="L95" s="2" t="s">
        <v>7</v>
      </c>
      <c r="M95" s="1" t="s">
        <v>1285</v>
      </c>
      <c r="N95" s="1" t="s">
        <v>1286</v>
      </c>
      <c r="O95" s="2" t="s">
        <v>886</v>
      </c>
      <c r="Q95" s="2" t="s">
        <v>60</v>
      </c>
      <c r="R95" s="2" t="s">
        <v>1287</v>
      </c>
      <c r="T95" s="2" t="s">
        <v>13</v>
      </c>
      <c r="U95" s="3">
        <v>1</v>
      </c>
      <c r="V95" s="3">
        <v>1</v>
      </c>
      <c r="W95" s="4" t="s">
        <v>1288</v>
      </c>
      <c r="X95" s="4" t="s">
        <v>1288</v>
      </c>
      <c r="Y95" s="4" t="s">
        <v>627</v>
      </c>
      <c r="Z95" s="4" t="s">
        <v>627</v>
      </c>
      <c r="AA95" s="3">
        <v>760</v>
      </c>
      <c r="AB95" s="3">
        <v>656</v>
      </c>
      <c r="AC95" s="3">
        <v>663</v>
      </c>
      <c r="AD95" s="3">
        <v>7</v>
      </c>
      <c r="AE95" s="9">
        <v>7</v>
      </c>
      <c r="AF95" s="9">
        <v>32</v>
      </c>
      <c r="AG95" s="9">
        <v>32</v>
      </c>
      <c r="AH95" s="3">
        <v>10</v>
      </c>
      <c r="AI95" s="3">
        <v>10</v>
      </c>
      <c r="AJ95" s="3">
        <v>9</v>
      </c>
      <c r="AK95" s="3">
        <v>9</v>
      </c>
      <c r="AL95" s="3">
        <v>16</v>
      </c>
      <c r="AM95" s="3">
        <v>16</v>
      </c>
      <c r="AN95" s="3">
        <v>6</v>
      </c>
      <c r="AO95" s="3">
        <v>6</v>
      </c>
      <c r="AP95" s="3">
        <v>0</v>
      </c>
      <c r="AQ95" s="3">
        <v>0</v>
      </c>
      <c r="AR95" s="2" t="s">
        <v>5</v>
      </c>
      <c r="AS95" s="2" t="s">
        <v>46</v>
      </c>
      <c r="AT95" s="5" t="str">
        <f>HYPERLINK("http://catalog.hathitrust.org/Record/001201962","HathiTrust Record")</f>
        <v>HathiTrust Record</v>
      </c>
      <c r="AU95" s="5" t="str">
        <f>HYPERLINK("https://creighton-primo.hosted.exlibrisgroup.com/primo-explore/search?tab=default_tab&amp;search_scope=EVERYTHING&amp;vid=01CRU&amp;lang=en_US&amp;offset=0&amp;query=any,contains,991003627089702656","Catalog Record")</f>
        <v>Catalog Record</v>
      </c>
      <c r="AV95" s="5" t="str">
        <f>HYPERLINK("http://www.worldcat.org/oclc/1217601","WorldCat Record")</f>
        <v>WorldCat Record</v>
      </c>
      <c r="AW95" s="2" t="s">
        <v>1289</v>
      </c>
      <c r="AX95" s="2" t="s">
        <v>1290</v>
      </c>
      <c r="AY95" s="2" t="s">
        <v>1291</v>
      </c>
      <c r="AZ95" s="2" t="s">
        <v>1291</v>
      </c>
      <c r="BA95" s="2" t="s">
        <v>1292</v>
      </c>
      <c r="BB95" s="2" t="s">
        <v>20</v>
      </c>
      <c r="BD95" s="2" t="s">
        <v>1293</v>
      </c>
      <c r="BE95" s="2" t="s">
        <v>1294</v>
      </c>
      <c r="BF95" s="2" t="s">
        <v>1295</v>
      </c>
    </row>
    <row r="96" spans="1:58" ht="39.75" customHeight="1" x14ac:dyDescent="0.25">
      <c r="A96" s="7" t="s">
        <v>5</v>
      </c>
      <c r="B96" s="1" t="s">
        <v>0</v>
      </c>
      <c r="C96" s="1" t="s">
        <v>1</v>
      </c>
      <c r="D96" s="1" t="s">
        <v>1296</v>
      </c>
      <c r="E96" s="1" t="s">
        <v>1297</v>
      </c>
      <c r="F96" s="1" t="s">
        <v>1298</v>
      </c>
      <c r="H96" s="2" t="s">
        <v>5</v>
      </c>
      <c r="I96" s="2" t="s">
        <v>6</v>
      </c>
      <c r="J96" s="2" t="s">
        <v>5</v>
      </c>
      <c r="K96" s="2" t="s">
        <v>5</v>
      </c>
      <c r="L96" s="2" t="s">
        <v>7</v>
      </c>
      <c r="M96" s="1" t="s">
        <v>1285</v>
      </c>
      <c r="N96" s="1" t="s">
        <v>493</v>
      </c>
      <c r="O96" s="2" t="s">
        <v>494</v>
      </c>
      <c r="Q96" s="2" t="s">
        <v>60</v>
      </c>
      <c r="R96" s="2" t="s">
        <v>495</v>
      </c>
      <c r="T96" s="2" t="s">
        <v>13</v>
      </c>
      <c r="U96" s="3">
        <v>2</v>
      </c>
      <c r="V96" s="3">
        <v>2</v>
      </c>
      <c r="W96" s="4" t="s">
        <v>710</v>
      </c>
      <c r="X96" s="4" t="s">
        <v>710</v>
      </c>
      <c r="Y96" s="4" t="s">
        <v>627</v>
      </c>
      <c r="Z96" s="4" t="s">
        <v>627</v>
      </c>
      <c r="AA96" s="3">
        <v>656</v>
      </c>
      <c r="AB96" s="3">
        <v>538</v>
      </c>
      <c r="AC96" s="3">
        <v>545</v>
      </c>
      <c r="AD96" s="3">
        <v>5</v>
      </c>
      <c r="AE96" s="9">
        <v>5</v>
      </c>
      <c r="AF96" s="9">
        <v>30</v>
      </c>
      <c r="AG96" s="9">
        <v>30</v>
      </c>
      <c r="AH96" s="3">
        <v>10</v>
      </c>
      <c r="AI96" s="3">
        <v>10</v>
      </c>
      <c r="AJ96" s="3">
        <v>7</v>
      </c>
      <c r="AK96" s="3">
        <v>7</v>
      </c>
      <c r="AL96" s="3">
        <v>18</v>
      </c>
      <c r="AM96" s="3">
        <v>18</v>
      </c>
      <c r="AN96" s="3">
        <v>4</v>
      </c>
      <c r="AO96" s="3">
        <v>4</v>
      </c>
      <c r="AP96" s="3">
        <v>0</v>
      </c>
      <c r="AQ96" s="3">
        <v>0</v>
      </c>
      <c r="AR96" s="2" t="s">
        <v>5</v>
      </c>
      <c r="AS96" s="2" t="s">
        <v>46</v>
      </c>
      <c r="AT96" s="5" t="str">
        <f>HYPERLINK("http://catalog.hathitrust.org/Record/000254130","HathiTrust Record")</f>
        <v>HathiTrust Record</v>
      </c>
      <c r="AU96" s="5" t="str">
        <f>HYPERLINK("https://creighton-primo.hosted.exlibrisgroup.com/primo-explore/search?tab=default_tab&amp;search_scope=EVERYTHING&amp;vid=01CRU&amp;lang=en_US&amp;offset=0&amp;query=any,contains,991004340729702656","Catalog Record")</f>
        <v>Catalog Record</v>
      </c>
      <c r="AV96" s="5" t="str">
        <f>HYPERLINK("http://www.worldcat.org/oclc/3089128","WorldCat Record")</f>
        <v>WorldCat Record</v>
      </c>
      <c r="AW96" s="2" t="s">
        <v>1299</v>
      </c>
      <c r="AX96" s="2" t="s">
        <v>1300</v>
      </c>
      <c r="AY96" s="2" t="s">
        <v>1301</v>
      </c>
      <c r="AZ96" s="2" t="s">
        <v>1301</v>
      </c>
      <c r="BA96" s="2" t="s">
        <v>1302</v>
      </c>
      <c r="BB96" s="2" t="s">
        <v>20</v>
      </c>
      <c r="BD96" s="2" t="s">
        <v>1303</v>
      </c>
      <c r="BE96" s="2" t="s">
        <v>1304</v>
      </c>
      <c r="BF96" s="2" t="s">
        <v>1305</v>
      </c>
    </row>
    <row r="97" spans="1:58" ht="39.75" customHeight="1" x14ac:dyDescent="0.25">
      <c r="A97" s="7" t="s">
        <v>5</v>
      </c>
      <c r="B97" s="1" t="s">
        <v>0</v>
      </c>
      <c r="C97" s="1" t="s">
        <v>1</v>
      </c>
      <c r="D97" s="1" t="s">
        <v>1306</v>
      </c>
      <c r="E97" s="1" t="s">
        <v>1307</v>
      </c>
      <c r="F97" s="1" t="s">
        <v>1308</v>
      </c>
      <c r="H97" s="2" t="s">
        <v>5</v>
      </c>
      <c r="I97" s="2" t="s">
        <v>6</v>
      </c>
      <c r="J97" s="2" t="s">
        <v>5</v>
      </c>
      <c r="K97" s="2" t="s">
        <v>5</v>
      </c>
      <c r="L97" s="2" t="s">
        <v>7</v>
      </c>
      <c r="M97" s="1" t="s">
        <v>1309</v>
      </c>
      <c r="N97" s="1" t="s">
        <v>1310</v>
      </c>
      <c r="O97" s="2" t="s">
        <v>1311</v>
      </c>
      <c r="Q97" s="2" t="s">
        <v>11</v>
      </c>
      <c r="R97" s="2" t="s">
        <v>28</v>
      </c>
      <c r="S97" s="1" t="s">
        <v>1312</v>
      </c>
      <c r="T97" s="2" t="s">
        <v>13</v>
      </c>
      <c r="U97" s="3">
        <v>3</v>
      </c>
      <c r="V97" s="3">
        <v>3</v>
      </c>
      <c r="W97" s="4" t="s">
        <v>1313</v>
      </c>
      <c r="X97" s="4" t="s">
        <v>1313</v>
      </c>
      <c r="Y97" s="4" t="s">
        <v>1314</v>
      </c>
      <c r="Z97" s="4" t="s">
        <v>1314</v>
      </c>
      <c r="AA97" s="3">
        <v>217</v>
      </c>
      <c r="AB97" s="3">
        <v>163</v>
      </c>
      <c r="AC97" s="3">
        <v>333</v>
      </c>
      <c r="AD97" s="3">
        <v>2</v>
      </c>
      <c r="AE97" s="9">
        <v>2</v>
      </c>
      <c r="AF97" s="9">
        <v>10</v>
      </c>
      <c r="AG97" s="9">
        <v>14</v>
      </c>
      <c r="AH97" s="3">
        <v>3</v>
      </c>
      <c r="AI97" s="3">
        <v>3</v>
      </c>
      <c r="AJ97" s="3">
        <v>4</v>
      </c>
      <c r="AK97" s="3">
        <v>4</v>
      </c>
      <c r="AL97" s="3">
        <v>4</v>
      </c>
      <c r="AM97" s="3">
        <v>8</v>
      </c>
      <c r="AN97" s="3">
        <v>1</v>
      </c>
      <c r="AO97" s="3">
        <v>1</v>
      </c>
      <c r="AP97" s="3">
        <v>0</v>
      </c>
      <c r="AQ97" s="3">
        <v>0</v>
      </c>
      <c r="AR97" s="2" t="s">
        <v>46</v>
      </c>
      <c r="AS97" s="2" t="s">
        <v>5</v>
      </c>
      <c r="AT97" s="5" t="str">
        <f>HYPERLINK("http://catalog.hathitrust.org/Record/001217414","HathiTrust Record")</f>
        <v>HathiTrust Record</v>
      </c>
      <c r="AU97" s="5" t="str">
        <f>HYPERLINK("https://creighton-primo.hosted.exlibrisgroup.com/primo-explore/search?tab=default_tab&amp;search_scope=EVERYTHING&amp;vid=01CRU&amp;lang=en_US&amp;offset=0&amp;query=any,contains,991004251179702656","Catalog Record")</f>
        <v>Catalog Record</v>
      </c>
      <c r="AV97" s="5" t="str">
        <f>HYPERLINK("http://www.worldcat.org/oclc/2812886","WorldCat Record")</f>
        <v>WorldCat Record</v>
      </c>
      <c r="AW97" s="2" t="s">
        <v>1315</v>
      </c>
      <c r="AX97" s="2" t="s">
        <v>1316</v>
      </c>
      <c r="AY97" s="2" t="s">
        <v>1317</v>
      </c>
      <c r="AZ97" s="2" t="s">
        <v>1317</v>
      </c>
      <c r="BA97" s="2" t="s">
        <v>1318</v>
      </c>
      <c r="BB97" s="2" t="s">
        <v>20</v>
      </c>
      <c r="BE97" s="2" t="s">
        <v>1319</v>
      </c>
      <c r="BF97" s="2" t="s">
        <v>1320</v>
      </c>
    </row>
    <row r="98" spans="1:58" ht="39.75" customHeight="1" x14ac:dyDescent="0.25">
      <c r="A98" s="7" t="s">
        <v>5</v>
      </c>
      <c r="B98" s="1" t="s">
        <v>0</v>
      </c>
      <c r="C98" s="1" t="s">
        <v>1</v>
      </c>
      <c r="D98" s="1" t="s">
        <v>1321</v>
      </c>
      <c r="E98" s="1" t="s">
        <v>1322</v>
      </c>
      <c r="F98" s="1" t="s">
        <v>1323</v>
      </c>
      <c r="H98" s="2" t="s">
        <v>5</v>
      </c>
      <c r="I98" s="2" t="s">
        <v>6</v>
      </c>
      <c r="J98" s="2" t="s">
        <v>5</v>
      </c>
      <c r="K98" s="2" t="s">
        <v>5</v>
      </c>
      <c r="L98" s="2" t="s">
        <v>7</v>
      </c>
      <c r="M98" s="1" t="s">
        <v>1324</v>
      </c>
      <c r="N98" s="1" t="s">
        <v>1325</v>
      </c>
      <c r="O98" s="2" t="s">
        <v>886</v>
      </c>
      <c r="Q98" s="2" t="s">
        <v>11</v>
      </c>
      <c r="R98" s="2" t="s">
        <v>28</v>
      </c>
      <c r="T98" s="2" t="s">
        <v>13</v>
      </c>
      <c r="U98" s="3">
        <v>9</v>
      </c>
      <c r="V98" s="3">
        <v>9</v>
      </c>
      <c r="W98" s="4" t="s">
        <v>1326</v>
      </c>
      <c r="X98" s="4" t="s">
        <v>1326</v>
      </c>
      <c r="Y98" s="4" t="s">
        <v>1314</v>
      </c>
      <c r="Z98" s="4" t="s">
        <v>1314</v>
      </c>
      <c r="AA98" s="3">
        <v>252</v>
      </c>
      <c r="AB98" s="3">
        <v>160</v>
      </c>
      <c r="AC98" s="3">
        <v>163</v>
      </c>
      <c r="AD98" s="3">
        <v>2</v>
      </c>
      <c r="AE98" s="9">
        <v>2</v>
      </c>
      <c r="AF98" s="9">
        <v>8</v>
      </c>
      <c r="AG98" s="9">
        <v>8</v>
      </c>
      <c r="AH98" s="3">
        <v>1</v>
      </c>
      <c r="AI98" s="3">
        <v>1</v>
      </c>
      <c r="AJ98" s="3">
        <v>3</v>
      </c>
      <c r="AK98" s="3">
        <v>3</v>
      </c>
      <c r="AL98" s="3">
        <v>4</v>
      </c>
      <c r="AM98" s="3">
        <v>4</v>
      </c>
      <c r="AN98" s="3">
        <v>1</v>
      </c>
      <c r="AO98" s="3">
        <v>1</v>
      </c>
      <c r="AP98" s="3">
        <v>0</v>
      </c>
      <c r="AQ98" s="3">
        <v>0</v>
      </c>
      <c r="AR98" s="2" t="s">
        <v>5</v>
      </c>
      <c r="AS98" s="2" t="s">
        <v>46</v>
      </c>
      <c r="AT98" s="5" t="str">
        <f>HYPERLINK("http://catalog.hathitrust.org/Record/001217393","HathiTrust Record")</f>
        <v>HathiTrust Record</v>
      </c>
      <c r="AU98" s="5" t="str">
        <f>HYPERLINK("https://creighton-primo.hosted.exlibrisgroup.com/primo-explore/search?tab=default_tab&amp;search_scope=EVERYTHING&amp;vid=01CRU&amp;lang=en_US&amp;offset=0&amp;query=any,contains,991003676609702656","Catalog Record")</f>
        <v>Catalog Record</v>
      </c>
      <c r="AV98" s="5" t="str">
        <f>HYPERLINK("http://www.worldcat.org/oclc/1298277","WorldCat Record")</f>
        <v>WorldCat Record</v>
      </c>
      <c r="AW98" s="2" t="s">
        <v>1327</v>
      </c>
      <c r="AX98" s="2" t="s">
        <v>1328</v>
      </c>
      <c r="AY98" s="2" t="s">
        <v>1329</v>
      </c>
      <c r="AZ98" s="2" t="s">
        <v>1329</v>
      </c>
      <c r="BA98" s="2" t="s">
        <v>1330</v>
      </c>
      <c r="BB98" s="2" t="s">
        <v>20</v>
      </c>
      <c r="BE98" s="2" t="s">
        <v>1331</v>
      </c>
      <c r="BF98" s="2" t="s">
        <v>1332</v>
      </c>
    </row>
    <row r="99" spans="1:58" ht="39.75" customHeight="1" x14ac:dyDescent="0.25">
      <c r="A99" s="7" t="s">
        <v>5</v>
      </c>
      <c r="B99" s="1" t="s">
        <v>0</v>
      </c>
      <c r="C99" s="1" t="s">
        <v>1</v>
      </c>
      <c r="D99" s="1" t="s">
        <v>1333</v>
      </c>
      <c r="E99" s="1" t="s">
        <v>1334</v>
      </c>
      <c r="F99" s="1" t="s">
        <v>1335</v>
      </c>
      <c r="H99" s="2" t="s">
        <v>5</v>
      </c>
      <c r="I99" s="2" t="s">
        <v>6</v>
      </c>
      <c r="J99" s="2" t="s">
        <v>5</v>
      </c>
      <c r="K99" s="2" t="s">
        <v>5</v>
      </c>
      <c r="L99" s="2" t="s">
        <v>7</v>
      </c>
      <c r="M99" s="1" t="s">
        <v>1336</v>
      </c>
      <c r="N99" s="1" t="s">
        <v>1337</v>
      </c>
      <c r="O99" s="2" t="s">
        <v>177</v>
      </c>
      <c r="Q99" s="2" t="s">
        <v>11</v>
      </c>
      <c r="R99" s="2" t="s">
        <v>193</v>
      </c>
      <c r="T99" s="2" t="s">
        <v>13</v>
      </c>
      <c r="U99" s="3">
        <v>1</v>
      </c>
      <c r="V99" s="3">
        <v>1</v>
      </c>
      <c r="W99" s="4" t="s">
        <v>1338</v>
      </c>
      <c r="X99" s="4" t="s">
        <v>1338</v>
      </c>
      <c r="Y99" s="4" t="s">
        <v>1338</v>
      </c>
      <c r="Z99" s="4" t="s">
        <v>1338</v>
      </c>
      <c r="AA99" s="3">
        <v>311</v>
      </c>
      <c r="AB99" s="3">
        <v>260</v>
      </c>
      <c r="AC99" s="3">
        <v>267</v>
      </c>
      <c r="AD99" s="3">
        <v>3</v>
      </c>
      <c r="AE99" s="9">
        <v>3</v>
      </c>
      <c r="AF99" s="9">
        <v>10</v>
      </c>
      <c r="AG99" s="9">
        <v>10</v>
      </c>
      <c r="AH99" s="3">
        <v>5</v>
      </c>
      <c r="AI99" s="3">
        <v>5</v>
      </c>
      <c r="AJ99" s="3">
        <v>3</v>
      </c>
      <c r="AK99" s="3">
        <v>3</v>
      </c>
      <c r="AL99" s="3">
        <v>5</v>
      </c>
      <c r="AM99" s="3">
        <v>5</v>
      </c>
      <c r="AN99" s="3">
        <v>2</v>
      </c>
      <c r="AO99" s="3">
        <v>2</v>
      </c>
      <c r="AP99" s="3">
        <v>0</v>
      </c>
      <c r="AQ99" s="3">
        <v>0</v>
      </c>
      <c r="AR99" s="2" t="s">
        <v>5</v>
      </c>
      <c r="AS99" s="2" t="s">
        <v>46</v>
      </c>
      <c r="AT99" s="5" t="str">
        <f>HYPERLINK("http://catalog.hathitrust.org/Record/007288677","HathiTrust Record")</f>
        <v>HathiTrust Record</v>
      </c>
      <c r="AU99" s="5" t="str">
        <f>HYPERLINK("https://creighton-primo.hosted.exlibrisgroup.com/primo-explore/search?tab=default_tab&amp;search_scope=EVERYTHING&amp;vid=01CRU&amp;lang=en_US&amp;offset=0&amp;query=any,contains,991003718349702656","Catalog Record")</f>
        <v>Catalog Record</v>
      </c>
      <c r="AV99" s="5" t="str">
        <f>HYPERLINK("http://www.worldcat.org/oclc/338880","WorldCat Record")</f>
        <v>WorldCat Record</v>
      </c>
      <c r="AW99" s="2" t="s">
        <v>1339</v>
      </c>
      <c r="AX99" s="2" t="s">
        <v>1340</v>
      </c>
      <c r="AY99" s="2" t="s">
        <v>1341</v>
      </c>
      <c r="AZ99" s="2" t="s">
        <v>1341</v>
      </c>
      <c r="BA99" s="2" t="s">
        <v>1342</v>
      </c>
      <c r="BB99" s="2" t="s">
        <v>20</v>
      </c>
      <c r="BE99" s="2" t="s">
        <v>1343</v>
      </c>
      <c r="BF99" s="2" t="s">
        <v>1344</v>
      </c>
    </row>
    <row r="100" spans="1:58" ht="39.75" customHeight="1" x14ac:dyDescent="0.25">
      <c r="A100" s="7" t="s">
        <v>5</v>
      </c>
      <c r="B100" s="1" t="s">
        <v>0</v>
      </c>
      <c r="C100" s="1" t="s">
        <v>1</v>
      </c>
      <c r="D100" s="1" t="s">
        <v>1345</v>
      </c>
      <c r="E100" s="1" t="s">
        <v>1346</v>
      </c>
      <c r="F100" s="1" t="s">
        <v>1347</v>
      </c>
      <c r="H100" s="2" t="s">
        <v>5</v>
      </c>
      <c r="I100" s="2" t="s">
        <v>6</v>
      </c>
      <c r="J100" s="2" t="s">
        <v>5</v>
      </c>
      <c r="K100" s="2" t="s">
        <v>5</v>
      </c>
      <c r="L100" s="2" t="s">
        <v>7</v>
      </c>
      <c r="M100" s="1" t="s">
        <v>1348</v>
      </c>
      <c r="N100" s="1" t="s">
        <v>1349</v>
      </c>
      <c r="O100" s="2" t="s">
        <v>468</v>
      </c>
      <c r="P100" s="1" t="s">
        <v>1350</v>
      </c>
      <c r="Q100" s="2" t="s">
        <v>60</v>
      </c>
      <c r="R100" s="2" t="s">
        <v>61</v>
      </c>
      <c r="T100" s="2" t="s">
        <v>13</v>
      </c>
      <c r="U100" s="3">
        <v>1</v>
      </c>
      <c r="V100" s="3">
        <v>1</v>
      </c>
      <c r="W100" s="4" t="s">
        <v>1351</v>
      </c>
      <c r="X100" s="4" t="s">
        <v>1351</v>
      </c>
      <c r="Y100" s="4" t="s">
        <v>1352</v>
      </c>
      <c r="Z100" s="4" t="s">
        <v>1352</v>
      </c>
      <c r="AA100" s="3">
        <v>1502</v>
      </c>
      <c r="AB100" s="3">
        <v>1457</v>
      </c>
      <c r="AC100" s="3">
        <v>1724</v>
      </c>
      <c r="AD100" s="3">
        <v>11</v>
      </c>
      <c r="AE100" s="9">
        <v>12</v>
      </c>
      <c r="AF100" s="9">
        <v>46</v>
      </c>
      <c r="AG100" s="9">
        <v>55</v>
      </c>
      <c r="AH100" s="3">
        <v>21</v>
      </c>
      <c r="AI100" s="3">
        <v>23</v>
      </c>
      <c r="AJ100" s="3">
        <v>6</v>
      </c>
      <c r="AK100" s="3">
        <v>9</v>
      </c>
      <c r="AL100" s="3">
        <v>16</v>
      </c>
      <c r="AM100" s="3">
        <v>22</v>
      </c>
      <c r="AN100" s="3">
        <v>10</v>
      </c>
      <c r="AO100" s="3">
        <v>11</v>
      </c>
      <c r="AP100" s="3">
        <v>0</v>
      </c>
      <c r="AQ100" s="3">
        <v>0</v>
      </c>
      <c r="AR100" s="2" t="s">
        <v>5</v>
      </c>
      <c r="AS100" s="2" t="s">
        <v>5</v>
      </c>
      <c r="AU100" s="5" t="str">
        <f>HYPERLINK("https://creighton-primo.hosted.exlibrisgroup.com/primo-explore/search?tab=default_tab&amp;search_scope=EVERYTHING&amp;vid=01CRU&amp;lang=en_US&amp;offset=0&amp;query=any,contains,991004096729702656","Catalog Record")</f>
        <v>Catalog Record</v>
      </c>
      <c r="AV100" s="5" t="str">
        <f>HYPERLINK("http://www.worldcat.org/oclc/2360260","WorldCat Record")</f>
        <v>WorldCat Record</v>
      </c>
      <c r="AW100" s="2" t="s">
        <v>1353</v>
      </c>
      <c r="AX100" s="2" t="s">
        <v>1354</v>
      </c>
      <c r="AY100" s="2" t="s">
        <v>1355</v>
      </c>
      <c r="AZ100" s="2" t="s">
        <v>1355</v>
      </c>
      <c r="BA100" s="2" t="s">
        <v>1356</v>
      </c>
      <c r="BB100" s="2" t="s">
        <v>20</v>
      </c>
      <c r="BE100" s="2" t="s">
        <v>1357</v>
      </c>
      <c r="BF100" s="2" t="s">
        <v>1358</v>
      </c>
    </row>
    <row r="101" spans="1:58" ht="39.75" customHeight="1" x14ac:dyDescent="0.25">
      <c r="A101" s="7" t="s">
        <v>5</v>
      </c>
      <c r="B101" s="1" t="s">
        <v>0</v>
      </c>
      <c r="C101" s="1" t="s">
        <v>1</v>
      </c>
      <c r="D101" s="1" t="s">
        <v>1359</v>
      </c>
      <c r="E101" s="1" t="s">
        <v>1360</v>
      </c>
      <c r="F101" s="1" t="s">
        <v>1361</v>
      </c>
      <c r="H101" s="2" t="s">
        <v>5</v>
      </c>
      <c r="I101" s="2" t="s">
        <v>6</v>
      </c>
      <c r="J101" s="2" t="s">
        <v>5</v>
      </c>
      <c r="K101" s="2" t="s">
        <v>5</v>
      </c>
      <c r="L101" s="2" t="s">
        <v>7</v>
      </c>
      <c r="M101" s="1" t="s">
        <v>1362</v>
      </c>
      <c r="N101" s="1" t="s">
        <v>1363</v>
      </c>
      <c r="O101" s="2" t="s">
        <v>392</v>
      </c>
      <c r="Q101" s="2" t="s">
        <v>60</v>
      </c>
      <c r="R101" s="2" t="s">
        <v>193</v>
      </c>
      <c r="T101" s="2" t="s">
        <v>13</v>
      </c>
      <c r="U101" s="3">
        <v>2</v>
      </c>
      <c r="V101" s="3">
        <v>2</v>
      </c>
      <c r="W101" s="4" t="s">
        <v>1364</v>
      </c>
      <c r="X101" s="4" t="s">
        <v>1364</v>
      </c>
      <c r="Y101" s="4" t="s">
        <v>957</v>
      </c>
      <c r="Z101" s="4" t="s">
        <v>957</v>
      </c>
      <c r="AA101" s="3">
        <v>196</v>
      </c>
      <c r="AB101" s="3">
        <v>59</v>
      </c>
      <c r="AC101" s="3">
        <v>1010</v>
      </c>
      <c r="AD101" s="3">
        <v>2</v>
      </c>
      <c r="AE101" s="9">
        <v>8</v>
      </c>
      <c r="AF101" s="9">
        <v>3</v>
      </c>
      <c r="AG101" s="9">
        <v>28</v>
      </c>
      <c r="AH101" s="3">
        <v>1</v>
      </c>
      <c r="AI101" s="3">
        <v>10</v>
      </c>
      <c r="AJ101" s="3">
        <v>0</v>
      </c>
      <c r="AK101" s="3">
        <v>7</v>
      </c>
      <c r="AL101" s="3">
        <v>2</v>
      </c>
      <c r="AM101" s="3">
        <v>16</v>
      </c>
      <c r="AN101" s="3">
        <v>1</v>
      </c>
      <c r="AO101" s="3">
        <v>5</v>
      </c>
      <c r="AP101" s="3">
        <v>0</v>
      </c>
      <c r="AQ101" s="3">
        <v>0</v>
      </c>
      <c r="AR101" s="2" t="s">
        <v>5</v>
      </c>
      <c r="AS101" s="2" t="s">
        <v>46</v>
      </c>
      <c r="AT101" s="5" t="str">
        <f>HYPERLINK("http://catalog.hathitrust.org/Record/001203663","HathiTrust Record")</f>
        <v>HathiTrust Record</v>
      </c>
      <c r="AU101" s="5" t="str">
        <f>HYPERLINK("https://creighton-primo.hosted.exlibrisgroup.com/primo-explore/search?tab=default_tab&amp;search_scope=EVERYTHING&amp;vid=01CRU&amp;lang=en_US&amp;offset=0&amp;query=any,contains,991003237299702656","Catalog Record")</f>
        <v>Catalog Record</v>
      </c>
      <c r="AV101" s="5" t="str">
        <f>HYPERLINK("http://www.worldcat.org/oclc/761688","WorldCat Record")</f>
        <v>WorldCat Record</v>
      </c>
      <c r="AW101" s="2" t="s">
        <v>1365</v>
      </c>
      <c r="AX101" s="2" t="s">
        <v>1366</v>
      </c>
      <c r="AY101" s="2" t="s">
        <v>1367</v>
      </c>
      <c r="AZ101" s="2" t="s">
        <v>1367</v>
      </c>
      <c r="BA101" s="2" t="s">
        <v>1368</v>
      </c>
      <c r="BB101" s="2" t="s">
        <v>20</v>
      </c>
      <c r="BD101" s="2" t="s">
        <v>1369</v>
      </c>
      <c r="BE101" s="2" t="s">
        <v>1370</v>
      </c>
      <c r="BF101" s="2" t="s">
        <v>1371</v>
      </c>
    </row>
    <row r="102" spans="1:58" ht="39.75" customHeight="1" x14ac:dyDescent="0.25">
      <c r="A102" s="7" t="s">
        <v>5</v>
      </c>
      <c r="B102" s="1" t="s">
        <v>0</v>
      </c>
      <c r="C102" s="1" t="s">
        <v>1</v>
      </c>
      <c r="D102" s="1" t="s">
        <v>1372</v>
      </c>
      <c r="E102" s="1" t="s">
        <v>1373</v>
      </c>
      <c r="F102" s="1" t="s">
        <v>1374</v>
      </c>
      <c r="H102" s="2" t="s">
        <v>5</v>
      </c>
      <c r="I102" s="2" t="s">
        <v>6</v>
      </c>
      <c r="J102" s="2" t="s">
        <v>5</v>
      </c>
      <c r="K102" s="2" t="s">
        <v>5</v>
      </c>
      <c r="L102" s="2" t="s">
        <v>7</v>
      </c>
      <c r="M102" s="1" t="s">
        <v>1375</v>
      </c>
      <c r="N102" s="1" t="s">
        <v>1376</v>
      </c>
      <c r="O102" s="2" t="s">
        <v>91</v>
      </c>
      <c r="P102" s="1" t="s">
        <v>1377</v>
      </c>
      <c r="Q102" s="2" t="s">
        <v>60</v>
      </c>
      <c r="R102" s="2" t="s">
        <v>61</v>
      </c>
      <c r="T102" s="2" t="s">
        <v>13</v>
      </c>
      <c r="U102" s="3">
        <v>3</v>
      </c>
      <c r="V102" s="3">
        <v>3</v>
      </c>
      <c r="W102" s="4" t="s">
        <v>1364</v>
      </c>
      <c r="X102" s="4" t="s">
        <v>1364</v>
      </c>
      <c r="Y102" s="4" t="s">
        <v>263</v>
      </c>
      <c r="Z102" s="4" t="s">
        <v>263</v>
      </c>
      <c r="AA102" s="3">
        <v>1052</v>
      </c>
      <c r="AB102" s="3">
        <v>994</v>
      </c>
      <c r="AC102" s="3">
        <v>1000</v>
      </c>
      <c r="AD102" s="3">
        <v>6</v>
      </c>
      <c r="AE102" s="9">
        <v>6</v>
      </c>
      <c r="AF102" s="9">
        <v>42</v>
      </c>
      <c r="AG102" s="9">
        <v>42</v>
      </c>
      <c r="AH102" s="3">
        <v>19</v>
      </c>
      <c r="AI102" s="3">
        <v>19</v>
      </c>
      <c r="AJ102" s="3">
        <v>10</v>
      </c>
      <c r="AK102" s="3">
        <v>10</v>
      </c>
      <c r="AL102" s="3">
        <v>19</v>
      </c>
      <c r="AM102" s="3">
        <v>19</v>
      </c>
      <c r="AN102" s="3">
        <v>4</v>
      </c>
      <c r="AO102" s="3">
        <v>4</v>
      </c>
      <c r="AP102" s="3">
        <v>0</v>
      </c>
      <c r="AQ102" s="3">
        <v>0</v>
      </c>
      <c r="AR102" s="2" t="s">
        <v>5</v>
      </c>
      <c r="AS102" s="2" t="s">
        <v>5</v>
      </c>
      <c r="AU102" s="5" t="str">
        <f>HYPERLINK("https://creighton-primo.hosted.exlibrisgroup.com/primo-explore/search?tab=default_tab&amp;search_scope=EVERYTHING&amp;vid=01CRU&amp;lang=en_US&amp;offset=0&amp;query=any,contains,991002337919702656","Catalog Record")</f>
        <v>Catalog Record</v>
      </c>
      <c r="AV102" s="5" t="str">
        <f>HYPERLINK("http://www.worldcat.org/oclc/30436965","WorldCat Record")</f>
        <v>WorldCat Record</v>
      </c>
      <c r="AW102" s="2" t="s">
        <v>1378</v>
      </c>
      <c r="AX102" s="2" t="s">
        <v>1379</v>
      </c>
      <c r="AY102" s="2" t="s">
        <v>1380</v>
      </c>
      <c r="AZ102" s="2" t="s">
        <v>1380</v>
      </c>
      <c r="BA102" s="2" t="s">
        <v>1381</v>
      </c>
      <c r="BB102" s="2" t="s">
        <v>20</v>
      </c>
      <c r="BD102" s="2" t="s">
        <v>1382</v>
      </c>
      <c r="BE102" s="2" t="s">
        <v>1383</v>
      </c>
      <c r="BF102" s="2" t="s">
        <v>1384</v>
      </c>
    </row>
    <row r="103" spans="1:58" ht="39.75" customHeight="1" x14ac:dyDescent="0.25">
      <c r="A103" s="7" t="s">
        <v>5</v>
      </c>
      <c r="B103" s="1" t="s">
        <v>0</v>
      </c>
      <c r="C103" s="1" t="s">
        <v>1</v>
      </c>
      <c r="D103" s="1" t="s">
        <v>1385</v>
      </c>
      <c r="E103" s="1" t="s">
        <v>1386</v>
      </c>
      <c r="F103" s="1" t="s">
        <v>1387</v>
      </c>
      <c r="H103" s="2" t="s">
        <v>5</v>
      </c>
      <c r="I103" s="2" t="s">
        <v>6</v>
      </c>
      <c r="J103" s="2" t="s">
        <v>5</v>
      </c>
      <c r="K103" s="2" t="s">
        <v>5</v>
      </c>
      <c r="L103" s="2" t="s">
        <v>7</v>
      </c>
      <c r="M103" s="1" t="s">
        <v>1388</v>
      </c>
      <c r="N103" s="1" t="s">
        <v>1389</v>
      </c>
      <c r="O103" s="2" t="s">
        <v>1390</v>
      </c>
      <c r="Q103" s="2" t="s">
        <v>60</v>
      </c>
      <c r="R103" s="2" t="s">
        <v>277</v>
      </c>
      <c r="S103" s="1" t="s">
        <v>1391</v>
      </c>
      <c r="T103" s="2" t="s">
        <v>13</v>
      </c>
      <c r="U103" s="3">
        <v>3</v>
      </c>
      <c r="V103" s="3">
        <v>3</v>
      </c>
      <c r="W103" s="4" t="s">
        <v>1392</v>
      </c>
      <c r="X103" s="4" t="s">
        <v>1392</v>
      </c>
      <c r="Y103" s="4" t="s">
        <v>1393</v>
      </c>
      <c r="Z103" s="4" t="s">
        <v>1393</v>
      </c>
      <c r="AA103" s="3">
        <v>951</v>
      </c>
      <c r="AB103" s="3">
        <v>865</v>
      </c>
      <c r="AC103" s="3">
        <v>1023</v>
      </c>
      <c r="AD103" s="3">
        <v>3</v>
      </c>
      <c r="AE103" s="9">
        <v>5</v>
      </c>
      <c r="AF103" s="9">
        <v>30</v>
      </c>
      <c r="AG103" s="9">
        <v>36</v>
      </c>
      <c r="AH103" s="3">
        <v>14</v>
      </c>
      <c r="AI103" s="3">
        <v>15</v>
      </c>
      <c r="AJ103" s="3">
        <v>6</v>
      </c>
      <c r="AK103" s="3">
        <v>8</v>
      </c>
      <c r="AL103" s="3">
        <v>18</v>
      </c>
      <c r="AM103" s="3">
        <v>19</v>
      </c>
      <c r="AN103" s="3">
        <v>2</v>
      </c>
      <c r="AO103" s="3">
        <v>4</v>
      </c>
      <c r="AP103" s="3">
        <v>0</v>
      </c>
      <c r="AQ103" s="3">
        <v>0</v>
      </c>
      <c r="AR103" s="2" t="s">
        <v>5</v>
      </c>
      <c r="AS103" s="2" t="s">
        <v>46</v>
      </c>
      <c r="AT103" s="5" t="str">
        <f>HYPERLINK("http://catalog.hathitrust.org/Record/000259326","HathiTrust Record")</f>
        <v>HathiTrust Record</v>
      </c>
      <c r="AU103" s="5" t="str">
        <f>HYPERLINK("https://creighton-primo.hosted.exlibrisgroup.com/primo-explore/search?tab=default_tab&amp;search_scope=EVERYTHING&amp;vid=01CRU&amp;lang=en_US&amp;offset=0&amp;query=any,contains,991004688509702656","Catalog Record")</f>
        <v>Catalog Record</v>
      </c>
      <c r="AV103" s="5" t="str">
        <f>HYPERLINK("http://www.worldcat.org/oclc/4593647","WorldCat Record")</f>
        <v>WorldCat Record</v>
      </c>
      <c r="AW103" s="2" t="s">
        <v>1394</v>
      </c>
      <c r="AX103" s="2" t="s">
        <v>1395</v>
      </c>
      <c r="AY103" s="2" t="s">
        <v>1396</v>
      </c>
      <c r="AZ103" s="2" t="s">
        <v>1396</v>
      </c>
      <c r="BA103" s="2" t="s">
        <v>1397</v>
      </c>
      <c r="BB103" s="2" t="s">
        <v>20</v>
      </c>
      <c r="BD103" s="2" t="s">
        <v>1398</v>
      </c>
      <c r="BE103" s="2" t="s">
        <v>1399</v>
      </c>
      <c r="BF103" s="2" t="s">
        <v>1400</v>
      </c>
    </row>
    <row r="104" spans="1:58" ht="39.75" customHeight="1" x14ac:dyDescent="0.25">
      <c r="A104" s="7" t="s">
        <v>5</v>
      </c>
      <c r="B104" s="1" t="s">
        <v>0</v>
      </c>
      <c r="C104" s="1" t="s">
        <v>1</v>
      </c>
      <c r="D104" s="1" t="s">
        <v>1401</v>
      </c>
      <c r="E104" s="1" t="s">
        <v>1402</v>
      </c>
      <c r="F104" s="1" t="s">
        <v>1403</v>
      </c>
      <c r="H104" s="2" t="s">
        <v>5</v>
      </c>
      <c r="I104" s="2" t="s">
        <v>6</v>
      </c>
      <c r="J104" s="2" t="s">
        <v>5</v>
      </c>
      <c r="K104" s="2" t="s">
        <v>5</v>
      </c>
      <c r="L104" s="2" t="s">
        <v>7</v>
      </c>
      <c r="M104" s="1" t="s">
        <v>1404</v>
      </c>
      <c r="N104" s="1" t="s">
        <v>1405</v>
      </c>
      <c r="O104" s="2" t="s">
        <v>42</v>
      </c>
      <c r="Q104" s="2" t="s">
        <v>11</v>
      </c>
      <c r="R104" s="2" t="s">
        <v>28</v>
      </c>
      <c r="T104" s="2" t="s">
        <v>13</v>
      </c>
      <c r="U104" s="3">
        <v>1</v>
      </c>
      <c r="V104" s="3">
        <v>1</v>
      </c>
      <c r="W104" s="4" t="s">
        <v>1351</v>
      </c>
      <c r="X104" s="4" t="s">
        <v>1351</v>
      </c>
      <c r="Y104" s="4" t="s">
        <v>1406</v>
      </c>
      <c r="Z104" s="4" t="s">
        <v>1406</v>
      </c>
      <c r="AA104" s="3">
        <v>114</v>
      </c>
      <c r="AB104" s="3">
        <v>66</v>
      </c>
      <c r="AC104" s="3">
        <v>67</v>
      </c>
      <c r="AD104" s="3">
        <v>2</v>
      </c>
      <c r="AE104" s="9">
        <v>2</v>
      </c>
      <c r="AF104" s="9">
        <v>4</v>
      </c>
      <c r="AG104" s="9">
        <v>4</v>
      </c>
      <c r="AH104" s="3">
        <v>1</v>
      </c>
      <c r="AI104" s="3">
        <v>1</v>
      </c>
      <c r="AJ104" s="3">
        <v>2</v>
      </c>
      <c r="AK104" s="3">
        <v>2</v>
      </c>
      <c r="AL104" s="3">
        <v>2</v>
      </c>
      <c r="AM104" s="3">
        <v>2</v>
      </c>
      <c r="AN104" s="3">
        <v>1</v>
      </c>
      <c r="AO104" s="3">
        <v>1</v>
      </c>
      <c r="AP104" s="3">
        <v>0</v>
      </c>
      <c r="AQ104" s="3">
        <v>0</v>
      </c>
      <c r="AR104" s="2" t="s">
        <v>5</v>
      </c>
      <c r="AS104" s="2" t="s">
        <v>46</v>
      </c>
      <c r="AT104" s="5" t="str">
        <f>HYPERLINK("http://catalog.hathitrust.org/Record/002438012","HathiTrust Record")</f>
        <v>HathiTrust Record</v>
      </c>
      <c r="AU104" s="5" t="str">
        <f>HYPERLINK("https://creighton-primo.hosted.exlibrisgroup.com/primo-explore/search?tab=default_tab&amp;search_scope=EVERYTHING&amp;vid=01CRU&amp;lang=en_US&amp;offset=0&amp;query=any,contains,991001889939702656","Catalog Record")</f>
        <v>Catalog Record</v>
      </c>
      <c r="AV104" s="5" t="str">
        <f>HYPERLINK("http://www.worldcat.org/oclc/23863172","WorldCat Record")</f>
        <v>WorldCat Record</v>
      </c>
      <c r="AW104" s="2" t="s">
        <v>1407</v>
      </c>
      <c r="AX104" s="2" t="s">
        <v>1408</v>
      </c>
      <c r="AY104" s="2" t="s">
        <v>1409</v>
      </c>
      <c r="AZ104" s="2" t="s">
        <v>1409</v>
      </c>
      <c r="BA104" s="2" t="s">
        <v>1410</v>
      </c>
      <c r="BB104" s="2" t="s">
        <v>20</v>
      </c>
      <c r="BD104" s="2" t="s">
        <v>1411</v>
      </c>
      <c r="BE104" s="2" t="s">
        <v>1412</v>
      </c>
      <c r="BF104" s="2" t="s">
        <v>1413</v>
      </c>
    </row>
    <row r="105" spans="1:58" ht="39.75" customHeight="1" x14ac:dyDescent="0.25">
      <c r="A105" s="7" t="s">
        <v>5</v>
      </c>
      <c r="B105" s="1" t="s">
        <v>0</v>
      </c>
      <c r="C105" s="1" t="s">
        <v>1</v>
      </c>
      <c r="D105" s="1" t="s">
        <v>1414</v>
      </c>
      <c r="E105" s="1" t="s">
        <v>1415</v>
      </c>
      <c r="F105" s="1" t="s">
        <v>1416</v>
      </c>
      <c r="H105" s="2" t="s">
        <v>5</v>
      </c>
      <c r="I105" s="2" t="s">
        <v>6</v>
      </c>
      <c r="J105" s="2" t="s">
        <v>5</v>
      </c>
      <c r="K105" s="2" t="s">
        <v>46</v>
      </c>
      <c r="L105" s="2" t="s">
        <v>7</v>
      </c>
      <c r="M105" s="1" t="s">
        <v>132</v>
      </c>
      <c r="N105" s="1" t="s">
        <v>1417</v>
      </c>
      <c r="O105" s="2" t="s">
        <v>1418</v>
      </c>
      <c r="Q105" s="2" t="s">
        <v>11</v>
      </c>
      <c r="R105" s="2" t="s">
        <v>28</v>
      </c>
      <c r="S105" s="1" t="s">
        <v>1419</v>
      </c>
      <c r="T105" s="2" t="s">
        <v>13</v>
      </c>
      <c r="U105" s="3">
        <v>2</v>
      </c>
      <c r="V105" s="3">
        <v>2</v>
      </c>
      <c r="W105" s="4" t="s">
        <v>1420</v>
      </c>
      <c r="X105" s="4" t="s">
        <v>1420</v>
      </c>
      <c r="Y105" s="4" t="s">
        <v>1421</v>
      </c>
      <c r="Z105" s="4" t="s">
        <v>1421</v>
      </c>
      <c r="AA105" s="3">
        <v>244</v>
      </c>
      <c r="AB105" s="3">
        <v>156</v>
      </c>
      <c r="AC105" s="3">
        <v>676</v>
      </c>
      <c r="AD105" s="3">
        <v>1</v>
      </c>
      <c r="AE105" s="9">
        <v>3</v>
      </c>
      <c r="AF105" s="9">
        <v>11</v>
      </c>
      <c r="AG105" s="9">
        <v>42</v>
      </c>
      <c r="AH105" s="3">
        <v>3</v>
      </c>
      <c r="AI105" s="3">
        <v>19</v>
      </c>
      <c r="AJ105" s="3">
        <v>3</v>
      </c>
      <c r="AK105" s="3">
        <v>9</v>
      </c>
      <c r="AL105" s="3">
        <v>8</v>
      </c>
      <c r="AM105" s="3">
        <v>24</v>
      </c>
      <c r="AN105" s="3">
        <v>0</v>
      </c>
      <c r="AO105" s="3">
        <v>2</v>
      </c>
      <c r="AP105" s="3">
        <v>0</v>
      </c>
      <c r="AQ105" s="3">
        <v>0</v>
      </c>
      <c r="AR105" s="2" t="s">
        <v>5</v>
      </c>
      <c r="AS105" s="2" t="s">
        <v>46</v>
      </c>
      <c r="AT105" s="5" t="str">
        <f>HYPERLINK("http://catalog.hathitrust.org/Record/001792181","HathiTrust Record")</f>
        <v>HathiTrust Record</v>
      </c>
      <c r="AU105" s="5" t="str">
        <f>HYPERLINK("https://creighton-primo.hosted.exlibrisgroup.com/primo-explore/search?tab=default_tab&amp;search_scope=EVERYTHING&amp;vid=01CRU&amp;lang=en_US&amp;offset=0&amp;query=any,contains,991003306709702656","Catalog Record")</f>
        <v>Catalog Record</v>
      </c>
      <c r="AV105" s="5" t="str">
        <f>HYPERLINK("http://www.worldcat.org/oclc/342314","WorldCat Record")</f>
        <v>WorldCat Record</v>
      </c>
      <c r="AW105" s="2" t="s">
        <v>1422</v>
      </c>
      <c r="AX105" s="2" t="s">
        <v>1423</v>
      </c>
      <c r="AY105" s="2" t="s">
        <v>1424</v>
      </c>
      <c r="AZ105" s="2" t="s">
        <v>1424</v>
      </c>
      <c r="BA105" s="2" t="s">
        <v>1425</v>
      </c>
      <c r="BB105" s="2" t="s">
        <v>20</v>
      </c>
      <c r="BE105" s="2" t="s">
        <v>1426</v>
      </c>
      <c r="BF105" s="2" t="s">
        <v>1427</v>
      </c>
    </row>
    <row r="106" spans="1:58" ht="39.75" customHeight="1" x14ac:dyDescent="0.25">
      <c r="A106" s="7" t="s">
        <v>5</v>
      </c>
      <c r="B106" s="1" t="s">
        <v>0</v>
      </c>
      <c r="C106" s="1" t="s">
        <v>1</v>
      </c>
      <c r="D106" s="1" t="s">
        <v>1428</v>
      </c>
      <c r="E106" s="1" t="s">
        <v>1429</v>
      </c>
      <c r="F106" s="1" t="s">
        <v>1430</v>
      </c>
      <c r="H106" s="2" t="s">
        <v>5</v>
      </c>
      <c r="I106" s="2" t="s">
        <v>6</v>
      </c>
      <c r="J106" s="2" t="s">
        <v>5</v>
      </c>
      <c r="K106" s="2" t="s">
        <v>5</v>
      </c>
      <c r="L106" s="2" t="s">
        <v>7</v>
      </c>
      <c r="M106" s="1" t="s">
        <v>1431</v>
      </c>
      <c r="N106" s="1" t="s">
        <v>290</v>
      </c>
      <c r="O106" s="2" t="s">
        <v>291</v>
      </c>
      <c r="Q106" s="2" t="s">
        <v>60</v>
      </c>
      <c r="R106" s="2" t="s">
        <v>292</v>
      </c>
      <c r="S106" s="1" t="s">
        <v>1432</v>
      </c>
      <c r="T106" s="2" t="s">
        <v>13</v>
      </c>
      <c r="U106" s="3">
        <v>9</v>
      </c>
      <c r="V106" s="3">
        <v>9</v>
      </c>
      <c r="W106" s="4" t="s">
        <v>1433</v>
      </c>
      <c r="X106" s="4" t="s">
        <v>1433</v>
      </c>
      <c r="Y106" s="4" t="s">
        <v>1393</v>
      </c>
      <c r="Z106" s="4" t="s">
        <v>1393</v>
      </c>
      <c r="AA106" s="3">
        <v>644</v>
      </c>
      <c r="AB106" s="3">
        <v>511</v>
      </c>
      <c r="AC106" s="3">
        <v>525</v>
      </c>
      <c r="AD106" s="3">
        <v>3</v>
      </c>
      <c r="AE106" s="9">
        <v>3</v>
      </c>
      <c r="AF106" s="9">
        <v>25</v>
      </c>
      <c r="AG106" s="9">
        <v>25</v>
      </c>
      <c r="AH106" s="3">
        <v>8</v>
      </c>
      <c r="AI106" s="3">
        <v>8</v>
      </c>
      <c r="AJ106" s="3">
        <v>6</v>
      </c>
      <c r="AK106" s="3">
        <v>6</v>
      </c>
      <c r="AL106" s="3">
        <v>14</v>
      </c>
      <c r="AM106" s="3">
        <v>14</v>
      </c>
      <c r="AN106" s="3">
        <v>2</v>
      </c>
      <c r="AO106" s="3">
        <v>2</v>
      </c>
      <c r="AP106" s="3">
        <v>0</v>
      </c>
      <c r="AQ106" s="3">
        <v>0</v>
      </c>
      <c r="AR106" s="2" t="s">
        <v>5</v>
      </c>
      <c r="AS106" s="2" t="s">
        <v>5</v>
      </c>
      <c r="AU106" s="5" t="str">
        <f>HYPERLINK("https://creighton-primo.hosted.exlibrisgroup.com/primo-explore/search?tab=default_tab&amp;search_scope=EVERYTHING&amp;vid=01CRU&amp;lang=en_US&amp;offset=0&amp;query=any,contains,991004478159702656","Catalog Record")</f>
        <v>Catalog Record</v>
      </c>
      <c r="AV106" s="5" t="str">
        <f>HYPERLINK("http://www.worldcat.org/oclc/3616375","WorldCat Record")</f>
        <v>WorldCat Record</v>
      </c>
      <c r="AW106" s="2" t="s">
        <v>1434</v>
      </c>
      <c r="AX106" s="2" t="s">
        <v>1435</v>
      </c>
      <c r="AY106" s="2" t="s">
        <v>1436</v>
      </c>
      <c r="AZ106" s="2" t="s">
        <v>1436</v>
      </c>
      <c r="BA106" s="2" t="s">
        <v>1437</v>
      </c>
      <c r="BB106" s="2" t="s">
        <v>20</v>
      </c>
      <c r="BD106" s="2" t="s">
        <v>1438</v>
      </c>
      <c r="BE106" s="2" t="s">
        <v>1439</v>
      </c>
      <c r="BF106" s="2" t="s">
        <v>1440</v>
      </c>
    </row>
    <row r="107" spans="1:58" ht="39.75" customHeight="1" x14ac:dyDescent="0.25">
      <c r="A107" s="7" t="s">
        <v>5</v>
      </c>
      <c r="B107" s="1" t="s">
        <v>0</v>
      </c>
      <c r="C107" s="1" t="s">
        <v>1</v>
      </c>
      <c r="D107" s="1" t="s">
        <v>1441</v>
      </c>
      <c r="E107" s="1" t="s">
        <v>1442</v>
      </c>
      <c r="F107" s="1" t="s">
        <v>1443</v>
      </c>
      <c r="H107" s="2" t="s">
        <v>5</v>
      </c>
      <c r="I107" s="2" t="s">
        <v>6</v>
      </c>
      <c r="J107" s="2" t="s">
        <v>5</v>
      </c>
      <c r="K107" s="2" t="s">
        <v>5</v>
      </c>
      <c r="L107" s="2" t="s">
        <v>7</v>
      </c>
      <c r="M107" s="1" t="s">
        <v>1444</v>
      </c>
      <c r="N107" s="1" t="s">
        <v>1445</v>
      </c>
      <c r="O107" s="2" t="s">
        <v>291</v>
      </c>
      <c r="Q107" s="2" t="s">
        <v>60</v>
      </c>
      <c r="R107" s="2" t="s">
        <v>277</v>
      </c>
      <c r="S107" s="1" t="s">
        <v>1446</v>
      </c>
      <c r="T107" s="2" t="s">
        <v>13</v>
      </c>
      <c r="U107" s="3">
        <v>11</v>
      </c>
      <c r="V107" s="3">
        <v>11</v>
      </c>
      <c r="W107" s="4" t="s">
        <v>1447</v>
      </c>
      <c r="X107" s="4" t="s">
        <v>1447</v>
      </c>
      <c r="Y107" s="4" t="s">
        <v>1448</v>
      </c>
      <c r="Z107" s="4" t="s">
        <v>1448</v>
      </c>
      <c r="AA107" s="3">
        <v>871</v>
      </c>
      <c r="AB107" s="3">
        <v>773</v>
      </c>
      <c r="AC107" s="3">
        <v>780</v>
      </c>
      <c r="AD107" s="3">
        <v>4</v>
      </c>
      <c r="AE107" s="9">
        <v>4</v>
      </c>
      <c r="AF107" s="9">
        <v>27</v>
      </c>
      <c r="AG107" s="9">
        <v>27</v>
      </c>
      <c r="AH107" s="3">
        <v>10</v>
      </c>
      <c r="AI107" s="3">
        <v>10</v>
      </c>
      <c r="AJ107" s="3">
        <v>6</v>
      </c>
      <c r="AK107" s="3">
        <v>6</v>
      </c>
      <c r="AL107" s="3">
        <v>16</v>
      </c>
      <c r="AM107" s="3">
        <v>16</v>
      </c>
      <c r="AN107" s="3">
        <v>3</v>
      </c>
      <c r="AO107" s="3">
        <v>3</v>
      </c>
      <c r="AP107" s="3">
        <v>0</v>
      </c>
      <c r="AQ107" s="3">
        <v>0</v>
      </c>
      <c r="AR107" s="2" t="s">
        <v>5</v>
      </c>
      <c r="AS107" s="2" t="s">
        <v>46</v>
      </c>
      <c r="AT107" s="5" t="str">
        <f>HYPERLINK("http://catalog.hathitrust.org/Record/000731963","HathiTrust Record")</f>
        <v>HathiTrust Record</v>
      </c>
      <c r="AU107" s="5" t="str">
        <f>HYPERLINK("https://creighton-primo.hosted.exlibrisgroup.com/primo-explore/search?tab=default_tab&amp;search_scope=EVERYTHING&amp;vid=01CRU&amp;lang=en_US&amp;offset=0&amp;query=any,contains,991004158009702656","Catalog Record")</f>
        <v>Catalog Record</v>
      </c>
      <c r="AV107" s="5" t="str">
        <f>HYPERLINK("http://www.worldcat.org/oclc/2542560","WorldCat Record")</f>
        <v>WorldCat Record</v>
      </c>
      <c r="AW107" s="2" t="s">
        <v>1449</v>
      </c>
      <c r="AX107" s="2" t="s">
        <v>1450</v>
      </c>
      <c r="AY107" s="2" t="s">
        <v>1451</v>
      </c>
      <c r="AZ107" s="2" t="s">
        <v>1451</v>
      </c>
      <c r="BA107" s="2" t="s">
        <v>1452</v>
      </c>
      <c r="BB107" s="2" t="s">
        <v>20</v>
      </c>
      <c r="BD107" s="2" t="s">
        <v>1453</v>
      </c>
      <c r="BE107" s="2" t="s">
        <v>1454</v>
      </c>
      <c r="BF107" s="2" t="s">
        <v>1455</v>
      </c>
    </row>
    <row r="108" spans="1:58" ht="39.75" customHeight="1" x14ac:dyDescent="0.25">
      <c r="A108" s="7" t="s">
        <v>5</v>
      </c>
      <c r="B108" s="1" t="s">
        <v>0</v>
      </c>
      <c r="C108" s="1" t="s">
        <v>1</v>
      </c>
      <c r="D108" s="1" t="s">
        <v>1456</v>
      </c>
      <c r="E108" s="1" t="s">
        <v>1457</v>
      </c>
      <c r="F108" s="1" t="s">
        <v>1458</v>
      </c>
      <c r="H108" s="2" t="s">
        <v>5</v>
      </c>
      <c r="I108" s="2" t="s">
        <v>6</v>
      </c>
      <c r="J108" s="2" t="s">
        <v>5</v>
      </c>
      <c r="K108" s="2" t="s">
        <v>5</v>
      </c>
      <c r="L108" s="2" t="s">
        <v>7</v>
      </c>
      <c r="M108" s="1" t="s">
        <v>1459</v>
      </c>
      <c r="N108" s="1" t="s">
        <v>1460</v>
      </c>
      <c r="O108" s="2" t="s">
        <v>995</v>
      </c>
      <c r="Q108" s="2" t="s">
        <v>60</v>
      </c>
      <c r="R108" s="2" t="s">
        <v>193</v>
      </c>
      <c r="T108" s="2" t="s">
        <v>13</v>
      </c>
      <c r="U108" s="3">
        <v>11</v>
      </c>
      <c r="V108" s="3">
        <v>11</v>
      </c>
      <c r="W108" s="4" t="s">
        <v>1461</v>
      </c>
      <c r="X108" s="4" t="s">
        <v>1461</v>
      </c>
      <c r="Y108" s="4" t="s">
        <v>1393</v>
      </c>
      <c r="Z108" s="4" t="s">
        <v>1393</v>
      </c>
      <c r="AA108" s="3">
        <v>502</v>
      </c>
      <c r="AB108" s="3">
        <v>373</v>
      </c>
      <c r="AC108" s="3">
        <v>373</v>
      </c>
      <c r="AD108" s="3">
        <v>3</v>
      </c>
      <c r="AE108" s="9">
        <v>3</v>
      </c>
      <c r="AF108" s="9">
        <v>17</v>
      </c>
      <c r="AG108" s="9">
        <v>17</v>
      </c>
      <c r="AH108" s="3">
        <v>6</v>
      </c>
      <c r="AI108" s="3">
        <v>6</v>
      </c>
      <c r="AJ108" s="3">
        <v>5</v>
      </c>
      <c r="AK108" s="3">
        <v>5</v>
      </c>
      <c r="AL108" s="3">
        <v>10</v>
      </c>
      <c r="AM108" s="3">
        <v>10</v>
      </c>
      <c r="AN108" s="3">
        <v>2</v>
      </c>
      <c r="AO108" s="3">
        <v>2</v>
      </c>
      <c r="AP108" s="3">
        <v>0</v>
      </c>
      <c r="AQ108" s="3">
        <v>0</v>
      </c>
      <c r="AR108" s="2" t="s">
        <v>5</v>
      </c>
      <c r="AS108" s="2" t="s">
        <v>5</v>
      </c>
      <c r="AU108" s="5" t="str">
        <f>HYPERLINK("https://creighton-primo.hosted.exlibrisgroup.com/primo-explore/search?tab=default_tab&amp;search_scope=EVERYTHING&amp;vid=01CRU&amp;lang=en_US&amp;offset=0&amp;query=any,contains,991005115689702656","Catalog Record")</f>
        <v>Catalog Record</v>
      </c>
      <c r="AV108" s="5" t="str">
        <f>HYPERLINK("http://www.worldcat.org/oclc/7462152","WorldCat Record")</f>
        <v>WorldCat Record</v>
      </c>
      <c r="AW108" s="2" t="s">
        <v>1462</v>
      </c>
      <c r="AX108" s="2" t="s">
        <v>1463</v>
      </c>
      <c r="AY108" s="2" t="s">
        <v>1464</v>
      </c>
      <c r="AZ108" s="2" t="s">
        <v>1464</v>
      </c>
      <c r="BA108" s="2" t="s">
        <v>1465</v>
      </c>
      <c r="BB108" s="2" t="s">
        <v>20</v>
      </c>
      <c r="BD108" s="2" t="s">
        <v>1466</v>
      </c>
      <c r="BE108" s="2" t="s">
        <v>1467</v>
      </c>
      <c r="BF108" s="2" t="s">
        <v>1468</v>
      </c>
    </row>
    <row r="109" spans="1:58" ht="39.75" customHeight="1" x14ac:dyDescent="0.25">
      <c r="A109" s="7" t="s">
        <v>5</v>
      </c>
      <c r="B109" s="1" t="s">
        <v>0</v>
      </c>
      <c r="C109" s="1" t="s">
        <v>1</v>
      </c>
      <c r="D109" s="1" t="s">
        <v>1469</v>
      </c>
      <c r="E109" s="1" t="s">
        <v>1470</v>
      </c>
      <c r="F109" s="1" t="s">
        <v>1471</v>
      </c>
      <c r="H109" s="2" t="s">
        <v>5</v>
      </c>
      <c r="I109" s="2" t="s">
        <v>6</v>
      </c>
      <c r="J109" s="2" t="s">
        <v>5</v>
      </c>
      <c r="K109" s="2" t="s">
        <v>5</v>
      </c>
      <c r="L109" s="2" t="s">
        <v>7</v>
      </c>
      <c r="M109" s="1" t="s">
        <v>1459</v>
      </c>
      <c r="N109" s="1" t="s">
        <v>1472</v>
      </c>
      <c r="O109" s="2" t="s">
        <v>1473</v>
      </c>
      <c r="Q109" s="2" t="s">
        <v>60</v>
      </c>
      <c r="R109" s="2" t="s">
        <v>61</v>
      </c>
      <c r="T109" s="2" t="s">
        <v>13</v>
      </c>
      <c r="U109" s="3">
        <v>4</v>
      </c>
      <c r="V109" s="3">
        <v>4</v>
      </c>
      <c r="W109" s="4" t="s">
        <v>1474</v>
      </c>
      <c r="X109" s="4" t="s">
        <v>1474</v>
      </c>
      <c r="Y109" s="4" t="s">
        <v>1475</v>
      </c>
      <c r="Z109" s="4" t="s">
        <v>1475</v>
      </c>
      <c r="AA109" s="3">
        <v>658</v>
      </c>
      <c r="AB109" s="3">
        <v>559</v>
      </c>
      <c r="AC109" s="3">
        <v>717</v>
      </c>
      <c r="AD109" s="3">
        <v>5</v>
      </c>
      <c r="AE109" s="9">
        <v>5</v>
      </c>
      <c r="AF109" s="9">
        <v>39</v>
      </c>
      <c r="AG109" s="9">
        <v>43</v>
      </c>
      <c r="AH109" s="3">
        <v>18</v>
      </c>
      <c r="AI109" s="3">
        <v>20</v>
      </c>
      <c r="AJ109" s="3">
        <v>10</v>
      </c>
      <c r="AK109" s="3">
        <v>10</v>
      </c>
      <c r="AL109" s="3">
        <v>16</v>
      </c>
      <c r="AM109" s="3">
        <v>19</v>
      </c>
      <c r="AN109" s="3">
        <v>4</v>
      </c>
      <c r="AO109" s="3">
        <v>4</v>
      </c>
      <c r="AP109" s="3">
        <v>0</v>
      </c>
      <c r="AQ109" s="3">
        <v>0</v>
      </c>
      <c r="AR109" s="2" t="s">
        <v>5</v>
      </c>
      <c r="AS109" s="2" t="s">
        <v>5</v>
      </c>
      <c r="AU109" s="5" t="str">
        <f>HYPERLINK("https://creighton-primo.hosted.exlibrisgroup.com/primo-explore/search?tab=default_tab&amp;search_scope=EVERYTHING&amp;vid=01CRU&amp;lang=en_US&amp;offset=0&amp;query=any,contains,991004127769702656","Catalog Record")</f>
        <v>Catalog Record</v>
      </c>
      <c r="AV109" s="5" t="str">
        <f>HYPERLINK("http://www.worldcat.org/oclc/49795638","WorldCat Record")</f>
        <v>WorldCat Record</v>
      </c>
      <c r="AW109" s="2" t="s">
        <v>1476</v>
      </c>
      <c r="AX109" s="2" t="s">
        <v>1477</v>
      </c>
      <c r="AY109" s="2" t="s">
        <v>1478</v>
      </c>
      <c r="AZ109" s="2" t="s">
        <v>1478</v>
      </c>
      <c r="BA109" s="2" t="s">
        <v>1479</v>
      </c>
      <c r="BB109" s="2" t="s">
        <v>20</v>
      </c>
      <c r="BD109" s="2" t="s">
        <v>1480</v>
      </c>
      <c r="BE109" s="2" t="s">
        <v>1481</v>
      </c>
      <c r="BF109" s="2" t="s">
        <v>1482</v>
      </c>
    </row>
    <row r="110" spans="1:58" ht="39.75" customHeight="1" x14ac:dyDescent="0.25">
      <c r="A110" s="7" t="s">
        <v>5</v>
      </c>
      <c r="B110" s="1" t="s">
        <v>0</v>
      </c>
      <c r="C110" s="1" t="s">
        <v>1</v>
      </c>
      <c r="D110" s="1" t="s">
        <v>1483</v>
      </c>
      <c r="E110" s="1" t="s">
        <v>1484</v>
      </c>
      <c r="F110" s="1" t="s">
        <v>1485</v>
      </c>
      <c r="H110" s="2" t="s">
        <v>5</v>
      </c>
      <c r="I110" s="2" t="s">
        <v>6</v>
      </c>
      <c r="J110" s="2" t="s">
        <v>5</v>
      </c>
      <c r="K110" s="2" t="s">
        <v>5</v>
      </c>
      <c r="L110" s="2" t="s">
        <v>7</v>
      </c>
      <c r="M110" s="1" t="s">
        <v>1486</v>
      </c>
      <c r="N110" s="1" t="s">
        <v>1487</v>
      </c>
      <c r="O110" s="2" t="s">
        <v>91</v>
      </c>
      <c r="P110" s="1" t="s">
        <v>1488</v>
      </c>
      <c r="Q110" s="2" t="s">
        <v>60</v>
      </c>
      <c r="R110" s="2" t="s">
        <v>61</v>
      </c>
      <c r="T110" s="2" t="s">
        <v>13</v>
      </c>
      <c r="U110" s="3">
        <v>13</v>
      </c>
      <c r="V110" s="3">
        <v>13</v>
      </c>
      <c r="W110" s="4" t="s">
        <v>1489</v>
      </c>
      <c r="X110" s="4" t="s">
        <v>1489</v>
      </c>
      <c r="Y110" s="4" t="s">
        <v>1490</v>
      </c>
      <c r="Z110" s="4" t="s">
        <v>1490</v>
      </c>
      <c r="AA110" s="3">
        <v>519</v>
      </c>
      <c r="AB110" s="3">
        <v>496</v>
      </c>
      <c r="AC110" s="3">
        <v>545</v>
      </c>
      <c r="AD110" s="3">
        <v>3</v>
      </c>
      <c r="AE110" s="9">
        <v>3</v>
      </c>
      <c r="AF110" s="9">
        <v>19</v>
      </c>
      <c r="AG110" s="9">
        <v>20</v>
      </c>
      <c r="AH110" s="3">
        <v>7</v>
      </c>
      <c r="AI110" s="3">
        <v>7</v>
      </c>
      <c r="AJ110" s="3">
        <v>5</v>
      </c>
      <c r="AK110" s="3">
        <v>6</v>
      </c>
      <c r="AL110" s="3">
        <v>13</v>
      </c>
      <c r="AM110" s="3">
        <v>14</v>
      </c>
      <c r="AN110" s="3">
        <v>2</v>
      </c>
      <c r="AO110" s="3">
        <v>2</v>
      </c>
      <c r="AP110" s="3">
        <v>0</v>
      </c>
      <c r="AQ110" s="3">
        <v>0</v>
      </c>
      <c r="AR110" s="2" t="s">
        <v>5</v>
      </c>
      <c r="AS110" s="2" t="s">
        <v>5</v>
      </c>
      <c r="AU110" s="5" t="str">
        <f>HYPERLINK("https://creighton-primo.hosted.exlibrisgroup.com/primo-explore/search?tab=default_tab&amp;search_scope=EVERYTHING&amp;vid=01CRU&amp;lang=en_US&amp;offset=0&amp;query=any,contains,991002363789702656","Catalog Record")</f>
        <v>Catalog Record</v>
      </c>
      <c r="AV110" s="5" t="str">
        <f>HYPERLINK("http://www.worldcat.org/oclc/30736784","WorldCat Record")</f>
        <v>WorldCat Record</v>
      </c>
      <c r="AW110" s="2" t="s">
        <v>1491</v>
      </c>
      <c r="AX110" s="2" t="s">
        <v>1492</v>
      </c>
      <c r="AY110" s="2" t="s">
        <v>1493</v>
      </c>
      <c r="AZ110" s="2" t="s">
        <v>1493</v>
      </c>
      <c r="BA110" s="2" t="s">
        <v>1494</v>
      </c>
      <c r="BB110" s="2" t="s">
        <v>20</v>
      </c>
      <c r="BD110" s="2" t="s">
        <v>1495</v>
      </c>
      <c r="BE110" s="2" t="s">
        <v>1496</v>
      </c>
      <c r="BF110" s="2" t="s">
        <v>1497</v>
      </c>
    </row>
    <row r="111" spans="1:58" ht="39.75" customHeight="1" x14ac:dyDescent="0.25">
      <c r="A111" s="7" t="s">
        <v>5</v>
      </c>
      <c r="B111" s="1" t="s">
        <v>0</v>
      </c>
      <c r="C111" s="1" t="s">
        <v>1</v>
      </c>
      <c r="D111" s="1" t="s">
        <v>1498</v>
      </c>
      <c r="E111" s="1" t="s">
        <v>1499</v>
      </c>
      <c r="F111" s="1" t="s">
        <v>1500</v>
      </c>
      <c r="H111" s="2" t="s">
        <v>5</v>
      </c>
      <c r="I111" s="2" t="s">
        <v>6</v>
      </c>
      <c r="J111" s="2" t="s">
        <v>5</v>
      </c>
      <c r="K111" s="2" t="s">
        <v>5</v>
      </c>
      <c r="L111" s="2" t="s">
        <v>7</v>
      </c>
      <c r="M111" s="1" t="s">
        <v>1501</v>
      </c>
      <c r="N111" s="1" t="s">
        <v>1502</v>
      </c>
      <c r="O111" s="2" t="s">
        <v>307</v>
      </c>
      <c r="Q111" s="2" t="s">
        <v>60</v>
      </c>
      <c r="R111" s="2" t="s">
        <v>1123</v>
      </c>
      <c r="T111" s="2" t="s">
        <v>13</v>
      </c>
      <c r="U111" s="3">
        <v>4</v>
      </c>
      <c r="V111" s="3">
        <v>4</v>
      </c>
      <c r="W111" s="4" t="s">
        <v>1447</v>
      </c>
      <c r="X111" s="4" t="s">
        <v>1447</v>
      </c>
      <c r="Y111" s="4" t="s">
        <v>1503</v>
      </c>
      <c r="Z111" s="4" t="s">
        <v>1503</v>
      </c>
      <c r="AA111" s="3">
        <v>911</v>
      </c>
      <c r="AB111" s="3">
        <v>871</v>
      </c>
      <c r="AC111" s="3">
        <v>1045</v>
      </c>
      <c r="AD111" s="3">
        <v>6</v>
      </c>
      <c r="AE111" s="9">
        <v>6</v>
      </c>
      <c r="AF111" s="9">
        <v>35</v>
      </c>
      <c r="AG111" s="9">
        <v>44</v>
      </c>
      <c r="AH111" s="3">
        <v>16</v>
      </c>
      <c r="AI111" s="3">
        <v>18</v>
      </c>
      <c r="AJ111" s="3">
        <v>6</v>
      </c>
      <c r="AK111" s="3">
        <v>10</v>
      </c>
      <c r="AL111" s="3">
        <v>16</v>
      </c>
      <c r="AM111" s="3">
        <v>22</v>
      </c>
      <c r="AN111" s="3">
        <v>5</v>
      </c>
      <c r="AO111" s="3">
        <v>5</v>
      </c>
      <c r="AP111" s="3">
        <v>0</v>
      </c>
      <c r="AQ111" s="3">
        <v>0</v>
      </c>
      <c r="AR111" s="2" t="s">
        <v>5</v>
      </c>
      <c r="AS111" s="2" t="s">
        <v>46</v>
      </c>
      <c r="AT111" s="5" t="str">
        <f>HYPERLINK("http://catalog.hathitrust.org/Record/007126295","HathiTrust Record")</f>
        <v>HathiTrust Record</v>
      </c>
      <c r="AU111" s="5" t="str">
        <f>HYPERLINK("https://creighton-primo.hosted.exlibrisgroup.com/primo-explore/search?tab=default_tab&amp;search_scope=EVERYTHING&amp;vid=01CRU&amp;lang=en_US&amp;offset=0&amp;query=any,contains,991001920689702656","Catalog Record")</f>
        <v>Catalog Record</v>
      </c>
      <c r="AV111" s="5" t="str">
        <f>HYPERLINK("http://www.worldcat.org/oclc/244904","WorldCat Record")</f>
        <v>WorldCat Record</v>
      </c>
      <c r="AW111" s="2" t="s">
        <v>1504</v>
      </c>
      <c r="AX111" s="2" t="s">
        <v>1505</v>
      </c>
      <c r="AY111" s="2" t="s">
        <v>1506</v>
      </c>
      <c r="AZ111" s="2" t="s">
        <v>1506</v>
      </c>
      <c r="BA111" s="2" t="s">
        <v>1507</v>
      </c>
      <c r="BB111" s="2" t="s">
        <v>20</v>
      </c>
      <c r="BE111" s="2" t="s">
        <v>1508</v>
      </c>
      <c r="BF111" s="2" t="s">
        <v>1509</v>
      </c>
    </row>
    <row r="112" spans="1:58" ht="39.75" customHeight="1" x14ac:dyDescent="0.25">
      <c r="A112" s="7" t="s">
        <v>5</v>
      </c>
      <c r="B112" s="1" t="s">
        <v>0</v>
      </c>
      <c r="C112" s="1" t="s">
        <v>1</v>
      </c>
      <c r="D112" s="1" t="s">
        <v>1510</v>
      </c>
      <c r="E112" s="1" t="s">
        <v>1511</v>
      </c>
      <c r="F112" s="1" t="s">
        <v>1512</v>
      </c>
      <c r="H112" s="2" t="s">
        <v>5</v>
      </c>
      <c r="I112" s="2" t="s">
        <v>6</v>
      </c>
      <c r="J112" s="2" t="s">
        <v>5</v>
      </c>
      <c r="K112" s="2" t="s">
        <v>5</v>
      </c>
      <c r="L112" s="2" t="s">
        <v>7</v>
      </c>
      <c r="M112" s="1" t="s">
        <v>1513</v>
      </c>
      <c r="N112" s="1" t="s">
        <v>1514</v>
      </c>
      <c r="O112" s="2" t="s">
        <v>1515</v>
      </c>
      <c r="Q112" s="2" t="s">
        <v>60</v>
      </c>
      <c r="R112" s="2" t="s">
        <v>61</v>
      </c>
      <c r="T112" s="2" t="s">
        <v>13</v>
      </c>
      <c r="U112" s="3">
        <v>10</v>
      </c>
      <c r="V112" s="3">
        <v>10</v>
      </c>
      <c r="W112" s="4" t="s">
        <v>1461</v>
      </c>
      <c r="X112" s="4" t="s">
        <v>1461</v>
      </c>
      <c r="Y112" s="4" t="s">
        <v>1393</v>
      </c>
      <c r="Z112" s="4" t="s">
        <v>1393</v>
      </c>
      <c r="AA112" s="3">
        <v>304</v>
      </c>
      <c r="AB112" s="3">
        <v>271</v>
      </c>
      <c r="AC112" s="3">
        <v>317</v>
      </c>
      <c r="AD112" s="3">
        <v>1</v>
      </c>
      <c r="AE112" s="9">
        <v>3</v>
      </c>
      <c r="AF112" s="9">
        <v>11</v>
      </c>
      <c r="AG112" s="9">
        <v>16</v>
      </c>
      <c r="AH112" s="3">
        <v>4</v>
      </c>
      <c r="AI112" s="3">
        <v>6</v>
      </c>
      <c r="AJ112" s="3">
        <v>6</v>
      </c>
      <c r="AK112" s="3">
        <v>6</v>
      </c>
      <c r="AL112" s="3">
        <v>6</v>
      </c>
      <c r="AM112" s="3">
        <v>9</v>
      </c>
      <c r="AN112" s="3">
        <v>0</v>
      </c>
      <c r="AO112" s="3">
        <v>2</v>
      </c>
      <c r="AP112" s="3">
        <v>0</v>
      </c>
      <c r="AQ112" s="3">
        <v>0</v>
      </c>
      <c r="AR112" s="2" t="s">
        <v>5</v>
      </c>
      <c r="AS112" s="2" t="s">
        <v>5</v>
      </c>
      <c r="AU112" s="5" t="str">
        <f>HYPERLINK("https://creighton-primo.hosted.exlibrisgroup.com/primo-explore/search?tab=default_tab&amp;search_scope=EVERYTHING&amp;vid=01CRU&amp;lang=en_US&amp;offset=0&amp;query=any,contains,991004762769702656","Catalog Record")</f>
        <v>Catalog Record</v>
      </c>
      <c r="AV112" s="5" t="str">
        <f>HYPERLINK("http://www.worldcat.org/oclc/5008292","WorldCat Record")</f>
        <v>WorldCat Record</v>
      </c>
      <c r="AW112" s="2" t="s">
        <v>1516</v>
      </c>
      <c r="AX112" s="2" t="s">
        <v>1517</v>
      </c>
      <c r="AY112" s="2" t="s">
        <v>1518</v>
      </c>
      <c r="AZ112" s="2" t="s">
        <v>1518</v>
      </c>
      <c r="BA112" s="2" t="s">
        <v>1519</v>
      </c>
      <c r="BB112" s="2" t="s">
        <v>20</v>
      </c>
      <c r="BD112" s="2" t="s">
        <v>1520</v>
      </c>
      <c r="BE112" s="2" t="s">
        <v>1521</v>
      </c>
      <c r="BF112" s="2" t="s">
        <v>1522</v>
      </c>
    </row>
    <row r="113" spans="1:58" ht="39.75" customHeight="1" x14ac:dyDescent="0.25">
      <c r="A113" s="7" t="s">
        <v>5</v>
      </c>
      <c r="B113" s="1" t="s">
        <v>0</v>
      </c>
      <c r="C113" s="1" t="s">
        <v>1</v>
      </c>
      <c r="D113" s="1" t="s">
        <v>1523</v>
      </c>
      <c r="E113" s="1" t="s">
        <v>1524</v>
      </c>
      <c r="F113" s="1" t="s">
        <v>1525</v>
      </c>
      <c r="H113" s="2" t="s">
        <v>5</v>
      </c>
      <c r="I113" s="2" t="s">
        <v>6</v>
      </c>
      <c r="J113" s="2" t="s">
        <v>5</v>
      </c>
      <c r="K113" s="2" t="s">
        <v>5</v>
      </c>
      <c r="L113" s="2" t="s">
        <v>7</v>
      </c>
      <c r="M113" s="1" t="s">
        <v>1526</v>
      </c>
      <c r="N113" s="1" t="s">
        <v>1527</v>
      </c>
      <c r="O113" s="2" t="s">
        <v>1418</v>
      </c>
      <c r="Q113" s="2" t="s">
        <v>60</v>
      </c>
      <c r="R113" s="2" t="s">
        <v>1528</v>
      </c>
      <c r="T113" s="2" t="s">
        <v>13</v>
      </c>
      <c r="U113" s="3">
        <v>8</v>
      </c>
      <c r="V113" s="3">
        <v>8</v>
      </c>
      <c r="W113" s="4" t="s">
        <v>1447</v>
      </c>
      <c r="X113" s="4" t="s">
        <v>1447</v>
      </c>
      <c r="Y113" s="4" t="s">
        <v>1529</v>
      </c>
      <c r="Z113" s="4" t="s">
        <v>1529</v>
      </c>
      <c r="AA113" s="3">
        <v>488</v>
      </c>
      <c r="AB113" s="3">
        <v>387</v>
      </c>
      <c r="AC113" s="3">
        <v>394</v>
      </c>
      <c r="AD113" s="3">
        <v>4</v>
      </c>
      <c r="AE113" s="9">
        <v>4</v>
      </c>
      <c r="AF113" s="9">
        <v>16</v>
      </c>
      <c r="AG113" s="9">
        <v>16</v>
      </c>
      <c r="AH113" s="3">
        <v>4</v>
      </c>
      <c r="AI113" s="3">
        <v>4</v>
      </c>
      <c r="AJ113" s="3">
        <v>2</v>
      </c>
      <c r="AK113" s="3">
        <v>2</v>
      </c>
      <c r="AL113" s="3">
        <v>8</v>
      </c>
      <c r="AM113" s="3">
        <v>8</v>
      </c>
      <c r="AN113" s="3">
        <v>3</v>
      </c>
      <c r="AO113" s="3">
        <v>3</v>
      </c>
      <c r="AP113" s="3">
        <v>0</v>
      </c>
      <c r="AQ113" s="3">
        <v>0</v>
      </c>
      <c r="AR113" s="2" t="s">
        <v>5</v>
      </c>
      <c r="AS113" s="2" t="s">
        <v>46</v>
      </c>
      <c r="AT113" s="5" t="str">
        <f>HYPERLINK("http://catalog.hathitrust.org/Record/001203841","HathiTrust Record")</f>
        <v>HathiTrust Record</v>
      </c>
      <c r="AU113" s="5" t="str">
        <f>HYPERLINK("https://creighton-primo.hosted.exlibrisgroup.com/primo-explore/search?tab=default_tab&amp;search_scope=EVERYTHING&amp;vid=01CRU&amp;lang=en_US&amp;offset=0&amp;query=any,contains,991005432029702656","Catalog Record")</f>
        <v>Catalog Record</v>
      </c>
      <c r="AV113" s="5" t="str">
        <f>HYPERLINK("http://www.worldcat.org/oclc/878","WorldCat Record")</f>
        <v>WorldCat Record</v>
      </c>
      <c r="AW113" s="2" t="s">
        <v>1530</v>
      </c>
      <c r="AX113" s="2" t="s">
        <v>1531</v>
      </c>
      <c r="AY113" s="2" t="s">
        <v>1532</v>
      </c>
      <c r="AZ113" s="2" t="s">
        <v>1532</v>
      </c>
      <c r="BA113" s="2" t="s">
        <v>1533</v>
      </c>
      <c r="BB113" s="2" t="s">
        <v>20</v>
      </c>
      <c r="BD113" s="2" t="s">
        <v>1534</v>
      </c>
      <c r="BE113" s="2" t="s">
        <v>1535</v>
      </c>
      <c r="BF113" s="2" t="s">
        <v>1536</v>
      </c>
    </row>
    <row r="114" spans="1:58" ht="39.75" customHeight="1" x14ac:dyDescent="0.25">
      <c r="A114" s="7" t="s">
        <v>5</v>
      </c>
      <c r="B114" s="1" t="s">
        <v>0</v>
      </c>
      <c r="C114" s="1" t="s">
        <v>1</v>
      </c>
      <c r="D114" s="1" t="s">
        <v>1537</v>
      </c>
      <c r="E114" s="1" t="s">
        <v>1538</v>
      </c>
      <c r="F114" s="1" t="s">
        <v>1539</v>
      </c>
      <c r="H114" s="2" t="s">
        <v>5</v>
      </c>
      <c r="I114" s="2" t="s">
        <v>6</v>
      </c>
      <c r="J114" s="2" t="s">
        <v>5</v>
      </c>
      <c r="K114" s="2" t="s">
        <v>5</v>
      </c>
      <c r="L114" s="2" t="s">
        <v>7</v>
      </c>
      <c r="M114" s="1" t="s">
        <v>1540</v>
      </c>
      <c r="N114" s="1" t="s">
        <v>1541</v>
      </c>
      <c r="O114" s="2" t="s">
        <v>108</v>
      </c>
      <c r="Q114" s="2" t="s">
        <v>60</v>
      </c>
      <c r="R114" s="2" t="s">
        <v>61</v>
      </c>
      <c r="S114" s="1" t="s">
        <v>1542</v>
      </c>
      <c r="T114" s="2" t="s">
        <v>13</v>
      </c>
      <c r="U114" s="3">
        <v>2</v>
      </c>
      <c r="V114" s="3">
        <v>2</v>
      </c>
      <c r="W114" s="4" t="s">
        <v>1543</v>
      </c>
      <c r="X114" s="4" t="s">
        <v>1543</v>
      </c>
      <c r="Y114" s="4" t="s">
        <v>957</v>
      </c>
      <c r="Z114" s="4" t="s">
        <v>957</v>
      </c>
      <c r="AA114" s="3">
        <v>583</v>
      </c>
      <c r="AB114" s="3">
        <v>521</v>
      </c>
      <c r="AC114" s="3">
        <v>529</v>
      </c>
      <c r="AD114" s="3">
        <v>5</v>
      </c>
      <c r="AE114" s="9">
        <v>5</v>
      </c>
      <c r="AF114" s="9">
        <v>23</v>
      </c>
      <c r="AG114" s="9">
        <v>23</v>
      </c>
      <c r="AH114" s="3">
        <v>7</v>
      </c>
      <c r="AI114" s="3">
        <v>7</v>
      </c>
      <c r="AJ114" s="3">
        <v>5</v>
      </c>
      <c r="AK114" s="3">
        <v>5</v>
      </c>
      <c r="AL114" s="3">
        <v>13</v>
      </c>
      <c r="AM114" s="3">
        <v>13</v>
      </c>
      <c r="AN114" s="3">
        <v>4</v>
      </c>
      <c r="AO114" s="3">
        <v>4</v>
      </c>
      <c r="AP114" s="3">
        <v>0</v>
      </c>
      <c r="AQ114" s="3">
        <v>0</v>
      </c>
      <c r="AR114" s="2" t="s">
        <v>5</v>
      </c>
      <c r="AS114" s="2" t="s">
        <v>46</v>
      </c>
      <c r="AT114" s="5" t="str">
        <f>HYPERLINK("http://catalog.hathitrust.org/Record/001204054","HathiTrust Record")</f>
        <v>HathiTrust Record</v>
      </c>
      <c r="AU114" s="5" t="str">
        <f>HYPERLINK("https://creighton-primo.hosted.exlibrisgroup.com/primo-explore/search?tab=default_tab&amp;search_scope=EVERYTHING&amp;vid=01CRU&amp;lang=en_US&amp;offset=0&amp;query=any,contains,991002004649702656","Catalog Record")</f>
        <v>Catalog Record</v>
      </c>
      <c r="AV114" s="5" t="str">
        <f>HYPERLINK("http://www.worldcat.org/oclc/257867","WorldCat Record")</f>
        <v>WorldCat Record</v>
      </c>
      <c r="AW114" s="2" t="s">
        <v>1544</v>
      </c>
      <c r="AX114" s="2" t="s">
        <v>1545</v>
      </c>
      <c r="AY114" s="2" t="s">
        <v>1546</v>
      </c>
      <c r="AZ114" s="2" t="s">
        <v>1546</v>
      </c>
      <c r="BA114" s="2" t="s">
        <v>1547</v>
      </c>
      <c r="BB114" s="2" t="s">
        <v>20</v>
      </c>
      <c r="BE114" s="2" t="s">
        <v>1548</v>
      </c>
      <c r="BF114" s="2" t="s">
        <v>1549</v>
      </c>
    </row>
    <row r="115" spans="1:58" ht="39.75" customHeight="1" x14ac:dyDescent="0.25">
      <c r="A115" s="7" t="s">
        <v>5</v>
      </c>
      <c r="B115" s="1" t="s">
        <v>0</v>
      </c>
      <c r="C115" s="1" t="s">
        <v>1</v>
      </c>
      <c r="D115" s="1" t="s">
        <v>1550</v>
      </c>
      <c r="E115" s="1" t="s">
        <v>1551</v>
      </c>
      <c r="F115" s="1" t="s">
        <v>1552</v>
      </c>
      <c r="H115" s="2" t="s">
        <v>5</v>
      </c>
      <c r="I115" s="2" t="s">
        <v>6</v>
      </c>
      <c r="J115" s="2" t="s">
        <v>5</v>
      </c>
      <c r="K115" s="2" t="s">
        <v>5</v>
      </c>
      <c r="L115" s="2" t="s">
        <v>7</v>
      </c>
      <c r="M115" s="1" t="s">
        <v>1008</v>
      </c>
      <c r="N115" s="1" t="s">
        <v>1553</v>
      </c>
      <c r="O115" s="2" t="s">
        <v>392</v>
      </c>
      <c r="Q115" s="2" t="s">
        <v>11</v>
      </c>
      <c r="R115" s="2" t="s">
        <v>28</v>
      </c>
      <c r="T115" s="2" t="s">
        <v>13</v>
      </c>
      <c r="U115" s="3">
        <v>1</v>
      </c>
      <c r="V115" s="3">
        <v>1</v>
      </c>
      <c r="W115" s="4" t="s">
        <v>1554</v>
      </c>
      <c r="X115" s="4" t="s">
        <v>1554</v>
      </c>
      <c r="Y115" s="4" t="s">
        <v>1393</v>
      </c>
      <c r="Z115" s="4" t="s">
        <v>1393</v>
      </c>
      <c r="AA115" s="3">
        <v>179</v>
      </c>
      <c r="AB115" s="3">
        <v>101</v>
      </c>
      <c r="AC115" s="3">
        <v>102</v>
      </c>
      <c r="AD115" s="3">
        <v>2</v>
      </c>
      <c r="AE115" s="9">
        <v>2</v>
      </c>
      <c r="AF115" s="9">
        <v>3</v>
      </c>
      <c r="AG115" s="9">
        <v>3</v>
      </c>
      <c r="AH115" s="3">
        <v>0</v>
      </c>
      <c r="AI115" s="3">
        <v>0</v>
      </c>
      <c r="AJ115" s="3">
        <v>2</v>
      </c>
      <c r="AK115" s="3">
        <v>2</v>
      </c>
      <c r="AL115" s="3">
        <v>1</v>
      </c>
      <c r="AM115" s="3">
        <v>1</v>
      </c>
      <c r="AN115" s="3">
        <v>1</v>
      </c>
      <c r="AO115" s="3">
        <v>1</v>
      </c>
      <c r="AP115" s="3">
        <v>0</v>
      </c>
      <c r="AQ115" s="3">
        <v>0</v>
      </c>
      <c r="AR115" s="2" t="s">
        <v>5</v>
      </c>
      <c r="AS115" s="2" t="s">
        <v>5</v>
      </c>
      <c r="AU115" s="5" t="str">
        <f>HYPERLINK("https://creighton-primo.hosted.exlibrisgroup.com/primo-explore/search?tab=default_tab&amp;search_scope=EVERYTHING&amp;vid=01CRU&amp;lang=en_US&amp;offset=0&amp;query=any,contains,991003267859702656","Catalog Record")</f>
        <v>Catalog Record</v>
      </c>
      <c r="AV115" s="5" t="str">
        <f>HYPERLINK("http://www.worldcat.org/oclc/793793","WorldCat Record")</f>
        <v>WorldCat Record</v>
      </c>
      <c r="AW115" s="2" t="s">
        <v>1555</v>
      </c>
      <c r="AX115" s="2" t="s">
        <v>1556</v>
      </c>
      <c r="AY115" s="2" t="s">
        <v>1557</v>
      </c>
      <c r="AZ115" s="2" t="s">
        <v>1557</v>
      </c>
      <c r="BA115" s="2" t="s">
        <v>1558</v>
      </c>
      <c r="BB115" s="2" t="s">
        <v>20</v>
      </c>
      <c r="BE115" s="2" t="s">
        <v>1559</v>
      </c>
      <c r="BF115" s="2" t="s">
        <v>1560</v>
      </c>
    </row>
    <row r="116" spans="1:58" ht="39.75" customHeight="1" x14ac:dyDescent="0.25">
      <c r="A116" s="7" t="s">
        <v>5</v>
      </c>
      <c r="B116" s="1" t="s">
        <v>0</v>
      </c>
      <c r="C116" s="1" t="s">
        <v>1</v>
      </c>
      <c r="D116" s="1" t="s">
        <v>1561</v>
      </c>
      <c r="E116" s="1" t="s">
        <v>1562</v>
      </c>
      <c r="F116" s="1" t="s">
        <v>1563</v>
      </c>
      <c r="H116" s="2" t="s">
        <v>5</v>
      </c>
      <c r="I116" s="2" t="s">
        <v>6</v>
      </c>
      <c r="J116" s="2" t="s">
        <v>5</v>
      </c>
      <c r="K116" s="2" t="s">
        <v>46</v>
      </c>
      <c r="L116" s="2" t="s">
        <v>7</v>
      </c>
      <c r="M116" s="1" t="s">
        <v>1564</v>
      </c>
      <c r="N116" s="1" t="s">
        <v>1565</v>
      </c>
      <c r="O116" s="2" t="s">
        <v>1566</v>
      </c>
      <c r="P116" s="1" t="s">
        <v>1567</v>
      </c>
      <c r="Q116" s="2" t="s">
        <v>11</v>
      </c>
      <c r="R116" s="2" t="s">
        <v>28</v>
      </c>
      <c r="T116" s="2" t="s">
        <v>13</v>
      </c>
      <c r="U116" s="3">
        <v>2</v>
      </c>
      <c r="V116" s="3">
        <v>2</v>
      </c>
      <c r="W116" s="4" t="s">
        <v>1568</v>
      </c>
      <c r="X116" s="4" t="s">
        <v>1568</v>
      </c>
      <c r="Y116" s="4" t="s">
        <v>1569</v>
      </c>
      <c r="Z116" s="4" t="s">
        <v>1569</v>
      </c>
      <c r="AA116" s="3">
        <v>79</v>
      </c>
      <c r="AB116" s="3">
        <v>48</v>
      </c>
      <c r="AC116" s="3">
        <v>112</v>
      </c>
      <c r="AD116" s="3">
        <v>2</v>
      </c>
      <c r="AE116" s="9">
        <v>3</v>
      </c>
      <c r="AF116" s="9">
        <v>5</v>
      </c>
      <c r="AG116" s="9">
        <v>8</v>
      </c>
      <c r="AH116" s="3">
        <v>2</v>
      </c>
      <c r="AI116" s="3">
        <v>2</v>
      </c>
      <c r="AJ116" s="3">
        <v>0</v>
      </c>
      <c r="AK116" s="3">
        <v>2</v>
      </c>
      <c r="AL116" s="3">
        <v>3</v>
      </c>
      <c r="AM116" s="3">
        <v>3</v>
      </c>
      <c r="AN116" s="3">
        <v>1</v>
      </c>
      <c r="AO116" s="3">
        <v>2</v>
      </c>
      <c r="AP116" s="3">
        <v>0</v>
      </c>
      <c r="AQ116" s="3">
        <v>0</v>
      </c>
      <c r="AR116" s="2" t="s">
        <v>5</v>
      </c>
      <c r="AS116" s="2" t="s">
        <v>46</v>
      </c>
      <c r="AT116" s="5" t="str">
        <f>HYPERLINK("http://catalog.hathitrust.org/Record/101982287","HathiTrust Record")</f>
        <v>HathiTrust Record</v>
      </c>
      <c r="AU116" s="5" t="str">
        <f>HYPERLINK("https://creighton-primo.hosted.exlibrisgroup.com/primo-explore/search?tab=default_tab&amp;search_scope=EVERYTHING&amp;vid=01CRU&amp;lang=en_US&amp;offset=0&amp;query=any,contains,991004598589702656","Catalog Record")</f>
        <v>Catalog Record</v>
      </c>
      <c r="AV116" s="5" t="str">
        <f>HYPERLINK("http://www.worldcat.org/oclc/4160587","WorldCat Record")</f>
        <v>WorldCat Record</v>
      </c>
      <c r="AW116" s="2" t="s">
        <v>1570</v>
      </c>
      <c r="AX116" s="2" t="s">
        <v>1571</v>
      </c>
      <c r="AY116" s="2" t="s">
        <v>1572</v>
      </c>
      <c r="AZ116" s="2" t="s">
        <v>1572</v>
      </c>
      <c r="BA116" s="2" t="s">
        <v>1573</v>
      </c>
      <c r="BB116" s="2" t="s">
        <v>20</v>
      </c>
      <c r="BE116" s="2" t="s">
        <v>1574</v>
      </c>
      <c r="BF116" s="2" t="s">
        <v>1575</v>
      </c>
    </row>
    <row r="117" spans="1:58" ht="39.75" customHeight="1" x14ac:dyDescent="0.25">
      <c r="A117" s="7" t="s">
        <v>5</v>
      </c>
      <c r="B117" s="1" t="s">
        <v>0</v>
      </c>
      <c r="C117" s="1" t="s">
        <v>1</v>
      </c>
      <c r="D117" s="1" t="s">
        <v>1576</v>
      </c>
      <c r="E117" s="1" t="s">
        <v>1577</v>
      </c>
      <c r="F117" s="1" t="s">
        <v>1578</v>
      </c>
      <c r="H117" s="2" t="s">
        <v>5</v>
      </c>
      <c r="I117" s="2" t="s">
        <v>6</v>
      </c>
      <c r="J117" s="2" t="s">
        <v>5</v>
      </c>
      <c r="K117" s="2" t="s">
        <v>46</v>
      </c>
      <c r="L117" s="2" t="s">
        <v>7</v>
      </c>
      <c r="M117" s="1" t="s">
        <v>1348</v>
      </c>
      <c r="N117" s="1" t="s">
        <v>1579</v>
      </c>
      <c r="O117" s="2" t="s">
        <v>121</v>
      </c>
      <c r="Q117" s="2" t="s">
        <v>60</v>
      </c>
      <c r="R117" s="2" t="s">
        <v>61</v>
      </c>
      <c r="T117" s="2" t="s">
        <v>13</v>
      </c>
      <c r="U117" s="3">
        <v>2</v>
      </c>
      <c r="V117" s="3">
        <v>2</v>
      </c>
      <c r="W117" s="4" t="s">
        <v>1580</v>
      </c>
      <c r="X117" s="4" t="s">
        <v>1580</v>
      </c>
      <c r="Y117" s="4" t="s">
        <v>1581</v>
      </c>
      <c r="Z117" s="4" t="s">
        <v>1581</v>
      </c>
      <c r="AA117" s="3">
        <v>162</v>
      </c>
      <c r="AB117" s="3">
        <v>157</v>
      </c>
      <c r="AC117" s="3">
        <v>965</v>
      </c>
      <c r="AD117" s="3">
        <v>1</v>
      </c>
      <c r="AE117" s="9">
        <v>8</v>
      </c>
      <c r="AF117" s="9">
        <v>9</v>
      </c>
      <c r="AG117" s="9">
        <v>49</v>
      </c>
      <c r="AH117" s="3">
        <v>5</v>
      </c>
      <c r="AI117" s="3">
        <v>18</v>
      </c>
      <c r="AJ117" s="3">
        <v>3</v>
      </c>
      <c r="AK117" s="3">
        <v>10</v>
      </c>
      <c r="AL117" s="3">
        <v>3</v>
      </c>
      <c r="AM117" s="3">
        <v>25</v>
      </c>
      <c r="AN117" s="3">
        <v>0</v>
      </c>
      <c r="AO117" s="3">
        <v>7</v>
      </c>
      <c r="AP117" s="3">
        <v>0</v>
      </c>
      <c r="AQ117" s="3">
        <v>1</v>
      </c>
      <c r="AR117" s="2" t="s">
        <v>5</v>
      </c>
      <c r="AS117" s="2" t="s">
        <v>46</v>
      </c>
      <c r="AT117" s="5" t="str">
        <f>HYPERLINK("http://catalog.hathitrust.org/Record/004457106","HathiTrust Record")</f>
        <v>HathiTrust Record</v>
      </c>
      <c r="AU117" s="5" t="str">
        <f>HYPERLINK("https://creighton-primo.hosted.exlibrisgroup.com/primo-explore/search?tab=default_tab&amp;search_scope=EVERYTHING&amp;vid=01CRU&amp;lang=en_US&amp;offset=0&amp;query=any,contains,991000230249702656","Catalog Record")</f>
        <v>Catalog Record</v>
      </c>
      <c r="AV117" s="5" t="str">
        <f>HYPERLINK("http://www.worldcat.org/oclc/67860","WorldCat Record")</f>
        <v>WorldCat Record</v>
      </c>
      <c r="AW117" s="2" t="s">
        <v>1582</v>
      </c>
      <c r="AX117" s="2" t="s">
        <v>1583</v>
      </c>
      <c r="AY117" s="2" t="s">
        <v>1584</v>
      </c>
      <c r="AZ117" s="2" t="s">
        <v>1584</v>
      </c>
      <c r="BA117" s="2" t="s">
        <v>1585</v>
      </c>
      <c r="BB117" s="2" t="s">
        <v>20</v>
      </c>
      <c r="BD117" s="2" t="s">
        <v>1586</v>
      </c>
      <c r="BE117" s="2" t="s">
        <v>1587</v>
      </c>
      <c r="BF117" s="2" t="s">
        <v>1588</v>
      </c>
    </row>
    <row r="118" spans="1:58" ht="39.75" customHeight="1" x14ac:dyDescent="0.25">
      <c r="A118" s="7" t="s">
        <v>5</v>
      </c>
      <c r="B118" s="1" t="s">
        <v>0</v>
      </c>
      <c r="C118" s="1" t="s">
        <v>1</v>
      </c>
      <c r="D118" s="1" t="s">
        <v>1589</v>
      </c>
      <c r="E118" s="1" t="s">
        <v>1590</v>
      </c>
      <c r="F118" s="1" t="s">
        <v>1591</v>
      </c>
      <c r="H118" s="2" t="s">
        <v>5</v>
      </c>
      <c r="I118" s="2" t="s">
        <v>6</v>
      </c>
      <c r="J118" s="2" t="s">
        <v>5</v>
      </c>
      <c r="K118" s="2" t="s">
        <v>5</v>
      </c>
      <c r="L118" s="2" t="s">
        <v>7</v>
      </c>
      <c r="M118" s="1" t="s">
        <v>1592</v>
      </c>
      <c r="N118" s="1" t="s">
        <v>1593</v>
      </c>
      <c r="O118" s="2" t="s">
        <v>248</v>
      </c>
      <c r="Q118" s="2" t="s">
        <v>60</v>
      </c>
      <c r="R118" s="2" t="s">
        <v>61</v>
      </c>
      <c r="S118" s="1" t="s">
        <v>1594</v>
      </c>
      <c r="T118" s="2" t="s">
        <v>13</v>
      </c>
      <c r="U118" s="3">
        <v>4</v>
      </c>
      <c r="V118" s="3">
        <v>4</v>
      </c>
      <c r="W118" s="4" t="s">
        <v>1595</v>
      </c>
      <c r="X118" s="4" t="s">
        <v>1595</v>
      </c>
      <c r="Y118" s="4" t="s">
        <v>1393</v>
      </c>
      <c r="Z118" s="4" t="s">
        <v>1393</v>
      </c>
      <c r="AA118" s="3">
        <v>600</v>
      </c>
      <c r="AB118" s="3">
        <v>554</v>
      </c>
      <c r="AC118" s="3">
        <v>696</v>
      </c>
      <c r="AD118" s="3">
        <v>2</v>
      </c>
      <c r="AE118" s="9">
        <v>4</v>
      </c>
      <c r="AF118" s="9">
        <v>27</v>
      </c>
      <c r="AG118" s="9">
        <v>33</v>
      </c>
      <c r="AH118" s="3">
        <v>10</v>
      </c>
      <c r="AI118" s="3">
        <v>13</v>
      </c>
      <c r="AJ118" s="3">
        <v>7</v>
      </c>
      <c r="AK118" s="3">
        <v>7</v>
      </c>
      <c r="AL118" s="3">
        <v>16</v>
      </c>
      <c r="AM118" s="3">
        <v>17</v>
      </c>
      <c r="AN118" s="3">
        <v>1</v>
      </c>
      <c r="AO118" s="3">
        <v>3</v>
      </c>
      <c r="AP118" s="3">
        <v>0</v>
      </c>
      <c r="AQ118" s="3">
        <v>0</v>
      </c>
      <c r="AR118" s="2" t="s">
        <v>5</v>
      </c>
      <c r="AS118" s="2" t="s">
        <v>46</v>
      </c>
      <c r="AT118" s="5" t="str">
        <f>HYPERLINK("http://catalog.hathitrust.org/Record/001205485","HathiTrust Record")</f>
        <v>HathiTrust Record</v>
      </c>
      <c r="AU118" s="5" t="str">
        <f>HYPERLINK("https://creighton-primo.hosted.exlibrisgroup.com/primo-explore/search?tab=default_tab&amp;search_scope=EVERYTHING&amp;vid=01CRU&amp;lang=en_US&amp;offset=0&amp;query=any,contains,991003637529702656","Catalog Record")</f>
        <v>Catalog Record</v>
      </c>
      <c r="AV118" s="5" t="str">
        <f>HYPERLINK("http://www.worldcat.org/oclc/151859","WorldCat Record")</f>
        <v>WorldCat Record</v>
      </c>
      <c r="AW118" s="2" t="s">
        <v>1596</v>
      </c>
      <c r="AX118" s="2" t="s">
        <v>1597</v>
      </c>
      <c r="AY118" s="2" t="s">
        <v>1598</v>
      </c>
      <c r="AZ118" s="2" t="s">
        <v>1598</v>
      </c>
      <c r="BA118" s="2" t="s">
        <v>1599</v>
      </c>
      <c r="BB118" s="2" t="s">
        <v>20</v>
      </c>
      <c r="BE118" s="2" t="s">
        <v>1600</v>
      </c>
      <c r="BF118" s="2" t="s">
        <v>1601</v>
      </c>
    </row>
    <row r="119" spans="1:58" ht="39.75" customHeight="1" x14ac:dyDescent="0.25">
      <c r="A119" s="7" t="s">
        <v>5</v>
      </c>
      <c r="B119" s="1" t="s">
        <v>0</v>
      </c>
      <c r="C119" s="1" t="s">
        <v>1</v>
      </c>
      <c r="D119" s="1" t="s">
        <v>1602</v>
      </c>
      <c r="E119" s="1" t="s">
        <v>1603</v>
      </c>
      <c r="F119" s="1" t="s">
        <v>1604</v>
      </c>
      <c r="H119" s="2" t="s">
        <v>5</v>
      </c>
      <c r="I119" s="2" t="s">
        <v>6</v>
      </c>
      <c r="J119" s="2" t="s">
        <v>5</v>
      </c>
      <c r="K119" s="2" t="s">
        <v>5</v>
      </c>
      <c r="L119" s="2" t="s">
        <v>7</v>
      </c>
      <c r="M119" s="1" t="s">
        <v>1605</v>
      </c>
      <c r="N119" s="1" t="s">
        <v>1606</v>
      </c>
      <c r="O119" s="2" t="s">
        <v>1473</v>
      </c>
      <c r="Q119" s="2" t="s">
        <v>60</v>
      </c>
      <c r="R119" s="2" t="s">
        <v>61</v>
      </c>
      <c r="S119" s="1" t="s">
        <v>1607</v>
      </c>
      <c r="T119" s="2" t="s">
        <v>13</v>
      </c>
      <c r="U119" s="3">
        <v>2</v>
      </c>
      <c r="V119" s="3">
        <v>2</v>
      </c>
      <c r="W119" s="4" t="s">
        <v>1608</v>
      </c>
      <c r="X119" s="4" t="s">
        <v>1608</v>
      </c>
      <c r="Y119" s="4" t="s">
        <v>1609</v>
      </c>
      <c r="Z119" s="4" t="s">
        <v>1609</v>
      </c>
      <c r="AA119" s="3">
        <v>143</v>
      </c>
      <c r="AB119" s="3">
        <v>111</v>
      </c>
      <c r="AC119" s="3">
        <v>133</v>
      </c>
      <c r="AD119" s="3">
        <v>2</v>
      </c>
      <c r="AE119" s="9">
        <v>2</v>
      </c>
      <c r="AF119" s="9">
        <v>6</v>
      </c>
      <c r="AG119" s="9">
        <v>6</v>
      </c>
      <c r="AH119" s="3">
        <v>0</v>
      </c>
      <c r="AI119" s="3">
        <v>0</v>
      </c>
      <c r="AJ119" s="3">
        <v>3</v>
      </c>
      <c r="AK119" s="3">
        <v>3</v>
      </c>
      <c r="AL119" s="3">
        <v>4</v>
      </c>
      <c r="AM119" s="3">
        <v>4</v>
      </c>
      <c r="AN119" s="3">
        <v>1</v>
      </c>
      <c r="AO119" s="3">
        <v>1</v>
      </c>
      <c r="AP119" s="3">
        <v>0</v>
      </c>
      <c r="AQ119" s="3">
        <v>0</v>
      </c>
      <c r="AR119" s="2" t="s">
        <v>5</v>
      </c>
      <c r="AS119" s="2" t="s">
        <v>5</v>
      </c>
      <c r="AU119" s="5" t="str">
        <f>HYPERLINK("https://creighton-primo.hosted.exlibrisgroup.com/primo-explore/search?tab=default_tab&amp;search_scope=EVERYTHING&amp;vid=01CRU&amp;lang=en_US&amp;offset=0&amp;query=any,contains,991004152269702656","Catalog Record")</f>
        <v>Catalog Record</v>
      </c>
      <c r="AV119" s="5" t="str">
        <f>HYPERLINK("http://www.worldcat.org/oclc/47650457","WorldCat Record")</f>
        <v>WorldCat Record</v>
      </c>
      <c r="AW119" s="2" t="s">
        <v>1610</v>
      </c>
      <c r="AX119" s="2" t="s">
        <v>1611</v>
      </c>
      <c r="AY119" s="2" t="s">
        <v>1612</v>
      </c>
      <c r="AZ119" s="2" t="s">
        <v>1612</v>
      </c>
      <c r="BA119" s="2" t="s">
        <v>1613</v>
      </c>
      <c r="BB119" s="2" t="s">
        <v>20</v>
      </c>
      <c r="BD119" s="2" t="s">
        <v>1614</v>
      </c>
      <c r="BE119" s="2" t="s">
        <v>1615</v>
      </c>
      <c r="BF119" s="2" t="s">
        <v>1616</v>
      </c>
    </row>
    <row r="120" spans="1:58" ht="39.75" customHeight="1" x14ac:dyDescent="0.25">
      <c r="A120" s="7" t="s">
        <v>5</v>
      </c>
      <c r="B120" s="1" t="s">
        <v>0</v>
      </c>
      <c r="C120" s="1" t="s">
        <v>1</v>
      </c>
      <c r="D120" s="1" t="s">
        <v>1617</v>
      </c>
      <c r="E120" s="1" t="s">
        <v>1618</v>
      </c>
      <c r="F120" s="1" t="s">
        <v>1619</v>
      </c>
      <c r="H120" s="2" t="s">
        <v>5</v>
      </c>
      <c r="I120" s="2" t="s">
        <v>6</v>
      </c>
      <c r="J120" s="2" t="s">
        <v>5</v>
      </c>
      <c r="K120" s="2" t="s">
        <v>5</v>
      </c>
      <c r="L120" s="2" t="s">
        <v>7</v>
      </c>
      <c r="M120" s="1" t="s">
        <v>1620</v>
      </c>
      <c r="N120" s="1" t="s">
        <v>1621</v>
      </c>
      <c r="O120" s="2" t="s">
        <v>1622</v>
      </c>
      <c r="Q120" s="2" t="s">
        <v>60</v>
      </c>
      <c r="R120" s="2" t="s">
        <v>1236</v>
      </c>
      <c r="S120" s="1" t="s">
        <v>1623</v>
      </c>
      <c r="T120" s="2" t="s">
        <v>13</v>
      </c>
      <c r="U120" s="3">
        <v>1</v>
      </c>
      <c r="V120" s="3">
        <v>1</v>
      </c>
      <c r="W120" s="4" t="s">
        <v>1624</v>
      </c>
      <c r="X120" s="4" t="s">
        <v>1624</v>
      </c>
      <c r="Y120" s="4" t="s">
        <v>1393</v>
      </c>
      <c r="Z120" s="4" t="s">
        <v>1393</v>
      </c>
      <c r="AA120" s="3">
        <v>148</v>
      </c>
      <c r="AB120" s="3">
        <v>138</v>
      </c>
      <c r="AC120" s="3">
        <v>611</v>
      </c>
      <c r="AD120" s="3">
        <v>4</v>
      </c>
      <c r="AE120" s="9">
        <v>5</v>
      </c>
      <c r="AF120" s="9">
        <v>7</v>
      </c>
      <c r="AG120" s="9">
        <v>29</v>
      </c>
      <c r="AH120" s="3">
        <v>3</v>
      </c>
      <c r="AI120" s="3">
        <v>11</v>
      </c>
      <c r="AJ120" s="3">
        <v>0</v>
      </c>
      <c r="AK120" s="3">
        <v>6</v>
      </c>
      <c r="AL120" s="3">
        <v>2</v>
      </c>
      <c r="AM120" s="3">
        <v>13</v>
      </c>
      <c r="AN120" s="3">
        <v>3</v>
      </c>
      <c r="AO120" s="3">
        <v>4</v>
      </c>
      <c r="AP120" s="3">
        <v>0</v>
      </c>
      <c r="AQ120" s="3">
        <v>0</v>
      </c>
      <c r="AR120" s="2" t="s">
        <v>5</v>
      </c>
      <c r="AS120" s="2" t="s">
        <v>5</v>
      </c>
      <c r="AT120" s="5" t="str">
        <f>HYPERLINK("http://catalog.hathitrust.org/Record/001359898","HathiTrust Record")</f>
        <v>HathiTrust Record</v>
      </c>
      <c r="AU120" s="5" t="str">
        <f>HYPERLINK("https://creighton-primo.hosted.exlibrisgroup.com/primo-explore/search?tab=default_tab&amp;search_scope=EVERYTHING&amp;vid=01CRU&amp;lang=en_US&amp;offset=0&amp;query=any,contains,991003313869702656","Catalog Record")</f>
        <v>Catalog Record</v>
      </c>
      <c r="AV120" s="5" t="str">
        <f>HYPERLINK("http://www.worldcat.org/oclc/838476","WorldCat Record")</f>
        <v>WorldCat Record</v>
      </c>
      <c r="AW120" s="2" t="s">
        <v>1625</v>
      </c>
      <c r="AX120" s="2" t="s">
        <v>1626</v>
      </c>
      <c r="AY120" s="2" t="s">
        <v>1627</v>
      </c>
      <c r="AZ120" s="2" t="s">
        <v>1627</v>
      </c>
      <c r="BA120" s="2" t="s">
        <v>1628</v>
      </c>
      <c r="BB120" s="2" t="s">
        <v>20</v>
      </c>
      <c r="BE120" s="2" t="s">
        <v>1629</v>
      </c>
      <c r="BF120" s="2" t="s">
        <v>1630</v>
      </c>
    </row>
    <row r="121" spans="1:58" ht="39.75" customHeight="1" x14ac:dyDescent="0.25">
      <c r="A121" s="7" t="s">
        <v>5</v>
      </c>
      <c r="B121" s="1" t="s">
        <v>0</v>
      </c>
      <c r="C121" s="1" t="s">
        <v>1</v>
      </c>
      <c r="D121" s="1" t="s">
        <v>1631</v>
      </c>
      <c r="E121" s="1" t="s">
        <v>1632</v>
      </c>
      <c r="F121" s="1" t="s">
        <v>1633</v>
      </c>
      <c r="H121" s="2" t="s">
        <v>5</v>
      </c>
      <c r="I121" s="2" t="s">
        <v>6</v>
      </c>
      <c r="J121" s="2" t="s">
        <v>5</v>
      </c>
      <c r="K121" s="2" t="s">
        <v>5</v>
      </c>
      <c r="L121" s="2" t="s">
        <v>7</v>
      </c>
      <c r="M121" s="1" t="s">
        <v>1634</v>
      </c>
      <c r="N121" s="1" t="s">
        <v>1635</v>
      </c>
      <c r="O121" s="2" t="s">
        <v>392</v>
      </c>
      <c r="Q121" s="2" t="s">
        <v>60</v>
      </c>
      <c r="R121" s="2" t="s">
        <v>61</v>
      </c>
      <c r="S121" s="1" t="s">
        <v>1636</v>
      </c>
      <c r="T121" s="2" t="s">
        <v>13</v>
      </c>
      <c r="U121" s="3">
        <v>3</v>
      </c>
      <c r="V121" s="3">
        <v>3</v>
      </c>
      <c r="W121" s="4" t="s">
        <v>1637</v>
      </c>
      <c r="X121" s="4" t="s">
        <v>1637</v>
      </c>
      <c r="Y121" s="4" t="s">
        <v>1638</v>
      </c>
      <c r="Z121" s="4" t="s">
        <v>1638</v>
      </c>
      <c r="AA121" s="3">
        <v>632</v>
      </c>
      <c r="AB121" s="3">
        <v>545</v>
      </c>
      <c r="AC121" s="3">
        <v>552</v>
      </c>
      <c r="AD121" s="3">
        <v>4</v>
      </c>
      <c r="AE121" s="9">
        <v>4</v>
      </c>
      <c r="AF121" s="9">
        <v>24</v>
      </c>
      <c r="AG121" s="9">
        <v>24</v>
      </c>
      <c r="AH121" s="3">
        <v>10</v>
      </c>
      <c r="AI121" s="3">
        <v>10</v>
      </c>
      <c r="AJ121" s="3">
        <v>6</v>
      </c>
      <c r="AK121" s="3">
        <v>6</v>
      </c>
      <c r="AL121" s="3">
        <v>12</v>
      </c>
      <c r="AM121" s="3">
        <v>12</v>
      </c>
      <c r="AN121" s="3">
        <v>3</v>
      </c>
      <c r="AO121" s="3">
        <v>3</v>
      </c>
      <c r="AP121" s="3">
        <v>0</v>
      </c>
      <c r="AQ121" s="3">
        <v>0</v>
      </c>
      <c r="AR121" s="2" t="s">
        <v>5</v>
      </c>
      <c r="AS121" s="2" t="s">
        <v>46</v>
      </c>
      <c r="AT121" s="5" t="str">
        <f>HYPERLINK("http://catalog.hathitrust.org/Record/001206562","HathiTrust Record")</f>
        <v>HathiTrust Record</v>
      </c>
      <c r="AU121" s="5" t="str">
        <f>HYPERLINK("https://creighton-primo.hosted.exlibrisgroup.com/primo-explore/search?tab=default_tab&amp;search_scope=EVERYTHING&amp;vid=01CRU&amp;lang=en_US&amp;offset=0&amp;query=any,contains,991003161989702656","Catalog Record")</f>
        <v>Catalog Record</v>
      </c>
      <c r="AV121" s="5" t="str">
        <f>HYPERLINK("http://www.worldcat.org/oclc/700814","WorldCat Record")</f>
        <v>WorldCat Record</v>
      </c>
      <c r="AW121" s="2" t="s">
        <v>1639</v>
      </c>
      <c r="AX121" s="2" t="s">
        <v>1640</v>
      </c>
      <c r="AY121" s="2" t="s">
        <v>1641</v>
      </c>
      <c r="AZ121" s="2" t="s">
        <v>1641</v>
      </c>
      <c r="BA121" s="2" t="s">
        <v>1642</v>
      </c>
      <c r="BB121" s="2" t="s">
        <v>20</v>
      </c>
      <c r="BD121" s="2" t="s">
        <v>1643</v>
      </c>
      <c r="BE121" s="2" t="s">
        <v>1644</v>
      </c>
      <c r="BF121" s="2" t="s">
        <v>1645</v>
      </c>
    </row>
    <row r="122" spans="1:58" ht="39.75" customHeight="1" x14ac:dyDescent="0.25">
      <c r="A122" s="7" t="s">
        <v>5</v>
      </c>
      <c r="B122" s="1" t="s">
        <v>0</v>
      </c>
      <c r="C122" s="1" t="s">
        <v>1</v>
      </c>
      <c r="D122" s="1" t="s">
        <v>1646</v>
      </c>
      <c r="E122" s="1" t="s">
        <v>1647</v>
      </c>
      <c r="F122" s="1" t="s">
        <v>1648</v>
      </c>
      <c r="H122" s="2" t="s">
        <v>5</v>
      </c>
      <c r="I122" s="2" t="s">
        <v>6</v>
      </c>
      <c r="J122" s="2" t="s">
        <v>5</v>
      </c>
      <c r="K122" s="2" t="s">
        <v>5</v>
      </c>
      <c r="L122" s="2" t="s">
        <v>7</v>
      </c>
      <c r="M122" s="1" t="s">
        <v>1649</v>
      </c>
      <c r="N122" s="1" t="s">
        <v>1650</v>
      </c>
      <c r="O122" s="2" t="s">
        <v>276</v>
      </c>
      <c r="Q122" s="2" t="s">
        <v>60</v>
      </c>
      <c r="R122" s="2" t="s">
        <v>277</v>
      </c>
      <c r="S122" s="1" t="s">
        <v>1651</v>
      </c>
      <c r="T122" s="2" t="s">
        <v>13</v>
      </c>
      <c r="U122" s="3">
        <v>2</v>
      </c>
      <c r="V122" s="3">
        <v>2</v>
      </c>
      <c r="W122" s="4" t="s">
        <v>1652</v>
      </c>
      <c r="X122" s="4" t="s">
        <v>1652</v>
      </c>
      <c r="Y122" s="4" t="s">
        <v>1653</v>
      </c>
      <c r="Z122" s="4" t="s">
        <v>1653</v>
      </c>
      <c r="AA122" s="3">
        <v>925</v>
      </c>
      <c r="AB122" s="3">
        <v>848</v>
      </c>
      <c r="AC122" s="3">
        <v>949</v>
      </c>
      <c r="AD122" s="3">
        <v>6</v>
      </c>
      <c r="AE122" s="9">
        <v>6</v>
      </c>
      <c r="AF122" s="9">
        <v>29</v>
      </c>
      <c r="AG122" s="9">
        <v>32</v>
      </c>
      <c r="AH122" s="3">
        <v>10</v>
      </c>
      <c r="AI122" s="3">
        <v>12</v>
      </c>
      <c r="AJ122" s="3">
        <v>8</v>
      </c>
      <c r="AK122" s="3">
        <v>8</v>
      </c>
      <c r="AL122" s="3">
        <v>15</v>
      </c>
      <c r="AM122" s="3">
        <v>17</v>
      </c>
      <c r="AN122" s="3">
        <v>4</v>
      </c>
      <c r="AO122" s="3">
        <v>4</v>
      </c>
      <c r="AP122" s="3">
        <v>0</v>
      </c>
      <c r="AQ122" s="3">
        <v>0</v>
      </c>
      <c r="AR122" s="2" t="s">
        <v>5</v>
      </c>
      <c r="AS122" s="2" t="s">
        <v>46</v>
      </c>
      <c r="AT122" s="5" t="str">
        <f>HYPERLINK("http://catalog.hathitrust.org/Record/000686160","HathiTrust Record")</f>
        <v>HathiTrust Record</v>
      </c>
      <c r="AU122" s="5" t="str">
        <f>HYPERLINK("https://creighton-primo.hosted.exlibrisgroup.com/primo-explore/search?tab=default_tab&amp;search_scope=EVERYTHING&amp;vid=01CRU&amp;lang=en_US&amp;offset=0&amp;query=any,contains,991003962409702656","Catalog Record")</f>
        <v>Catalog Record</v>
      </c>
      <c r="AV122" s="5" t="str">
        <f>HYPERLINK("http://www.worldcat.org/oclc/1976039","WorldCat Record")</f>
        <v>WorldCat Record</v>
      </c>
      <c r="AW122" s="2" t="s">
        <v>1654</v>
      </c>
      <c r="AX122" s="2" t="s">
        <v>1655</v>
      </c>
      <c r="AY122" s="2" t="s">
        <v>1656</v>
      </c>
      <c r="AZ122" s="2" t="s">
        <v>1656</v>
      </c>
      <c r="BA122" s="2" t="s">
        <v>1657</v>
      </c>
      <c r="BB122" s="2" t="s">
        <v>20</v>
      </c>
      <c r="BD122" s="2" t="s">
        <v>1658</v>
      </c>
      <c r="BE122" s="2" t="s">
        <v>1659</v>
      </c>
      <c r="BF122" s="2" t="s">
        <v>1660</v>
      </c>
    </row>
    <row r="123" spans="1:58" ht="39.75" customHeight="1" x14ac:dyDescent="0.25">
      <c r="A123" s="7" t="s">
        <v>5</v>
      </c>
      <c r="B123" s="1" t="s">
        <v>0</v>
      </c>
      <c r="C123" s="1" t="s">
        <v>1</v>
      </c>
      <c r="D123" s="1" t="s">
        <v>1661</v>
      </c>
      <c r="E123" s="1" t="s">
        <v>1662</v>
      </c>
      <c r="F123" s="1" t="s">
        <v>1663</v>
      </c>
      <c r="H123" s="2" t="s">
        <v>5</v>
      </c>
      <c r="I123" s="2" t="s">
        <v>6</v>
      </c>
      <c r="J123" s="2" t="s">
        <v>5</v>
      </c>
      <c r="K123" s="2" t="s">
        <v>5</v>
      </c>
      <c r="L123" s="2" t="s">
        <v>7</v>
      </c>
      <c r="M123" s="1" t="s">
        <v>1664</v>
      </c>
      <c r="N123" s="1" t="s">
        <v>1665</v>
      </c>
      <c r="O123" s="2" t="s">
        <v>995</v>
      </c>
      <c r="Q123" s="2" t="s">
        <v>60</v>
      </c>
      <c r="R123" s="2" t="s">
        <v>193</v>
      </c>
      <c r="T123" s="2" t="s">
        <v>13</v>
      </c>
      <c r="U123" s="3">
        <v>2</v>
      </c>
      <c r="V123" s="3">
        <v>2</v>
      </c>
      <c r="W123" s="4" t="s">
        <v>1652</v>
      </c>
      <c r="X123" s="4" t="s">
        <v>1652</v>
      </c>
      <c r="Y123" s="4" t="s">
        <v>1393</v>
      </c>
      <c r="Z123" s="4" t="s">
        <v>1393</v>
      </c>
      <c r="AA123" s="3">
        <v>272</v>
      </c>
      <c r="AB123" s="3">
        <v>175</v>
      </c>
      <c r="AC123" s="3">
        <v>177</v>
      </c>
      <c r="AD123" s="3">
        <v>2</v>
      </c>
      <c r="AE123" s="9">
        <v>2</v>
      </c>
      <c r="AF123" s="9">
        <v>3</v>
      </c>
      <c r="AG123" s="9">
        <v>3</v>
      </c>
      <c r="AH123" s="3">
        <v>0</v>
      </c>
      <c r="AI123" s="3">
        <v>0</v>
      </c>
      <c r="AJ123" s="3">
        <v>1</v>
      </c>
      <c r="AK123" s="3">
        <v>1</v>
      </c>
      <c r="AL123" s="3">
        <v>2</v>
      </c>
      <c r="AM123" s="3">
        <v>2</v>
      </c>
      <c r="AN123" s="3">
        <v>1</v>
      </c>
      <c r="AO123" s="3">
        <v>1</v>
      </c>
      <c r="AP123" s="3">
        <v>0</v>
      </c>
      <c r="AQ123" s="3">
        <v>0</v>
      </c>
      <c r="AR123" s="2" t="s">
        <v>5</v>
      </c>
      <c r="AS123" s="2" t="s">
        <v>46</v>
      </c>
      <c r="AT123" s="5" t="str">
        <f>HYPERLINK("http://catalog.hathitrust.org/Record/000738794","HathiTrust Record")</f>
        <v>HathiTrust Record</v>
      </c>
      <c r="AU123" s="5" t="str">
        <f>HYPERLINK("https://creighton-primo.hosted.exlibrisgroup.com/primo-explore/search?tab=default_tab&amp;search_scope=EVERYTHING&amp;vid=01CRU&amp;lang=en_US&amp;offset=0&amp;query=any,contains,991005107399702656","Catalog Record")</f>
        <v>Catalog Record</v>
      </c>
      <c r="AV123" s="5" t="str">
        <f>HYPERLINK("http://www.worldcat.org/oclc/7355816","WorldCat Record")</f>
        <v>WorldCat Record</v>
      </c>
      <c r="AW123" s="2" t="s">
        <v>1666</v>
      </c>
      <c r="AX123" s="2" t="s">
        <v>1667</v>
      </c>
      <c r="AY123" s="2" t="s">
        <v>1668</v>
      </c>
      <c r="AZ123" s="2" t="s">
        <v>1668</v>
      </c>
      <c r="BA123" s="2" t="s">
        <v>1669</v>
      </c>
      <c r="BB123" s="2" t="s">
        <v>20</v>
      </c>
      <c r="BD123" s="2" t="s">
        <v>1670</v>
      </c>
      <c r="BE123" s="2" t="s">
        <v>1671</v>
      </c>
      <c r="BF123" s="2" t="s">
        <v>1672</v>
      </c>
    </row>
    <row r="124" spans="1:58" ht="39.75" customHeight="1" x14ac:dyDescent="0.25">
      <c r="A124" s="7" t="s">
        <v>5</v>
      </c>
      <c r="B124" s="1" t="s">
        <v>0</v>
      </c>
      <c r="C124" s="1" t="s">
        <v>1</v>
      </c>
      <c r="D124" s="1" t="s">
        <v>1673</v>
      </c>
      <c r="E124" s="1" t="s">
        <v>1674</v>
      </c>
      <c r="F124" s="1" t="s">
        <v>1675</v>
      </c>
      <c r="H124" s="2" t="s">
        <v>5</v>
      </c>
      <c r="I124" s="2" t="s">
        <v>6</v>
      </c>
      <c r="J124" s="2" t="s">
        <v>5</v>
      </c>
      <c r="K124" s="2" t="s">
        <v>5</v>
      </c>
      <c r="L124" s="2" t="s">
        <v>7</v>
      </c>
      <c r="M124" s="1" t="s">
        <v>1676</v>
      </c>
      <c r="N124" s="1" t="s">
        <v>1677</v>
      </c>
      <c r="O124" s="2" t="s">
        <v>1678</v>
      </c>
      <c r="Q124" s="2" t="s">
        <v>60</v>
      </c>
      <c r="R124" s="2" t="s">
        <v>61</v>
      </c>
      <c r="T124" s="2" t="s">
        <v>13</v>
      </c>
      <c r="U124" s="3">
        <v>1</v>
      </c>
      <c r="V124" s="3">
        <v>1</v>
      </c>
      <c r="W124" s="4" t="s">
        <v>1679</v>
      </c>
      <c r="X124" s="4" t="s">
        <v>1679</v>
      </c>
      <c r="Y124" s="4" t="s">
        <v>1680</v>
      </c>
      <c r="Z124" s="4" t="s">
        <v>1680</v>
      </c>
      <c r="AA124" s="3">
        <v>167</v>
      </c>
      <c r="AB124" s="3">
        <v>165</v>
      </c>
      <c r="AC124" s="3">
        <v>394</v>
      </c>
      <c r="AD124" s="3">
        <v>3</v>
      </c>
      <c r="AE124" s="9">
        <v>6</v>
      </c>
      <c r="AF124" s="9">
        <v>8</v>
      </c>
      <c r="AG124" s="9">
        <v>22</v>
      </c>
      <c r="AH124" s="3">
        <v>1</v>
      </c>
      <c r="AI124" s="3">
        <v>5</v>
      </c>
      <c r="AJ124" s="3">
        <v>4</v>
      </c>
      <c r="AK124" s="3">
        <v>6</v>
      </c>
      <c r="AL124" s="3">
        <v>2</v>
      </c>
      <c r="AM124" s="3">
        <v>11</v>
      </c>
      <c r="AN124" s="3">
        <v>2</v>
      </c>
      <c r="AO124" s="3">
        <v>5</v>
      </c>
      <c r="AP124" s="3">
        <v>0</v>
      </c>
      <c r="AQ124" s="3">
        <v>0</v>
      </c>
      <c r="AR124" s="2" t="s">
        <v>46</v>
      </c>
      <c r="AS124" s="2" t="s">
        <v>5</v>
      </c>
      <c r="AT124" s="5" t="str">
        <f>HYPERLINK("http://catalog.hathitrust.org/Record/007657360","HathiTrust Record")</f>
        <v>HathiTrust Record</v>
      </c>
      <c r="AU124" s="5" t="str">
        <f>HYPERLINK("https://creighton-primo.hosted.exlibrisgroup.com/primo-explore/search?tab=default_tab&amp;search_scope=EVERYTHING&amp;vid=01CRU&amp;lang=en_US&amp;offset=0&amp;query=any,contains,991002410099702656","Catalog Record")</f>
        <v>Catalog Record</v>
      </c>
      <c r="AV124" s="5" t="str">
        <f>HYPERLINK("http://www.worldcat.org/oclc/339269","WorldCat Record")</f>
        <v>WorldCat Record</v>
      </c>
      <c r="AW124" s="2" t="s">
        <v>1681</v>
      </c>
      <c r="AX124" s="2" t="s">
        <v>1682</v>
      </c>
      <c r="AY124" s="2" t="s">
        <v>1683</v>
      </c>
      <c r="AZ124" s="2" t="s">
        <v>1683</v>
      </c>
      <c r="BA124" s="2" t="s">
        <v>1684</v>
      </c>
      <c r="BB124" s="2" t="s">
        <v>20</v>
      </c>
      <c r="BE124" s="2" t="s">
        <v>1685</v>
      </c>
      <c r="BF124" s="2" t="s">
        <v>1686</v>
      </c>
    </row>
    <row r="125" spans="1:58" ht="39.75" customHeight="1" x14ac:dyDescent="0.25">
      <c r="A125" s="7" t="s">
        <v>5</v>
      </c>
      <c r="B125" s="1" t="s">
        <v>0</v>
      </c>
      <c r="C125" s="1" t="s">
        <v>1</v>
      </c>
      <c r="D125" s="1" t="s">
        <v>1687</v>
      </c>
      <c r="E125" s="1" t="s">
        <v>1688</v>
      </c>
      <c r="F125" s="1" t="s">
        <v>1689</v>
      </c>
      <c r="H125" s="2" t="s">
        <v>5</v>
      </c>
      <c r="I125" s="2" t="s">
        <v>6</v>
      </c>
      <c r="J125" s="2" t="s">
        <v>5</v>
      </c>
      <c r="K125" s="2" t="s">
        <v>5</v>
      </c>
      <c r="L125" s="2" t="s">
        <v>7</v>
      </c>
      <c r="M125" s="1" t="s">
        <v>1690</v>
      </c>
      <c r="N125" s="1" t="s">
        <v>1691</v>
      </c>
      <c r="O125" s="2" t="s">
        <v>392</v>
      </c>
      <c r="Q125" s="2" t="s">
        <v>11</v>
      </c>
      <c r="R125" s="2" t="s">
        <v>12</v>
      </c>
      <c r="T125" s="2" t="s">
        <v>13</v>
      </c>
      <c r="U125" s="3">
        <v>0</v>
      </c>
      <c r="V125" s="3">
        <v>0</v>
      </c>
      <c r="W125" s="4" t="s">
        <v>1692</v>
      </c>
      <c r="X125" s="4" t="s">
        <v>1692</v>
      </c>
      <c r="Y125" s="4" t="s">
        <v>1638</v>
      </c>
      <c r="Z125" s="4" t="s">
        <v>1638</v>
      </c>
      <c r="AA125" s="3">
        <v>29</v>
      </c>
      <c r="AB125" s="3">
        <v>20</v>
      </c>
      <c r="AC125" s="3">
        <v>21</v>
      </c>
      <c r="AD125" s="3">
        <v>1</v>
      </c>
      <c r="AE125" s="9">
        <v>1</v>
      </c>
      <c r="AF125" s="9">
        <v>0</v>
      </c>
      <c r="AG125" s="9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2" t="s">
        <v>5</v>
      </c>
      <c r="AS125" s="2" t="s">
        <v>5</v>
      </c>
      <c r="AU125" s="5" t="str">
        <f>HYPERLINK("https://creighton-primo.hosted.exlibrisgroup.com/primo-explore/search?tab=default_tab&amp;search_scope=EVERYTHING&amp;vid=01CRU&amp;lang=en_US&amp;offset=0&amp;query=any,contains,991003538739702656","Catalog Record")</f>
        <v>Catalog Record</v>
      </c>
      <c r="AV125" s="5" t="str">
        <f>HYPERLINK("http://www.worldcat.org/oclc/1103555","WorldCat Record")</f>
        <v>WorldCat Record</v>
      </c>
      <c r="AW125" s="2" t="s">
        <v>1693</v>
      </c>
      <c r="AX125" s="2" t="s">
        <v>1694</v>
      </c>
      <c r="AY125" s="2" t="s">
        <v>1695</v>
      </c>
      <c r="AZ125" s="2" t="s">
        <v>1695</v>
      </c>
      <c r="BA125" s="2" t="s">
        <v>1696</v>
      </c>
      <c r="BB125" s="2" t="s">
        <v>20</v>
      </c>
      <c r="BE125" s="2" t="s">
        <v>1697</v>
      </c>
      <c r="BF125" s="2" t="s">
        <v>1698</v>
      </c>
    </row>
    <row r="126" spans="1:58" ht="39.75" customHeight="1" x14ac:dyDescent="0.25">
      <c r="A126" s="7" t="s">
        <v>5</v>
      </c>
      <c r="B126" s="1" t="s">
        <v>0</v>
      </c>
      <c r="C126" s="1" t="s">
        <v>1</v>
      </c>
      <c r="D126" s="1" t="s">
        <v>1699</v>
      </c>
      <c r="E126" s="1" t="s">
        <v>1700</v>
      </c>
      <c r="F126" s="1" t="s">
        <v>1701</v>
      </c>
      <c r="H126" s="2" t="s">
        <v>5</v>
      </c>
      <c r="I126" s="2" t="s">
        <v>6</v>
      </c>
      <c r="J126" s="2" t="s">
        <v>5</v>
      </c>
      <c r="K126" s="2" t="s">
        <v>5</v>
      </c>
      <c r="L126" s="2" t="s">
        <v>7</v>
      </c>
      <c r="M126" s="1" t="s">
        <v>1702</v>
      </c>
      <c r="N126" s="1" t="s">
        <v>1703</v>
      </c>
      <c r="O126" s="2" t="s">
        <v>468</v>
      </c>
      <c r="Q126" s="2" t="s">
        <v>60</v>
      </c>
      <c r="R126" s="2" t="s">
        <v>61</v>
      </c>
      <c r="S126" s="1" t="s">
        <v>1704</v>
      </c>
      <c r="T126" s="2" t="s">
        <v>13</v>
      </c>
      <c r="U126" s="3">
        <v>13</v>
      </c>
      <c r="V126" s="3">
        <v>13</v>
      </c>
      <c r="W126" s="4" t="s">
        <v>1705</v>
      </c>
      <c r="X126" s="4" t="s">
        <v>1705</v>
      </c>
      <c r="Y126" s="4" t="s">
        <v>1638</v>
      </c>
      <c r="Z126" s="4" t="s">
        <v>1638</v>
      </c>
      <c r="AA126" s="3">
        <v>1546</v>
      </c>
      <c r="AB126" s="3">
        <v>1437</v>
      </c>
      <c r="AC126" s="3">
        <v>1554</v>
      </c>
      <c r="AD126" s="3">
        <v>11</v>
      </c>
      <c r="AE126" s="9">
        <v>13</v>
      </c>
      <c r="AF126" s="9">
        <v>49</v>
      </c>
      <c r="AG126" s="9">
        <v>52</v>
      </c>
      <c r="AH126" s="3">
        <v>19</v>
      </c>
      <c r="AI126" s="3">
        <v>20</v>
      </c>
      <c r="AJ126" s="3">
        <v>10</v>
      </c>
      <c r="AK126" s="3">
        <v>10</v>
      </c>
      <c r="AL126" s="3">
        <v>21</v>
      </c>
      <c r="AM126" s="3">
        <v>21</v>
      </c>
      <c r="AN126" s="3">
        <v>10</v>
      </c>
      <c r="AO126" s="3">
        <v>12</v>
      </c>
      <c r="AP126" s="3">
        <v>0</v>
      </c>
      <c r="AQ126" s="3">
        <v>0</v>
      </c>
      <c r="AR126" s="2" t="s">
        <v>5</v>
      </c>
      <c r="AS126" s="2" t="s">
        <v>46</v>
      </c>
      <c r="AT126" s="5" t="str">
        <f>HYPERLINK("http://catalog.hathitrust.org/Record/001015033","HathiTrust Record")</f>
        <v>HathiTrust Record</v>
      </c>
      <c r="AU126" s="5" t="str">
        <f>HYPERLINK("https://creighton-primo.hosted.exlibrisgroup.com/primo-explore/search?tab=default_tab&amp;search_scope=EVERYTHING&amp;vid=01CRU&amp;lang=en_US&amp;offset=0&amp;query=any,contains,991002165669702656","Catalog Record")</f>
        <v>Catalog Record</v>
      </c>
      <c r="AV126" s="5" t="str">
        <f>HYPERLINK("http://www.worldcat.org/oclc/275189","WorldCat Record")</f>
        <v>WorldCat Record</v>
      </c>
      <c r="AW126" s="2" t="s">
        <v>1706</v>
      </c>
      <c r="AX126" s="2" t="s">
        <v>1707</v>
      </c>
      <c r="AY126" s="2" t="s">
        <v>1708</v>
      </c>
      <c r="AZ126" s="2" t="s">
        <v>1708</v>
      </c>
      <c r="BA126" s="2" t="s">
        <v>1709</v>
      </c>
      <c r="BB126" s="2" t="s">
        <v>20</v>
      </c>
      <c r="BE126" s="2" t="s">
        <v>1710</v>
      </c>
      <c r="BF126" s="2" t="s">
        <v>1711</v>
      </c>
    </row>
    <row r="127" spans="1:58" ht="39.75" customHeight="1" x14ac:dyDescent="0.25">
      <c r="A127" s="7" t="s">
        <v>5</v>
      </c>
      <c r="B127" s="1" t="s">
        <v>0</v>
      </c>
      <c r="C127" s="1" t="s">
        <v>1</v>
      </c>
      <c r="D127" s="1" t="s">
        <v>1712</v>
      </c>
      <c r="E127" s="1" t="s">
        <v>1713</v>
      </c>
      <c r="F127" s="1" t="s">
        <v>1714</v>
      </c>
      <c r="H127" s="2" t="s">
        <v>5</v>
      </c>
      <c r="I127" s="2" t="s">
        <v>6</v>
      </c>
      <c r="J127" s="2" t="s">
        <v>5</v>
      </c>
      <c r="K127" s="2" t="s">
        <v>5</v>
      </c>
      <c r="L127" s="2" t="s">
        <v>7</v>
      </c>
      <c r="M127" s="1" t="s">
        <v>1715</v>
      </c>
      <c r="N127" s="1" t="s">
        <v>1716</v>
      </c>
      <c r="O127" s="2" t="s">
        <v>1566</v>
      </c>
      <c r="P127" s="1" t="s">
        <v>1717</v>
      </c>
      <c r="Q127" s="2" t="s">
        <v>11</v>
      </c>
      <c r="R127" s="2" t="s">
        <v>234</v>
      </c>
      <c r="S127" s="1" t="s">
        <v>1718</v>
      </c>
      <c r="T127" s="2" t="s">
        <v>13</v>
      </c>
      <c r="U127" s="3">
        <v>3</v>
      </c>
      <c r="V127" s="3">
        <v>3</v>
      </c>
      <c r="W127" s="4" t="s">
        <v>1719</v>
      </c>
      <c r="X127" s="4" t="s">
        <v>1719</v>
      </c>
      <c r="Y127" s="4" t="s">
        <v>1720</v>
      </c>
      <c r="Z127" s="4" t="s">
        <v>1720</v>
      </c>
      <c r="AA127" s="3">
        <v>140</v>
      </c>
      <c r="AB127" s="3">
        <v>118</v>
      </c>
      <c r="AC127" s="3">
        <v>322</v>
      </c>
      <c r="AD127" s="3">
        <v>1</v>
      </c>
      <c r="AE127" s="9">
        <v>3</v>
      </c>
      <c r="AF127" s="9">
        <v>6</v>
      </c>
      <c r="AG127" s="9">
        <v>18</v>
      </c>
      <c r="AH127" s="3">
        <v>2</v>
      </c>
      <c r="AI127" s="3">
        <v>5</v>
      </c>
      <c r="AJ127" s="3">
        <v>2</v>
      </c>
      <c r="AK127" s="3">
        <v>5</v>
      </c>
      <c r="AL127" s="3">
        <v>5</v>
      </c>
      <c r="AM127" s="3">
        <v>11</v>
      </c>
      <c r="AN127" s="3">
        <v>0</v>
      </c>
      <c r="AO127" s="3">
        <v>2</v>
      </c>
      <c r="AP127" s="3">
        <v>0</v>
      </c>
      <c r="AQ127" s="3">
        <v>0</v>
      </c>
      <c r="AR127" s="2" t="s">
        <v>5</v>
      </c>
      <c r="AS127" s="2" t="s">
        <v>46</v>
      </c>
      <c r="AT127" s="5" t="str">
        <f>HYPERLINK("http://catalog.hathitrust.org/Record/008367821","HathiTrust Record")</f>
        <v>HathiTrust Record</v>
      </c>
      <c r="AU127" s="5" t="str">
        <f>HYPERLINK("https://creighton-primo.hosted.exlibrisgroup.com/primo-explore/search?tab=default_tab&amp;search_scope=EVERYTHING&amp;vid=01CRU&amp;lang=en_US&amp;offset=0&amp;query=any,contains,991003170129702656","Catalog Record")</f>
        <v>Catalog Record</v>
      </c>
      <c r="AV127" s="5" t="str">
        <f>HYPERLINK("http://www.worldcat.org/oclc/706601","WorldCat Record")</f>
        <v>WorldCat Record</v>
      </c>
      <c r="AW127" s="2" t="s">
        <v>1721</v>
      </c>
      <c r="AX127" s="2" t="s">
        <v>1722</v>
      </c>
      <c r="AY127" s="2" t="s">
        <v>1723</v>
      </c>
      <c r="AZ127" s="2" t="s">
        <v>1723</v>
      </c>
      <c r="BA127" s="2" t="s">
        <v>1724</v>
      </c>
      <c r="BB127" s="2" t="s">
        <v>20</v>
      </c>
      <c r="BE127" s="2" t="s">
        <v>1725</v>
      </c>
      <c r="BF127" s="2" t="s">
        <v>1726</v>
      </c>
    </row>
    <row r="128" spans="1:58" ht="39.75" customHeight="1" x14ac:dyDescent="0.25">
      <c r="A128" s="7" t="s">
        <v>5</v>
      </c>
      <c r="B128" s="1" t="s">
        <v>0</v>
      </c>
      <c r="C128" s="1" t="s">
        <v>1</v>
      </c>
      <c r="D128" s="1" t="s">
        <v>1727</v>
      </c>
      <c r="E128" s="1" t="s">
        <v>1728</v>
      </c>
      <c r="F128" s="1" t="s">
        <v>1729</v>
      </c>
      <c r="H128" s="2" t="s">
        <v>5</v>
      </c>
      <c r="I128" s="2" t="s">
        <v>6</v>
      </c>
      <c r="J128" s="2" t="s">
        <v>5</v>
      </c>
      <c r="K128" s="2" t="s">
        <v>5</v>
      </c>
      <c r="L128" s="2" t="s">
        <v>7</v>
      </c>
      <c r="M128" s="1" t="s">
        <v>1730</v>
      </c>
      <c r="N128" s="1" t="s">
        <v>1731</v>
      </c>
      <c r="O128" s="2" t="s">
        <v>1732</v>
      </c>
      <c r="Q128" s="2" t="s">
        <v>11</v>
      </c>
      <c r="R128" s="2" t="s">
        <v>28</v>
      </c>
      <c r="S128" s="1" t="s">
        <v>1733</v>
      </c>
      <c r="T128" s="2" t="s">
        <v>13</v>
      </c>
      <c r="U128" s="3">
        <v>3</v>
      </c>
      <c r="V128" s="3">
        <v>3</v>
      </c>
      <c r="W128" s="4" t="s">
        <v>1719</v>
      </c>
      <c r="X128" s="4" t="s">
        <v>1719</v>
      </c>
      <c r="Y128" s="4" t="s">
        <v>1720</v>
      </c>
      <c r="Z128" s="4" t="s">
        <v>1720</v>
      </c>
      <c r="AA128" s="3">
        <v>163</v>
      </c>
      <c r="AB128" s="3">
        <v>120</v>
      </c>
      <c r="AC128" s="3">
        <v>222</v>
      </c>
      <c r="AD128" s="3">
        <v>2</v>
      </c>
      <c r="AE128" s="9">
        <v>3</v>
      </c>
      <c r="AF128" s="9">
        <v>3</v>
      </c>
      <c r="AG128" s="9">
        <v>7</v>
      </c>
      <c r="AH128" s="3">
        <v>0</v>
      </c>
      <c r="AI128" s="3">
        <v>1</v>
      </c>
      <c r="AJ128" s="3">
        <v>1</v>
      </c>
      <c r="AK128" s="3">
        <v>1</v>
      </c>
      <c r="AL128" s="3">
        <v>1</v>
      </c>
      <c r="AM128" s="3">
        <v>3</v>
      </c>
      <c r="AN128" s="3">
        <v>1</v>
      </c>
      <c r="AO128" s="3">
        <v>2</v>
      </c>
      <c r="AP128" s="3">
        <v>0</v>
      </c>
      <c r="AQ128" s="3">
        <v>0</v>
      </c>
      <c r="AR128" s="2" t="s">
        <v>46</v>
      </c>
      <c r="AS128" s="2" t="s">
        <v>5</v>
      </c>
      <c r="AT128" s="5" t="str">
        <f>HYPERLINK("http://catalog.hathitrust.org/Record/009038046","HathiTrust Record")</f>
        <v>HathiTrust Record</v>
      </c>
      <c r="AU128" s="5" t="str">
        <f>HYPERLINK("https://creighton-primo.hosted.exlibrisgroup.com/primo-explore/search?tab=default_tab&amp;search_scope=EVERYTHING&amp;vid=01CRU&amp;lang=en_US&amp;offset=0&amp;query=any,contains,991004800209702656","Catalog Record")</f>
        <v>Catalog Record</v>
      </c>
      <c r="AV128" s="5" t="str">
        <f>HYPERLINK("http://www.worldcat.org/oclc/5209755","WorldCat Record")</f>
        <v>WorldCat Record</v>
      </c>
      <c r="AW128" s="2" t="s">
        <v>1734</v>
      </c>
      <c r="AX128" s="2" t="s">
        <v>1735</v>
      </c>
      <c r="AY128" s="2" t="s">
        <v>1736</v>
      </c>
      <c r="AZ128" s="2" t="s">
        <v>1736</v>
      </c>
      <c r="BA128" s="2" t="s">
        <v>1737</v>
      </c>
      <c r="BB128" s="2" t="s">
        <v>20</v>
      </c>
      <c r="BE128" s="2" t="s">
        <v>1738</v>
      </c>
      <c r="BF128" s="2" t="s">
        <v>1739</v>
      </c>
    </row>
    <row r="129" spans="1:58" ht="39.75" customHeight="1" x14ac:dyDescent="0.25">
      <c r="A129" s="7" t="s">
        <v>5</v>
      </c>
      <c r="B129" s="1" t="s">
        <v>0</v>
      </c>
      <c r="C129" s="1" t="s">
        <v>1</v>
      </c>
      <c r="D129" s="1" t="s">
        <v>1740</v>
      </c>
      <c r="E129" s="1" t="s">
        <v>1741</v>
      </c>
      <c r="F129" s="1" t="s">
        <v>1742</v>
      </c>
      <c r="H129" s="2" t="s">
        <v>5</v>
      </c>
      <c r="I129" s="2" t="s">
        <v>6</v>
      </c>
      <c r="J129" s="2" t="s">
        <v>5</v>
      </c>
      <c r="K129" s="2" t="s">
        <v>5</v>
      </c>
      <c r="L129" s="2" t="s">
        <v>7</v>
      </c>
      <c r="M129" s="1" t="s">
        <v>1501</v>
      </c>
      <c r="N129" s="1" t="s">
        <v>1743</v>
      </c>
      <c r="O129" s="2" t="s">
        <v>248</v>
      </c>
      <c r="P129" s="1" t="s">
        <v>1744</v>
      </c>
      <c r="Q129" s="2" t="s">
        <v>60</v>
      </c>
      <c r="R129" s="2" t="s">
        <v>61</v>
      </c>
      <c r="T129" s="2" t="s">
        <v>13</v>
      </c>
      <c r="U129" s="3">
        <v>5</v>
      </c>
      <c r="V129" s="3">
        <v>5</v>
      </c>
      <c r="W129" s="4" t="s">
        <v>1745</v>
      </c>
      <c r="X129" s="4" t="s">
        <v>1745</v>
      </c>
      <c r="Y129" s="4" t="s">
        <v>1746</v>
      </c>
      <c r="Z129" s="4" t="s">
        <v>1746</v>
      </c>
      <c r="AA129" s="3">
        <v>779</v>
      </c>
      <c r="AB129" s="3">
        <v>737</v>
      </c>
      <c r="AC129" s="3">
        <v>778</v>
      </c>
      <c r="AD129" s="3">
        <v>5</v>
      </c>
      <c r="AE129" s="9">
        <v>5</v>
      </c>
      <c r="AF129" s="9">
        <v>31</v>
      </c>
      <c r="AG129" s="9">
        <v>32</v>
      </c>
      <c r="AH129" s="3">
        <v>13</v>
      </c>
      <c r="AI129" s="3">
        <v>13</v>
      </c>
      <c r="AJ129" s="3">
        <v>9</v>
      </c>
      <c r="AK129" s="3">
        <v>9</v>
      </c>
      <c r="AL129" s="3">
        <v>16</v>
      </c>
      <c r="AM129" s="3">
        <v>17</v>
      </c>
      <c r="AN129" s="3">
        <v>3</v>
      </c>
      <c r="AO129" s="3">
        <v>3</v>
      </c>
      <c r="AP129" s="3">
        <v>0</v>
      </c>
      <c r="AQ129" s="3">
        <v>0</v>
      </c>
      <c r="AR129" s="2" t="s">
        <v>5</v>
      </c>
      <c r="AS129" s="2" t="s">
        <v>46</v>
      </c>
      <c r="AT129" s="5" t="str">
        <f>HYPERLINK("http://catalog.hathitrust.org/Record/001207135","HathiTrust Record")</f>
        <v>HathiTrust Record</v>
      </c>
      <c r="AU129" s="5" t="str">
        <f>HYPERLINK("https://creighton-primo.hosted.exlibrisgroup.com/primo-explore/search?tab=default_tab&amp;search_scope=EVERYTHING&amp;vid=01CRU&amp;lang=en_US&amp;offset=0&amp;query=any,contains,991001296299702656","Catalog Record")</f>
        <v>Catalog Record</v>
      </c>
      <c r="AV129" s="5" t="str">
        <f>HYPERLINK("http://www.worldcat.org/oclc/219746","WorldCat Record")</f>
        <v>WorldCat Record</v>
      </c>
      <c r="AW129" s="2" t="s">
        <v>1747</v>
      </c>
      <c r="AX129" s="2" t="s">
        <v>1748</v>
      </c>
      <c r="AY129" s="2" t="s">
        <v>1749</v>
      </c>
      <c r="AZ129" s="2" t="s">
        <v>1749</v>
      </c>
      <c r="BA129" s="2" t="s">
        <v>1750</v>
      </c>
      <c r="BB129" s="2" t="s">
        <v>20</v>
      </c>
      <c r="BE129" s="2" t="s">
        <v>1751</v>
      </c>
      <c r="BF129" s="2" t="s">
        <v>1752</v>
      </c>
    </row>
    <row r="130" spans="1:58" ht="39.75" customHeight="1" x14ac:dyDescent="0.25">
      <c r="A130" s="7" t="s">
        <v>5</v>
      </c>
      <c r="B130" s="1" t="s">
        <v>0</v>
      </c>
      <c r="C130" s="1" t="s">
        <v>1</v>
      </c>
      <c r="D130" s="1" t="s">
        <v>1753</v>
      </c>
      <c r="E130" s="1" t="s">
        <v>1754</v>
      </c>
      <c r="F130" s="1" t="s">
        <v>1755</v>
      </c>
      <c r="H130" s="2" t="s">
        <v>5</v>
      </c>
      <c r="I130" s="2" t="s">
        <v>6</v>
      </c>
      <c r="J130" s="2" t="s">
        <v>5</v>
      </c>
      <c r="K130" s="2" t="s">
        <v>5</v>
      </c>
      <c r="L130" s="2" t="s">
        <v>7</v>
      </c>
      <c r="M130" s="1" t="s">
        <v>1756</v>
      </c>
      <c r="N130" s="1" t="s">
        <v>1757</v>
      </c>
      <c r="O130" s="2" t="s">
        <v>1473</v>
      </c>
      <c r="P130" s="1" t="s">
        <v>1377</v>
      </c>
      <c r="Q130" s="2" t="s">
        <v>60</v>
      </c>
      <c r="R130" s="2" t="s">
        <v>61</v>
      </c>
      <c r="T130" s="2" t="s">
        <v>13</v>
      </c>
      <c r="U130" s="3">
        <v>3</v>
      </c>
      <c r="V130" s="3">
        <v>3</v>
      </c>
      <c r="W130" s="4" t="s">
        <v>1758</v>
      </c>
      <c r="X130" s="4" t="s">
        <v>1758</v>
      </c>
      <c r="Y130" s="4" t="s">
        <v>1759</v>
      </c>
      <c r="Z130" s="4" t="s">
        <v>1759</v>
      </c>
      <c r="AA130" s="3">
        <v>887</v>
      </c>
      <c r="AB130" s="3">
        <v>844</v>
      </c>
      <c r="AC130" s="3">
        <v>921</v>
      </c>
      <c r="AD130" s="3">
        <v>8</v>
      </c>
      <c r="AE130" s="9">
        <v>9</v>
      </c>
      <c r="AF130" s="9">
        <v>37</v>
      </c>
      <c r="AG130" s="9">
        <v>40</v>
      </c>
      <c r="AH130" s="3">
        <v>19</v>
      </c>
      <c r="AI130" s="3">
        <v>20</v>
      </c>
      <c r="AJ130" s="3">
        <v>6</v>
      </c>
      <c r="AK130" s="3">
        <v>8</v>
      </c>
      <c r="AL130" s="3">
        <v>17</v>
      </c>
      <c r="AM130" s="3">
        <v>18</v>
      </c>
      <c r="AN130" s="3">
        <v>4</v>
      </c>
      <c r="AO130" s="3">
        <v>5</v>
      </c>
      <c r="AP130" s="3">
        <v>0</v>
      </c>
      <c r="AQ130" s="3">
        <v>0</v>
      </c>
      <c r="AR130" s="2" t="s">
        <v>5</v>
      </c>
      <c r="AS130" s="2" t="s">
        <v>5</v>
      </c>
      <c r="AU130" s="5" t="str">
        <f>HYPERLINK("https://creighton-primo.hosted.exlibrisgroup.com/primo-explore/search?tab=default_tab&amp;search_scope=EVERYTHING&amp;vid=01CRU&amp;lang=en_US&amp;offset=0&amp;query=any,contains,991003799989702656","Catalog Record")</f>
        <v>Catalog Record</v>
      </c>
      <c r="AV130" s="5" t="str">
        <f>HYPERLINK("http://www.worldcat.org/oclc/48871166","WorldCat Record")</f>
        <v>WorldCat Record</v>
      </c>
      <c r="AW130" s="2" t="s">
        <v>1760</v>
      </c>
      <c r="AX130" s="2" t="s">
        <v>1761</v>
      </c>
      <c r="AY130" s="2" t="s">
        <v>1762</v>
      </c>
      <c r="AZ130" s="2" t="s">
        <v>1762</v>
      </c>
      <c r="BA130" s="2" t="s">
        <v>1763</v>
      </c>
      <c r="BB130" s="2" t="s">
        <v>20</v>
      </c>
      <c r="BD130" s="2" t="s">
        <v>1764</v>
      </c>
      <c r="BE130" s="2" t="s">
        <v>1765</v>
      </c>
      <c r="BF130" s="2" t="s">
        <v>1766</v>
      </c>
    </row>
    <row r="131" spans="1:58" ht="39.75" customHeight="1" x14ac:dyDescent="0.25">
      <c r="A131" s="7" t="s">
        <v>5</v>
      </c>
      <c r="B131" s="1" t="s">
        <v>0</v>
      </c>
      <c r="C131" s="1" t="s">
        <v>1</v>
      </c>
      <c r="D131" s="1" t="s">
        <v>1767</v>
      </c>
      <c r="E131" s="1" t="s">
        <v>1768</v>
      </c>
      <c r="F131" s="1" t="s">
        <v>1769</v>
      </c>
      <c r="H131" s="2" t="s">
        <v>5</v>
      </c>
      <c r="I131" s="2" t="s">
        <v>6</v>
      </c>
      <c r="J131" s="2" t="s">
        <v>5</v>
      </c>
      <c r="K131" s="2" t="s">
        <v>5</v>
      </c>
      <c r="L131" s="2" t="s">
        <v>7</v>
      </c>
      <c r="M131" s="1" t="s">
        <v>1770</v>
      </c>
      <c r="N131" s="1" t="s">
        <v>1771</v>
      </c>
      <c r="O131" s="2" t="s">
        <v>995</v>
      </c>
      <c r="Q131" s="2" t="s">
        <v>60</v>
      </c>
      <c r="R131" s="2" t="s">
        <v>323</v>
      </c>
      <c r="T131" s="2" t="s">
        <v>13</v>
      </c>
      <c r="U131" s="3">
        <v>11</v>
      </c>
      <c r="V131" s="3">
        <v>11</v>
      </c>
      <c r="W131" s="4" t="s">
        <v>1772</v>
      </c>
      <c r="X131" s="4" t="s">
        <v>1772</v>
      </c>
      <c r="Y131" s="4" t="s">
        <v>1393</v>
      </c>
      <c r="Z131" s="4" t="s">
        <v>1393</v>
      </c>
      <c r="AA131" s="3">
        <v>677</v>
      </c>
      <c r="AB131" s="3">
        <v>521</v>
      </c>
      <c r="AC131" s="3">
        <v>537</v>
      </c>
      <c r="AD131" s="3">
        <v>4</v>
      </c>
      <c r="AE131" s="9">
        <v>4</v>
      </c>
      <c r="AF131" s="9">
        <v>27</v>
      </c>
      <c r="AG131" s="9">
        <v>29</v>
      </c>
      <c r="AH131" s="3">
        <v>10</v>
      </c>
      <c r="AI131" s="3">
        <v>10</v>
      </c>
      <c r="AJ131" s="3">
        <v>7</v>
      </c>
      <c r="AK131" s="3">
        <v>8</v>
      </c>
      <c r="AL131" s="3">
        <v>18</v>
      </c>
      <c r="AM131" s="3">
        <v>19</v>
      </c>
      <c r="AN131" s="3">
        <v>3</v>
      </c>
      <c r="AO131" s="3">
        <v>3</v>
      </c>
      <c r="AP131" s="3">
        <v>0</v>
      </c>
      <c r="AQ131" s="3">
        <v>0</v>
      </c>
      <c r="AR131" s="2" t="s">
        <v>5</v>
      </c>
      <c r="AS131" s="2" t="s">
        <v>5</v>
      </c>
      <c r="AU131" s="5" t="str">
        <f>HYPERLINK("https://creighton-primo.hosted.exlibrisgroup.com/primo-explore/search?tab=default_tab&amp;search_scope=EVERYTHING&amp;vid=01CRU&amp;lang=en_US&amp;offset=0&amp;query=any,contains,991005069819702656","Catalog Record")</f>
        <v>Catalog Record</v>
      </c>
      <c r="AV131" s="5" t="str">
        <f>HYPERLINK("http://www.worldcat.org/oclc/7006581","WorldCat Record")</f>
        <v>WorldCat Record</v>
      </c>
      <c r="AW131" s="2" t="s">
        <v>1773</v>
      </c>
      <c r="AX131" s="2" t="s">
        <v>1774</v>
      </c>
      <c r="AY131" s="2" t="s">
        <v>1775</v>
      </c>
      <c r="AZ131" s="2" t="s">
        <v>1775</v>
      </c>
      <c r="BA131" s="2" t="s">
        <v>1776</v>
      </c>
      <c r="BB131" s="2" t="s">
        <v>20</v>
      </c>
      <c r="BD131" s="2" t="s">
        <v>1777</v>
      </c>
      <c r="BE131" s="2" t="s">
        <v>1778</v>
      </c>
      <c r="BF131" s="2" t="s">
        <v>1779</v>
      </c>
    </row>
    <row r="132" spans="1:58" ht="39.75" customHeight="1" x14ac:dyDescent="0.25">
      <c r="A132" s="7" t="s">
        <v>5</v>
      </c>
      <c r="B132" s="1" t="s">
        <v>0</v>
      </c>
      <c r="C132" s="1" t="s">
        <v>1</v>
      </c>
      <c r="D132" s="1" t="s">
        <v>1780</v>
      </c>
      <c r="E132" s="1" t="s">
        <v>1781</v>
      </c>
      <c r="F132" s="1" t="s">
        <v>1782</v>
      </c>
      <c r="H132" s="2" t="s">
        <v>5</v>
      </c>
      <c r="I132" s="2" t="s">
        <v>6</v>
      </c>
      <c r="J132" s="2" t="s">
        <v>5</v>
      </c>
      <c r="K132" s="2" t="s">
        <v>5</v>
      </c>
      <c r="L132" s="2" t="s">
        <v>7</v>
      </c>
      <c r="M132" s="1" t="s">
        <v>1783</v>
      </c>
      <c r="N132" s="1" t="s">
        <v>1784</v>
      </c>
      <c r="O132" s="2" t="s">
        <v>791</v>
      </c>
      <c r="Q132" s="2" t="s">
        <v>60</v>
      </c>
      <c r="R132" s="2" t="s">
        <v>61</v>
      </c>
      <c r="S132" s="1" t="s">
        <v>1785</v>
      </c>
      <c r="T132" s="2" t="s">
        <v>13</v>
      </c>
      <c r="U132" s="3">
        <v>8</v>
      </c>
      <c r="V132" s="3">
        <v>8</v>
      </c>
      <c r="W132" s="4" t="s">
        <v>1786</v>
      </c>
      <c r="X132" s="4" t="s">
        <v>1786</v>
      </c>
      <c r="Y132" s="4" t="s">
        <v>1393</v>
      </c>
      <c r="Z132" s="4" t="s">
        <v>1393</v>
      </c>
      <c r="AA132" s="3">
        <v>448</v>
      </c>
      <c r="AB132" s="3">
        <v>363</v>
      </c>
      <c r="AC132" s="3">
        <v>370</v>
      </c>
      <c r="AD132" s="3">
        <v>3</v>
      </c>
      <c r="AE132" s="9">
        <v>3</v>
      </c>
      <c r="AF132" s="9">
        <v>18</v>
      </c>
      <c r="AG132" s="9">
        <v>18</v>
      </c>
      <c r="AH132" s="3">
        <v>8</v>
      </c>
      <c r="AI132" s="3">
        <v>8</v>
      </c>
      <c r="AJ132" s="3">
        <v>6</v>
      </c>
      <c r="AK132" s="3">
        <v>6</v>
      </c>
      <c r="AL132" s="3">
        <v>6</v>
      </c>
      <c r="AM132" s="3">
        <v>6</v>
      </c>
      <c r="AN132" s="3">
        <v>2</v>
      </c>
      <c r="AO132" s="3">
        <v>2</v>
      </c>
      <c r="AP132" s="3">
        <v>0</v>
      </c>
      <c r="AQ132" s="3">
        <v>0</v>
      </c>
      <c r="AR132" s="2" t="s">
        <v>5</v>
      </c>
      <c r="AS132" s="2" t="s">
        <v>46</v>
      </c>
      <c r="AT132" s="5" t="str">
        <f>HYPERLINK("http://catalog.hathitrust.org/Record/000017715","HathiTrust Record")</f>
        <v>HathiTrust Record</v>
      </c>
      <c r="AU132" s="5" t="str">
        <f>HYPERLINK("https://creighton-primo.hosted.exlibrisgroup.com/primo-explore/search?tab=default_tab&amp;search_scope=EVERYTHING&amp;vid=01CRU&amp;lang=en_US&amp;offset=0&amp;query=any,contains,991003719609702656","Catalog Record")</f>
        <v>Catalog Record</v>
      </c>
      <c r="AV132" s="5" t="str">
        <f>HYPERLINK("http://www.worldcat.org/oclc/1365229","WorldCat Record")</f>
        <v>WorldCat Record</v>
      </c>
      <c r="AW132" s="2" t="s">
        <v>1787</v>
      </c>
      <c r="AX132" s="2" t="s">
        <v>1788</v>
      </c>
      <c r="AY132" s="2" t="s">
        <v>1789</v>
      </c>
      <c r="AZ132" s="2" t="s">
        <v>1789</v>
      </c>
      <c r="BA132" s="2" t="s">
        <v>1790</v>
      </c>
      <c r="BB132" s="2" t="s">
        <v>20</v>
      </c>
      <c r="BD132" s="2" t="s">
        <v>1791</v>
      </c>
      <c r="BE132" s="2" t="s">
        <v>1792</v>
      </c>
      <c r="BF132" s="2" t="s">
        <v>1793</v>
      </c>
    </row>
    <row r="133" spans="1:58" ht="39.75" customHeight="1" x14ac:dyDescent="0.25">
      <c r="A133" s="7" t="s">
        <v>5</v>
      </c>
      <c r="B133" s="1" t="s">
        <v>0</v>
      </c>
      <c r="C133" s="1" t="s">
        <v>1</v>
      </c>
      <c r="D133" s="1" t="s">
        <v>1794</v>
      </c>
      <c r="E133" s="1" t="s">
        <v>1795</v>
      </c>
      <c r="F133" s="1" t="s">
        <v>1796</v>
      </c>
      <c r="H133" s="2" t="s">
        <v>5</v>
      </c>
      <c r="I133" s="2" t="s">
        <v>6</v>
      </c>
      <c r="J133" s="2" t="s">
        <v>5</v>
      </c>
      <c r="K133" s="2" t="s">
        <v>5</v>
      </c>
      <c r="L133" s="2" t="s">
        <v>7</v>
      </c>
      <c r="M133" s="1" t="s">
        <v>1797</v>
      </c>
      <c r="N133" s="1" t="s">
        <v>1798</v>
      </c>
      <c r="O133" s="2" t="s">
        <v>791</v>
      </c>
      <c r="Q133" s="2" t="s">
        <v>60</v>
      </c>
      <c r="R133" s="2" t="s">
        <v>277</v>
      </c>
      <c r="S133" s="1" t="s">
        <v>1799</v>
      </c>
      <c r="T133" s="2" t="s">
        <v>13</v>
      </c>
      <c r="U133" s="3">
        <v>1</v>
      </c>
      <c r="V133" s="3">
        <v>1</v>
      </c>
      <c r="W133" s="4" t="s">
        <v>1800</v>
      </c>
      <c r="X133" s="4" t="s">
        <v>1800</v>
      </c>
      <c r="Y133" s="4" t="s">
        <v>1314</v>
      </c>
      <c r="Z133" s="4" t="s">
        <v>1314</v>
      </c>
      <c r="AA133" s="3">
        <v>656</v>
      </c>
      <c r="AB133" s="3">
        <v>560</v>
      </c>
      <c r="AC133" s="3">
        <v>661</v>
      </c>
      <c r="AD133" s="3">
        <v>4</v>
      </c>
      <c r="AE133" s="9">
        <v>4</v>
      </c>
      <c r="AF133" s="9">
        <v>29</v>
      </c>
      <c r="AG133" s="9">
        <v>31</v>
      </c>
      <c r="AH133" s="3">
        <v>11</v>
      </c>
      <c r="AI133" s="3">
        <v>12</v>
      </c>
      <c r="AJ133" s="3">
        <v>8</v>
      </c>
      <c r="AK133" s="3">
        <v>8</v>
      </c>
      <c r="AL133" s="3">
        <v>16</v>
      </c>
      <c r="AM133" s="3">
        <v>17</v>
      </c>
      <c r="AN133" s="3">
        <v>3</v>
      </c>
      <c r="AO133" s="3">
        <v>3</v>
      </c>
      <c r="AP133" s="3">
        <v>0</v>
      </c>
      <c r="AQ133" s="3">
        <v>0</v>
      </c>
      <c r="AR133" s="2" t="s">
        <v>5</v>
      </c>
      <c r="AS133" s="2" t="s">
        <v>46</v>
      </c>
      <c r="AT133" s="5" t="str">
        <f>HYPERLINK("http://catalog.hathitrust.org/Record/000020596","HathiTrust Record")</f>
        <v>HathiTrust Record</v>
      </c>
      <c r="AU133" s="5" t="str">
        <f>HYPERLINK("https://creighton-primo.hosted.exlibrisgroup.com/primo-explore/search?tab=default_tab&amp;search_scope=EVERYTHING&amp;vid=01CRU&amp;lang=en_US&amp;offset=0&amp;query=any,contains,991003627959702656","Catalog Record")</f>
        <v>Catalog Record</v>
      </c>
      <c r="AV133" s="5" t="str">
        <f>HYPERLINK("http://www.worldcat.org/oclc/1218470","WorldCat Record")</f>
        <v>WorldCat Record</v>
      </c>
      <c r="AW133" s="2" t="s">
        <v>1801</v>
      </c>
      <c r="AX133" s="2" t="s">
        <v>1802</v>
      </c>
      <c r="AY133" s="2" t="s">
        <v>1803</v>
      </c>
      <c r="AZ133" s="2" t="s">
        <v>1803</v>
      </c>
      <c r="BA133" s="2" t="s">
        <v>1804</v>
      </c>
      <c r="BB133" s="2" t="s">
        <v>20</v>
      </c>
      <c r="BD133" s="2" t="s">
        <v>1805</v>
      </c>
      <c r="BE133" s="2" t="s">
        <v>1806</v>
      </c>
      <c r="BF133" s="2" t="s">
        <v>1807</v>
      </c>
    </row>
    <row r="134" spans="1:58" ht="39.75" customHeight="1" x14ac:dyDescent="0.25">
      <c r="A134" s="7" t="s">
        <v>5</v>
      </c>
      <c r="B134" s="1" t="s">
        <v>0</v>
      </c>
      <c r="C134" s="1" t="s">
        <v>1</v>
      </c>
      <c r="D134" s="1" t="s">
        <v>1808</v>
      </c>
      <c r="E134" s="1" t="s">
        <v>1809</v>
      </c>
      <c r="F134" s="1" t="s">
        <v>1810</v>
      </c>
      <c r="H134" s="2" t="s">
        <v>5</v>
      </c>
      <c r="I134" s="2" t="s">
        <v>6</v>
      </c>
      <c r="J134" s="2" t="s">
        <v>5</v>
      </c>
      <c r="K134" s="2" t="s">
        <v>5</v>
      </c>
      <c r="L134" s="2" t="s">
        <v>7</v>
      </c>
      <c r="M134" s="1" t="s">
        <v>1811</v>
      </c>
      <c r="N134" s="1" t="s">
        <v>1812</v>
      </c>
      <c r="O134" s="2" t="s">
        <v>121</v>
      </c>
      <c r="Q134" s="2" t="s">
        <v>60</v>
      </c>
      <c r="R134" s="2" t="s">
        <v>193</v>
      </c>
      <c r="T134" s="2" t="s">
        <v>13</v>
      </c>
      <c r="U134" s="3">
        <v>6</v>
      </c>
      <c r="V134" s="3">
        <v>6</v>
      </c>
      <c r="W134" s="4" t="s">
        <v>1813</v>
      </c>
      <c r="X134" s="4" t="s">
        <v>1813</v>
      </c>
      <c r="Y134" s="4" t="s">
        <v>15</v>
      </c>
      <c r="Z134" s="4" t="s">
        <v>15</v>
      </c>
      <c r="AA134" s="3">
        <v>228</v>
      </c>
      <c r="AB134" s="3">
        <v>134</v>
      </c>
      <c r="AC134" s="3">
        <v>398</v>
      </c>
      <c r="AD134" s="3">
        <v>2</v>
      </c>
      <c r="AE134" s="9">
        <v>5</v>
      </c>
      <c r="AF134" s="9">
        <v>6</v>
      </c>
      <c r="AG134" s="9">
        <v>17</v>
      </c>
      <c r="AH134" s="3">
        <v>1</v>
      </c>
      <c r="AI134" s="3">
        <v>4</v>
      </c>
      <c r="AJ134" s="3">
        <v>1</v>
      </c>
      <c r="AK134" s="3">
        <v>3</v>
      </c>
      <c r="AL134" s="3">
        <v>4</v>
      </c>
      <c r="AM134" s="3">
        <v>10</v>
      </c>
      <c r="AN134" s="3">
        <v>1</v>
      </c>
      <c r="AO134" s="3">
        <v>4</v>
      </c>
      <c r="AP134" s="3">
        <v>0</v>
      </c>
      <c r="AQ134" s="3">
        <v>0</v>
      </c>
      <c r="AR134" s="2" t="s">
        <v>5</v>
      </c>
      <c r="AS134" s="2" t="s">
        <v>46</v>
      </c>
      <c r="AT134" s="5" t="str">
        <f>HYPERLINK("http://catalog.hathitrust.org/Record/001202244","HathiTrust Record")</f>
        <v>HathiTrust Record</v>
      </c>
      <c r="AU134" s="5" t="str">
        <f>HYPERLINK("https://creighton-primo.hosted.exlibrisgroup.com/primo-explore/search?tab=default_tab&amp;search_scope=EVERYTHING&amp;vid=01CRU&amp;lang=en_US&amp;offset=0&amp;query=any,contains,991000062049702656","Catalog Record")</f>
        <v>Catalog Record</v>
      </c>
      <c r="AV134" s="5" t="str">
        <f>HYPERLINK("http://www.worldcat.org/oclc/25067","WorldCat Record")</f>
        <v>WorldCat Record</v>
      </c>
      <c r="AW134" s="2" t="s">
        <v>1814</v>
      </c>
      <c r="AX134" s="2" t="s">
        <v>1815</v>
      </c>
      <c r="AY134" s="2" t="s">
        <v>1816</v>
      </c>
      <c r="AZ134" s="2" t="s">
        <v>1816</v>
      </c>
      <c r="BA134" s="2" t="s">
        <v>1817</v>
      </c>
      <c r="BB134" s="2" t="s">
        <v>20</v>
      </c>
      <c r="BD134" s="2" t="s">
        <v>1818</v>
      </c>
      <c r="BE134" s="2" t="s">
        <v>1819</v>
      </c>
      <c r="BF134" s="2" t="s">
        <v>1820</v>
      </c>
    </row>
    <row r="135" spans="1:58" ht="39.75" customHeight="1" x14ac:dyDescent="0.25">
      <c r="A135" s="7" t="s">
        <v>5</v>
      </c>
      <c r="B135" s="1" t="s">
        <v>0</v>
      </c>
      <c r="C135" s="1" t="s">
        <v>1</v>
      </c>
      <c r="D135" s="1" t="s">
        <v>1821</v>
      </c>
      <c r="E135" s="1" t="s">
        <v>1822</v>
      </c>
      <c r="F135" s="1" t="s">
        <v>1823</v>
      </c>
      <c r="H135" s="2" t="s">
        <v>5</v>
      </c>
      <c r="I135" s="2" t="s">
        <v>6</v>
      </c>
      <c r="J135" s="2" t="s">
        <v>5</v>
      </c>
      <c r="K135" s="2" t="s">
        <v>5</v>
      </c>
      <c r="L135" s="2" t="s">
        <v>7</v>
      </c>
      <c r="M135" s="1" t="s">
        <v>1824</v>
      </c>
      <c r="N135" s="1" t="s">
        <v>1825</v>
      </c>
      <c r="O135" s="2" t="s">
        <v>76</v>
      </c>
      <c r="Q135" s="2" t="s">
        <v>11</v>
      </c>
      <c r="R135" s="2" t="s">
        <v>1236</v>
      </c>
      <c r="T135" s="2" t="s">
        <v>13</v>
      </c>
      <c r="U135" s="3">
        <v>1</v>
      </c>
      <c r="V135" s="3">
        <v>1</v>
      </c>
      <c r="W135" s="4" t="s">
        <v>1826</v>
      </c>
      <c r="X135" s="4" t="s">
        <v>1826</v>
      </c>
      <c r="Y135" s="4" t="s">
        <v>1393</v>
      </c>
      <c r="Z135" s="4" t="s">
        <v>1393</v>
      </c>
      <c r="AA135" s="3">
        <v>223</v>
      </c>
      <c r="AB135" s="3">
        <v>147</v>
      </c>
      <c r="AC135" s="3">
        <v>155</v>
      </c>
      <c r="AD135" s="3">
        <v>3</v>
      </c>
      <c r="AE135" s="9">
        <v>3</v>
      </c>
      <c r="AF135" s="9">
        <v>11</v>
      </c>
      <c r="AG135" s="9">
        <v>11</v>
      </c>
      <c r="AH135" s="3">
        <v>3</v>
      </c>
      <c r="AI135" s="3">
        <v>3</v>
      </c>
      <c r="AJ135" s="3">
        <v>3</v>
      </c>
      <c r="AK135" s="3">
        <v>3</v>
      </c>
      <c r="AL135" s="3">
        <v>6</v>
      </c>
      <c r="AM135" s="3">
        <v>6</v>
      </c>
      <c r="AN135" s="3">
        <v>2</v>
      </c>
      <c r="AO135" s="3">
        <v>2</v>
      </c>
      <c r="AP135" s="3">
        <v>0</v>
      </c>
      <c r="AQ135" s="3">
        <v>0</v>
      </c>
      <c r="AR135" s="2" t="s">
        <v>5</v>
      </c>
      <c r="AS135" s="2" t="s">
        <v>46</v>
      </c>
      <c r="AT135" s="5" t="str">
        <f>HYPERLINK("http://catalog.hathitrust.org/Record/001796079","HathiTrust Record")</f>
        <v>HathiTrust Record</v>
      </c>
      <c r="AU135" s="5" t="str">
        <f>HYPERLINK("https://creighton-primo.hosted.exlibrisgroup.com/primo-explore/search?tab=default_tab&amp;search_scope=EVERYTHING&amp;vid=01CRU&amp;lang=en_US&amp;offset=0&amp;query=any,contains,991002350899702656","Catalog Record")</f>
        <v>Catalog Record</v>
      </c>
      <c r="AV135" s="5" t="str">
        <f>HYPERLINK("http://www.worldcat.org/oclc/17518792","WorldCat Record")</f>
        <v>WorldCat Record</v>
      </c>
      <c r="AW135" s="2" t="s">
        <v>1827</v>
      </c>
      <c r="AX135" s="2" t="s">
        <v>1828</v>
      </c>
      <c r="AY135" s="2" t="s">
        <v>1829</v>
      </c>
      <c r="AZ135" s="2" t="s">
        <v>1829</v>
      </c>
      <c r="BA135" s="2" t="s">
        <v>1830</v>
      </c>
      <c r="BB135" s="2" t="s">
        <v>20</v>
      </c>
      <c r="BE135" s="2" t="s">
        <v>1831</v>
      </c>
      <c r="BF135" s="2" t="s">
        <v>1832</v>
      </c>
    </row>
    <row r="136" spans="1:58" ht="39.75" customHeight="1" x14ac:dyDescent="0.25">
      <c r="A136" s="7" t="s">
        <v>5</v>
      </c>
      <c r="B136" s="1" t="s">
        <v>0</v>
      </c>
      <c r="C136" s="1" t="s">
        <v>1</v>
      </c>
      <c r="D136" s="1" t="s">
        <v>1833</v>
      </c>
      <c r="E136" s="1" t="s">
        <v>1834</v>
      </c>
      <c r="F136" s="1" t="s">
        <v>1835</v>
      </c>
      <c r="H136" s="2" t="s">
        <v>5</v>
      </c>
      <c r="I136" s="2" t="s">
        <v>6</v>
      </c>
      <c r="J136" s="2" t="s">
        <v>5</v>
      </c>
      <c r="K136" s="2" t="s">
        <v>5</v>
      </c>
      <c r="L136" s="2" t="s">
        <v>7</v>
      </c>
      <c r="M136" s="1" t="s">
        <v>1836</v>
      </c>
      <c r="N136" s="1" t="s">
        <v>1837</v>
      </c>
      <c r="O136" s="2" t="s">
        <v>886</v>
      </c>
      <c r="Q136" s="2" t="s">
        <v>60</v>
      </c>
      <c r="R136" s="2" t="s">
        <v>61</v>
      </c>
      <c r="T136" s="2" t="s">
        <v>13</v>
      </c>
      <c r="U136" s="3">
        <v>1</v>
      </c>
      <c r="V136" s="3">
        <v>1</v>
      </c>
      <c r="W136" s="4" t="s">
        <v>1826</v>
      </c>
      <c r="X136" s="4" t="s">
        <v>1826</v>
      </c>
      <c r="Y136" s="4" t="s">
        <v>1393</v>
      </c>
      <c r="Z136" s="4" t="s">
        <v>1393</v>
      </c>
      <c r="AA136" s="3">
        <v>192</v>
      </c>
      <c r="AB136" s="3">
        <v>174</v>
      </c>
      <c r="AC136" s="3">
        <v>314</v>
      </c>
      <c r="AD136" s="3">
        <v>1</v>
      </c>
      <c r="AE136" s="9">
        <v>3</v>
      </c>
      <c r="AF136" s="9">
        <v>9</v>
      </c>
      <c r="AG136" s="9">
        <v>17</v>
      </c>
      <c r="AH136" s="3">
        <v>3</v>
      </c>
      <c r="AI136" s="3">
        <v>3</v>
      </c>
      <c r="AJ136" s="3">
        <v>4</v>
      </c>
      <c r="AK136" s="3">
        <v>7</v>
      </c>
      <c r="AL136" s="3">
        <v>5</v>
      </c>
      <c r="AM136" s="3">
        <v>8</v>
      </c>
      <c r="AN136" s="3">
        <v>0</v>
      </c>
      <c r="AO136" s="3">
        <v>2</v>
      </c>
      <c r="AP136" s="3">
        <v>0</v>
      </c>
      <c r="AQ136" s="3">
        <v>0</v>
      </c>
      <c r="AR136" s="2" t="s">
        <v>5</v>
      </c>
      <c r="AS136" s="2" t="s">
        <v>5</v>
      </c>
      <c r="AU136" s="5" t="str">
        <f>HYPERLINK("https://creighton-primo.hosted.exlibrisgroup.com/primo-explore/search?tab=default_tab&amp;search_scope=EVERYTHING&amp;vid=01CRU&amp;lang=en_US&amp;offset=0&amp;query=any,contains,991003589949702656","Catalog Record")</f>
        <v>Catalog Record</v>
      </c>
      <c r="AV136" s="5" t="str">
        <f>HYPERLINK("http://www.worldcat.org/oclc/1172225","WorldCat Record")</f>
        <v>WorldCat Record</v>
      </c>
      <c r="AW136" s="2" t="s">
        <v>1838</v>
      </c>
      <c r="AX136" s="2" t="s">
        <v>1839</v>
      </c>
      <c r="AY136" s="2" t="s">
        <v>1840</v>
      </c>
      <c r="AZ136" s="2" t="s">
        <v>1840</v>
      </c>
      <c r="BA136" s="2" t="s">
        <v>1841</v>
      </c>
      <c r="BB136" s="2" t="s">
        <v>20</v>
      </c>
      <c r="BE136" s="2" t="s">
        <v>1842</v>
      </c>
      <c r="BF136" s="2" t="s">
        <v>1843</v>
      </c>
    </row>
    <row r="137" spans="1:58" ht="39.75" customHeight="1" x14ac:dyDescent="0.25">
      <c r="A137" s="7" t="s">
        <v>5</v>
      </c>
      <c r="B137" s="1" t="s">
        <v>0</v>
      </c>
      <c r="C137" s="1" t="s">
        <v>1</v>
      </c>
      <c r="D137" s="1" t="s">
        <v>1844</v>
      </c>
      <c r="E137" s="1" t="s">
        <v>1845</v>
      </c>
      <c r="F137" s="1" t="s">
        <v>1846</v>
      </c>
      <c r="H137" s="2" t="s">
        <v>5</v>
      </c>
      <c r="I137" s="2" t="s">
        <v>6</v>
      </c>
      <c r="J137" s="2" t="s">
        <v>5</v>
      </c>
      <c r="K137" s="2" t="s">
        <v>5</v>
      </c>
      <c r="L137" s="2" t="s">
        <v>7</v>
      </c>
      <c r="M137" s="1" t="s">
        <v>1847</v>
      </c>
      <c r="N137" s="1" t="s">
        <v>1848</v>
      </c>
      <c r="O137" s="2" t="s">
        <v>392</v>
      </c>
      <c r="Q137" s="2" t="s">
        <v>11</v>
      </c>
      <c r="R137" s="2" t="s">
        <v>234</v>
      </c>
      <c r="T137" s="2" t="s">
        <v>13</v>
      </c>
      <c r="U137" s="3">
        <v>2</v>
      </c>
      <c r="V137" s="3">
        <v>2</v>
      </c>
      <c r="W137" s="4" t="s">
        <v>1849</v>
      </c>
      <c r="X137" s="4" t="s">
        <v>1849</v>
      </c>
      <c r="Y137" s="4" t="s">
        <v>1850</v>
      </c>
      <c r="Z137" s="4" t="s">
        <v>1850</v>
      </c>
      <c r="AA137" s="3">
        <v>57</v>
      </c>
      <c r="AB137" s="3">
        <v>42</v>
      </c>
      <c r="AC137" s="3">
        <v>133</v>
      </c>
      <c r="AD137" s="3">
        <v>1</v>
      </c>
      <c r="AE137" s="9">
        <v>2</v>
      </c>
      <c r="AF137" s="9">
        <v>0</v>
      </c>
      <c r="AG137" s="9">
        <v>6</v>
      </c>
      <c r="AH137" s="3">
        <v>0</v>
      </c>
      <c r="AI137" s="3">
        <v>1</v>
      </c>
      <c r="AJ137" s="3">
        <v>0</v>
      </c>
      <c r="AK137" s="3">
        <v>1</v>
      </c>
      <c r="AL137" s="3">
        <v>0</v>
      </c>
      <c r="AM137" s="3">
        <v>3</v>
      </c>
      <c r="AN137" s="3">
        <v>0</v>
      </c>
      <c r="AO137" s="3">
        <v>1</v>
      </c>
      <c r="AP137" s="3">
        <v>0</v>
      </c>
      <c r="AQ137" s="3">
        <v>0</v>
      </c>
      <c r="AR137" s="2" t="s">
        <v>5</v>
      </c>
      <c r="AS137" s="2" t="s">
        <v>46</v>
      </c>
      <c r="AT137" s="5" t="str">
        <f>HYPERLINK("http://catalog.hathitrust.org/Record/006708305","HathiTrust Record")</f>
        <v>HathiTrust Record</v>
      </c>
      <c r="AU137" s="5" t="str">
        <f>HYPERLINK("https://creighton-primo.hosted.exlibrisgroup.com/primo-explore/search?tab=default_tab&amp;search_scope=EVERYTHING&amp;vid=01CRU&amp;lang=en_US&amp;offset=0&amp;query=any,contains,991003217189702656","Catalog Record")</f>
        <v>Catalog Record</v>
      </c>
      <c r="AV137" s="5" t="str">
        <f>HYPERLINK("http://www.worldcat.org/oclc/743286","WorldCat Record")</f>
        <v>WorldCat Record</v>
      </c>
      <c r="AW137" s="2" t="s">
        <v>1851</v>
      </c>
      <c r="AX137" s="2" t="s">
        <v>1852</v>
      </c>
      <c r="AY137" s="2" t="s">
        <v>1853</v>
      </c>
      <c r="AZ137" s="2" t="s">
        <v>1853</v>
      </c>
      <c r="BA137" s="2" t="s">
        <v>1854</v>
      </c>
      <c r="BB137" s="2" t="s">
        <v>20</v>
      </c>
      <c r="BE137" s="2" t="s">
        <v>1855</v>
      </c>
      <c r="BF137" s="2" t="s">
        <v>1856</v>
      </c>
    </row>
    <row r="138" spans="1:58" ht="39.75" customHeight="1" x14ac:dyDescent="0.25">
      <c r="A138" s="7" t="s">
        <v>5</v>
      </c>
      <c r="B138" s="1" t="s">
        <v>0</v>
      </c>
      <c r="C138" s="1" t="s">
        <v>1</v>
      </c>
      <c r="D138" s="1" t="s">
        <v>1857</v>
      </c>
      <c r="E138" s="1" t="s">
        <v>1858</v>
      </c>
      <c r="F138" s="1" t="s">
        <v>1859</v>
      </c>
      <c r="H138" s="2" t="s">
        <v>5</v>
      </c>
      <c r="I138" s="2" t="s">
        <v>6</v>
      </c>
      <c r="J138" s="2" t="s">
        <v>5</v>
      </c>
      <c r="K138" s="2" t="s">
        <v>5</v>
      </c>
      <c r="L138" s="2" t="s">
        <v>7</v>
      </c>
      <c r="M138" s="1" t="s">
        <v>1348</v>
      </c>
      <c r="N138" s="1" t="s">
        <v>1860</v>
      </c>
      <c r="O138" s="2" t="s">
        <v>1065</v>
      </c>
      <c r="P138" s="1" t="s">
        <v>1744</v>
      </c>
      <c r="Q138" s="2" t="s">
        <v>60</v>
      </c>
      <c r="R138" s="2" t="s">
        <v>61</v>
      </c>
      <c r="T138" s="2" t="s">
        <v>13</v>
      </c>
      <c r="U138" s="3">
        <v>2</v>
      </c>
      <c r="V138" s="3">
        <v>2</v>
      </c>
      <c r="W138" s="4" t="s">
        <v>1861</v>
      </c>
      <c r="X138" s="4" t="s">
        <v>1861</v>
      </c>
      <c r="Y138" s="4" t="s">
        <v>1850</v>
      </c>
      <c r="Z138" s="4" t="s">
        <v>1850</v>
      </c>
      <c r="AA138" s="3">
        <v>1304</v>
      </c>
      <c r="AB138" s="3">
        <v>1254</v>
      </c>
      <c r="AC138" s="3">
        <v>1331</v>
      </c>
      <c r="AD138" s="3">
        <v>14</v>
      </c>
      <c r="AE138" s="9">
        <v>14</v>
      </c>
      <c r="AF138" s="9">
        <v>42</v>
      </c>
      <c r="AG138" s="9">
        <v>44</v>
      </c>
      <c r="AH138" s="3">
        <v>19</v>
      </c>
      <c r="AI138" s="3">
        <v>20</v>
      </c>
      <c r="AJ138" s="3">
        <v>7</v>
      </c>
      <c r="AK138" s="3">
        <v>8</v>
      </c>
      <c r="AL138" s="3">
        <v>17</v>
      </c>
      <c r="AM138" s="3">
        <v>19</v>
      </c>
      <c r="AN138" s="3">
        <v>9</v>
      </c>
      <c r="AO138" s="3">
        <v>9</v>
      </c>
      <c r="AP138" s="3">
        <v>0</v>
      </c>
      <c r="AQ138" s="3">
        <v>0</v>
      </c>
      <c r="AR138" s="2" t="s">
        <v>5</v>
      </c>
      <c r="AS138" s="2" t="s">
        <v>46</v>
      </c>
      <c r="AT138" s="5" t="str">
        <f>HYPERLINK("http://catalog.hathitrust.org/Record/001208382","HathiTrust Record")</f>
        <v>HathiTrust Record</v>
      </c>
      <c r="AU138" s="5" t="str">
        <f>HYPERLINK("https://creighton-primo.hosted.exlibrisgroup.com/primo-explore/search?tab=default_tab&amp;search_scope=EVERYTHING&amp;vid=01CRU&amp;lang=en_US&amp;offset=0&amp;query=any,contains,991002410129702656","Catalog Record")</f>
        <v>Catalog Record</v>
      </c>
      <c r="AV138" s="5" t="str">
        <f>HYPERLINK("http://www.worldcat.org/oclc/339270","WorldCat Record")</f>
        <v>WorldCat Record</v>
      </c>
      <c r="AW138" s="2" t="s">
        <v>1862</v>
      </c>
      <c r="AX138" s="2" t="s">
        <v>1863</v>
      </c>
      <c r="AY138" s="2" t="s">
        <v>1864</v>
      </c>
      <c r="AZ138" s="2" t="s">
        <v>1864</v>
      </c>
      <c r="BA138" s="2" t="s">
        <v>1865</v>
      </c>
      <c r="BB138" s="2" t="s">
        <v>20</v>
      </c>
      <c r="BE138" s="2" t="s">
        <v>1866</v>
      </c>
      <c r="BF138" s="2" t="s">
        <v>1867</v>
      </c>
    </row>
    <row r="139" spans="1:58" ht="39.75" customHeight="1" x14ac:dyDescent="0.25">
      <c r="A139" s="7" t="s">
        <v>5</v>
      </c>
      <c r="B139" s="1" t="s">
        <v>0</v>
      </c>
      <c r="C139" s="1" t="s">
        <v>1</v>
      </c>
      <c r="D139" s="1" t="s">
        <v>1868</v>
      </c>
      <c r="E139" s="1" t="s">
        <v>1869</v>
      </c>
      <c r="F139" s="1" t="s">
        <v>1870</v>
      </c>
      <c r="H139" s="2" t="s">
        <v>5</v>
      </c>
      <c r="I139" s="2" t="s">
        <v>6</v>
      </c>
      <c r="J139" s="2" t="s">
        <v>5</v>
      </c>
      <c r="K139" s="2" t="s">
        <v>5</v>
      </c>
      <c r="L139" s="2" t="s">
        <v>7</v>
      </c>
      <c r="M139" s="1" t="s">
        <v>1871</v>
      </c>
      <c r="N139" s="1" t="s">
        <v>1872</v>
      </c>
      <c r="O139" s="2" t="s">
        <v>708</v>
      </c>
      <c r="Q139" s="2" t="s">
        <v>60</v>
      </c>
      <c r="R139" s="2" t="s">
        <v>1873</v>
      </c>
      <c r="S139" s="1" t="s">
        <v>1874</v>
      </c>
      <c r="T139" s="2" t="s">
        <v>13</v>
      </c>
      <c r="U139" s="3">
        <v>3</v>
      </c>
      <c r="V139" s="3">
        <v>3</v>
      </c>
      <c r="W139" s="4" t="s">
        <v>1875</v>
      </c>
      <c r="X139" s="4" t="s">
        <v>1875</v>
      </c>
      <c r="Y139" s="4" t="s">
        <v>1876</v>
      </c>
      <c r="Z139" s="4" t="s">
        <v>1876</v>
      </c>
      <c r="AA139" s="3">
        <v>299</v>
      </c>
      <c r="AB139" s="3">
        <v>226</v>
      </c>
      <c r="AC139" s="3">
        <v>234</v>
      </c>
      <c r="AD139" s="3">
        <v>3</v>
      </c>
      <c r="AE139" s="9">
        <v>3</v>
      </c>
      <c r="AF139" s="9">
        <v>10</v>
      </c>
      <c r="AG139" s="9">
        <v>10</v>
      </c>
      <c r="AH139" s="3">
        <v>2</v>
      </c>
      <c r="AI139" s="3">
        <v>2</v>
      </c>
      <c r="AJ139" s="3">
        <v>3</v>
      </c>
      <c r="AK139" s="3">
        <v>3</v>
      </c>
      <c r="AL139" s="3">
        <v>6</v>
      </c>
      <c r="AM139" s="3">
        <v>6</v>
      </c>
      <c r="AN139" s="3">
        <v>2</v>
      </c>
      <c r="AO139" s="3">
        <v>2</v>
      </c>
      <c r="AP139" s="3">
        <v>0</v>
      </c>
      <c r="AQ139" s="3">
        <v>0</v>
      </c>
      <c r="AR139" s="2" t="s">
        <v>5</v>
      </c>
      <c r="AS139" s="2" t="s">
        <v>5</v>
      </c>
      <c r="AU139" s="5" t="str">
        <f>HYPERLINK("https://creighton-primo.hosted.exlibrisgroup.com/primo-explore/search?tab=default_tab&amp;search_scope=EVERYTHING&amp;vid=01CRU&amp;lang=en_US&amp;offset=0&amp;query=any,contains,991000972949702656","Catalog Record")</f>
        <v>Catalog Record</v>
      </c>
      <c r="AV139" s="5" t="str">
        <f>HYPERLINK("http://www.worldcat.org/oclc/14966793","WorldCat Record")</f>
        <v>WorldCat Record</v>
      </c>
      <c r="AW139" s="2" t="s">
        <v>1877</v>
      </c>
      <c r="AX139" s="2" t="s">
        <v>1878</v>
      </c>
      <c r="AY139" s="2" t="s">
        <v>1879</v>
      </c>
      <c r="AZ139" s="2" t="s">
        <v>1879</v>
      </c>
      <c r="BA139" s="2" t="s">
        <v>1880</v>
      </c>
      <c r="BB139" s="2" t="s">
        <v>20</v>
      </c>
      <c r="BD139" s="2" t="s">
        <v>1881</v>
      </c>
      <c r="BE139" s="2" t="s">
        <v>1882</v>
      </c>
      <c r="BF139" s="2" t="s">
        <v>1883</v>
      </c>
    </row>
    <row r="140" spans="1:58" ht="39.75" customHeight="1" x14ac:dyDescent="0.25">
      <c r="A140" s="7" t="s">
        <v>5</v>
      </c>
      <c r="B140" s="1" t="s">
        <v>0</v>
      </c>
      <c r="C140" s="1" t="s">
        <v>1</v>
      </c>
      <c r="D140" s="1" t="s">
        <v>1884</v>
      </c>
      <c r="E140" s="1" t="s">
        <v>1885</v>
      </c>
      <c r="F140" s="1" t="s">
        <v>1886</v>
      </c>
      <c r="H140" s="2" t="s">
        <v>5</v>
      </c>
      <c r="I140" s="2" t="s">
        <v>6</v>
      </c>
      <c r="J140" s="2" t="s">
        <v>5</v>
      </c>
      <c r="K140" s="2" t="s">
        <v>5</v>
      </c>
      <c r="L140" s="2" t="s">
        <v>7</v>
      </c>
      <c r="M140" s="1" t="s">
        <v>1887</v>
      </c>
      <c r="N140" s="1" t="s">
        <v>1888</v>
      </c>
      <c r="O140" s="2" t="s">
        <v>392</v>
      </c>
      <c r="Q140" s="2" t="s">
        <v>60</v>
      </c>
      <c r="R140" s="2" t="s">
        <v>193</v>
      </c>
      <c r="S140" s="1" t="s">
        <v>1889</v>
      </c>
      <c r="T140" s="2" t="s">
        <v>13</v>
      </c>
      <c r="U140" s="3">
        <v>2</v>
      </c>
      <c r="V140" s="3">
        <v>2</v>
      </c>
      <c r="W140" s="4" t="s">
        <v>1890</v>
      </c>
      <c r="X140" s="4" t="s">
        <v>1890</v>
      </c>
      <c r="Y140" s="4" t="s">
        <v>1850</v>
      </c>
      <c r="Z140" s="4" t="s">
        <v>1850</v>
      </c>
      <c r="AA140" s="3">
        <v>244</v>
      </c>
      <c r="AB140" s="3">
        <v>174</v>
      </c>
      <c r="AC140" s="3">
        <v>176</v>
      </c>
      <c r="AD140" s="3">
        <v>4</v>
      </c>
      <c r="AE140" s="9">
        <v>4</v>
      </c>
      <c r="AF140" s="9">
        <v>9</v>
      </c>
      <c r="AG140" s="9">
        <v>9</v>
      </c>
      <c r="AH140" s="3">
        <v>2</v>
      </c>
      <c r="AI140" s="3">
        <v>2</v>
      </c>
      <c r="AJ140" s="3">
        <v>1</v>
      </c>
      <c r="AK140" s="3">
        <v>1</v>
      </c>
      <c r="AL140" s="3">
        <v>3</v>
      </c>
      <c r="AM140" s="3">
        <v>3</v>
      </c>
      <c r="AN140" s="3">
        <v>3</v>
      </c>
      <c r="AO140" s="3">
        <v>3</v>
      </c>
      <c r="AP140" s="3">
        <v>0</v>
      </c>
      <c r="AQ140" s="3">
        <v>0</v>
      </c>
      <c r="AR140" s="2" t="s">
        <v>5</v>
      </c>
      <c r="AS140" s="2" t="s">
        <v>46</v>
      </c>
      <c r="AT140" s="5" t="str">
        <f>HYPERLINK("http://catalog.hathitrust.org/Record/007458020","HathiTrust Record")</f>
        <v>HathiTrust Record</v>
      </c>
      <c r="AU140" s="5" t="str">
        <f>HYPERLINK("https://creighton-primo.hosted.exlibrisgroup.com/primo-explore/search?tab=default_tab&amp;search_scope=EVERYTHING&amp;vid=01CRU&amp;lang=en_US&amp;offset=0&amp;query=any,contains,991003378869702656","Catalog Record")</f>
        <v>Catalog Record</v>
      </c>
      <c r="AV140" s="5" t="str">
        <f>HYPERLINK("http://www.worldcat.org/oclc/915037","WorldCat Record")</f>
        <v>WorldCat Record</v>
      </c>
      <c r="AW140" s="2" t="s">
        <v>1891</v>
      </c>
      <c r="AX140" s="2" t="s">
        <v>1892</v>
      </c>
      <c r="AY140" s="2" t="s">
        <v>1893</v>
      </c>
      <c r="AZ140" s="2" t="s">
        <v>1893</v>
      </c>
      <c r="BA140" s="2" t="s">
        <v>1894</v>
      </c>
      <c r="BB140" s="2" t="s">
        <v>20</v>
      </c>
      <c r="BD140" s="2" t="s">
        <v>1895</v>
      </c>
      <c r="BE140" s="2" t="s">
        <v>1896</v>
      </c>
      <c r="BF140" s="2" t="s">
        <v>1897</v>
      </c>
    </row>
    <row r="141" spans="1:58" ht="39.75" customHeight="1" x14ac:dyDescent="0.25">
      <c r="A141" s="7" t="s">
        <v>5</v>
      </c>
      <c r="B141" s="1" t="s">
        <v>0</v>
      </c>
      <c r="C141" s="1" t="s">
        <v>1</v>
      </c>
      <c r="D141" s="1" t="s">
        <v>1898</v>
      </c>
      <c r="E141" s="1" t="s">
        <v>1899</v>
      </c>
      <c r="F141" s="1" t="s">
        <v>1900</v>
      </c>
      <c r="H141" s="2" t="s">
        <v>5</v>
      </c>
      <c r="I141" s="2" t="s">
        <v>6</v>
      </c>
      <c r="J141" s="2" t="s">
        <v>5</v>
      </c>
      <c r="K141" s="2" t="s">
        <v>5</v>
      </c>
      <c r="L141" s="2" t="s">
        <v>7</v>
      </c>
      <c r="M141" s="1" t="s">
        <v>1901</v>
      </c>
      <c r="N141" s="1" t="s">
        <v>1902</v>
      </c>
      <c r="O141" s="2" t="s">
        <v>1903</v>
      </c>
      <c r="Q141" s="2" t="s">
        <v>11</v>
      </c>
      <c r="R141" s="2" t="s">
        <v>28</v>
      </c>
      <c r="S141" s="1" t="s">
        <v>1904</v>
      </c>
      <c r="T141" s="2" t="s">
        <v>13</v>
      </c>
      <c r="U141" s="3">
        <v>1</v>
      </c>
      <c r="V141" s="3">
        <v>1</v>
      </c>
      <c r="W141" s="4" t="s">
        <v>1905</v>
      </c>
      <c r="X141" s="4" t="s">
        <v>1905</v>
      </c>
      <c r="Y141" s="4" t="s">
        <v>1850</v>
      </c>
      <c r="Z141" s="4" t="s">
        <v>1850</v>
      </c>
      <c r="AA141" s="3">
        <v>198</v>
      </c>
      <c r="AB141" s="3">
        <v>186</v>
      </c>
      <c r="AC141" s="3">
        <v>615</v>
      </c>
      <c r="AD141" s="3">
        <v>4</v>
      </c>
      <c r="AE141" s="9">
        <v>6</v>
      </c>
      <c r="AF141" s="9">
        <v>6</v>
      </c>
      <c r="AG141" s="9">
        <v>28</v>
      </c>
      <c r="AH141" s="3">
        <v>0</v>
      </c>
      <c r="AI141" s="3">
        <v>9</v>
      </c>
      <c r="AJ141" s="3">
        <v>0</v>
      </c>
      <c r="AK141" s="3">
        <v>6</v>
      </c>
      <c r="AL141" s="3">
        <v>3</v>
      </c>
      <c r="AM141" s="3">
        <v>13</v>
      </c>
      <c r="AN141" s="3">
        <v>3</v>
      </c>
      <c r="AO141" s="3">
        <v>5</v>
      </c>
      <c r="AP141" s="3">
        <v>0</v>
      </c>
      <c r="AQ141" s="3">
        <v>0</v>
      </c>
      <c r="AR141" s="2" t="s">
        <v>46</v>
      </c>
      <c r="AS141" s="2" t="s">
        <v>5</v>
      </c>
      <c r="AT141" s="5" t="str">
        <f>HYPERLINK("http://catalog.hathitrust.org/Record/001208903","HathiTrust Record")</f>
        <v>HathiTrust Record</v>
      </c>
      <c r="AU141" s="5" t="str">
        <f>HYPERLINK("https://creighton-primo.hosted.exlibrisgroup.com/primo-explore/search?tab=default_tab&amp;search_scope=EVERYTHING&amp;vid=01CRU&amp;lang=en_US&amp;offset=0&amp;query=any,contains,991003303519702656","Catalog Record")</f>
        <v>Catalog Record</v>
      </c>
      <c r="AV141" s="5" t="str">
        <f>HYPERLINK("http://www.worldcat.org/oclc/826627","WorldCat Record")</f>
        <v>WorldCat Record</v>
      </c>
      <c r="AW141" s="2" t="s">
        <v>1906</v>
      </c>
      <c r="AX141" s="2" t="s">
        <v>1907</v>
      </c>
      <c r="AY141" s="2" t="s">
        <v>1908</v>
      </c>
      <c r="AZ141" s="2" t="s">
        <v>1908</v>
      </c>
      <c r="BA141" s="2" t="s">
        <v>1909</v>
      </c>
      <c r="BB141" s="2" t="s">
        <v>20</v>
      </c>
      <c r="BE141" s="2" t="s">
        <v>1910</v>
      </c>
      <c r="BF141" s="2" t="s">
        <v>1911</v>
      </c>
    </row>
    <row r="142" spans="1:58" ht="39.75" customHeight="1" x14ac:dyDescent="0.25">
      <c r="A142" s="7" t="s">
        <v>5</v>
      </c>
      <c r="B142" s="1" t="s">
        <v>0</v>
      </c>
      <c r="C142" s="1" t="s">
        <v>1</v>
      </c>
      <c r="D142" s="1" t="s">
        <v>1912</v>
      </c>
      <c r="E142" s="1" t="s">
        <v>1913</v>
      </c>
      <c r="F142" s="1" t="s">
        <v>1914</v>
      </c>
      <c r="H142" s="2" t="s">
        <v>5</v>
      </c>
      <c r="I142" s="2" t="s">
        <v>6</v>
      </c>
      <c r="J142" s="2" t="s">
        <v>5</v>
      </c>
      <c r="K142" s="2" t="s">
        <v>5</v>
      </c>
      <c r="L142" s="2" t="s">
        <v>7</v>
      </c>
      <c r="M142" s="1" t="s">
        <v>1915</v>
      </c>
      <c r="N142" s="1" t="s">
        <v>1916</v>
      </c>
      <c r="O142" s="2" t="s">
        <v>392</v>
      </c>
      <c r="Q142" s="2" t="s">
        <v>60</v>
      </c>
      <c r="R142" s="2" t="s">
        <v>61</v>
      </c>
      <c r="S142" s="1" t="s">
        <v>1917</v>
      </c>
      <c r="T142" s="2" t="s">
        <v>13</v>
      </c>
      <c r="U142" s="3">
        <v>1</v>
      </c>
      <c r="V142" s="3">
        <v>1</v>
      </c>
      <c r="W142" s="4" t="s">
        <v>1918</v>
      </c>
      <c r="X142" s="4" t="s">
        <v>1918</v>
      </c>
      <c r="Y142" s="4" t="s">
        <v>1850</v>
      </c>
      <c r="Z142" s="4" t="s">
        <v>1850</v>
      </c>
      <c r="AA142" s="3">
        <v>653</v>
      </c>
      <c r="AB142" s="3">
        <v>577</v>
      </c>
      <c r="AC142" s="3">
        <v>583</v>
      </c>
      <c r="AD142" s="3">
        <v>4</v>
      </c>
      <c r="AE142" s="9">
        <v>4</v>
      </c>
      <c r="AF142" s="9">
        <v>24</v>
      </c>
      <c r="AG142" s="9">
        <v>24</v>
      </c>
      <c r="AH142" s="3">
        <v>8</v>
      </c>
      <c r="AI142" s="3">
        <v>8</v>
      </c>
      <c r="AJ142" s="3">
        <v>7</v>
      </c>
      <c r="AK142" s="3">
        <v>7</v>
      </c>
      <c r="AL142" s="3">
        <v>14</v>
      </c>
      <c r="AM142" s="3">
        <v>14</v>
      </c>
      <c r="AN142" s="3">
        <v>3</v>
      </c>
      <c r="AO142" s="3">
        <v>3</v>
      </c>
      <c r="AP142" s="3">
        <v>0</v>
      </c>
      <c r="AQ142" s="3">
        <v>0</v>
      </c>
      <c r="AR142" s="2" t="s">
        <v>5</v>
      </c>
      <c r="AS142" s="2" t="s">
        <v>46</v>
      </c>
      <c r="AT142" s="5" t="str">
        <f>HYPERLINK("http://catalog.hathitrust.org/Record/001015085","HathiTrust Record")</f>
        <v>HathiTrust Record</v>
      </c>
      <c r="AU142" s="5" t="str">
        <f>HYPERLINK("https://creighton-primo.hosted.exlibrisgroup.com/primo-explore/search?tab=default_tab&amp;search_scope=EVERYTHING&amp;vid=01CRU&amp;lang=en_US&amp;offset=0&amp;query=any,contains,991003151299702656","Catalog Record")</f>
        <v>Catalog Record</v>
      </c>
      <c r="AV142" s="5" t="str">
        <f>HYPERLINK("http://www.worldcat.org/oclc/690708","WorldCat Record")</f>
        <v>WorldCat Record</v>
      </c>
      <c r="AW142" s="2" t="s">
        <v>1919</v>
      </c>
      <c r="AX142" s="2" t="s">
        <v>1920</v>
      </c>
      <c r="AY142" s="2" t="s">
        <v>1921</v>
      </c>
      <c r="AZ142" s="2" t="s">
        <v>1921</v>
      </c>
      <c r="BA142" s="2" t="s">
        <v>1922</v>
      </c>
      <c r="BB142" s="2" t="s">
        <v>20</v>
      </c>
      <c r="BE142" s="2" t="s">
        <v>1923</v>
      </c>
      <c r="BF142" s="2" t="s">
        <v>1924</v>
      </c>
    </row>
    <row r="143" spans="1:58" ht="39.75" customHeight="1" x14ac:dyDescent="0.25">
      <c r="A143" s="7" t="s">
        <v>5</v>
      </c>
      <c r="B143" s="1" t="s">
        <v>0</v>
      </c>
      <c r="C143" s="1" t="s">
        <v>1</v>
      </c>
      <c r="D143" s="1" t="s">
        <v>1925</v>
      </c>
      <c r="E143" s="1" t="s">
        <v>1926</v>
      </c>
      <c r="F143" s="1" t="s">
        <v>1927</v>
      </c>
      <c r="H143" s="2" t="s">
        <v>5</v>
      </c>
      <c r="I143" s="2" t="s">
        <v>6</v>
      </c>
      <c r="J143" s="2" t="s">
        <v>5</v>
      </c>
      <c r="K143" s="2" t="s">
        <v>5</v>
      </c>
      <c r="L143" s="2" t="s">
        <v>7</v>
      </c>
      <c r="M143" s="1" t="s">
        <v>1928</v>
      </c>
      <c r="N143" s="1" t="s">
        <v>1929</v>
      </c>
      <c r="O143" s="2" t="s">
        <v>480</v>
      </c>
      <c r="Q143" s="2" t="s">
        <v>11</v>
      </c>
      <c r="R143" s="2" t="s">
        <v>28</v>
      </c>
      <c r="T143" s="2" t="s">
        <v>13</v>
      </c>
      <c r="U143" s="3">
        <v>1</v>
      </c>
      <c r="V143" s="3">
        <v>1</v>
      </c>
      <c r="W143" s="4" t="s">
        <v>1930</v>
      </c>
      <c r="X143" s="4" t="s">
        <v>1930</v>
      </c>
      <c r="Y143" s="4" t="s">
        <v>627</v>
      </c>
      <c r="Z143" s="4" t="s">
        <v>627</v>
      </c>
      <c r="AA143" s="3">
        <v>248</v>
      </c>
      <c r="AB143" s="3">
        <v>161</v>
      </c>
      <c r="AC143" s="3">
        <v>164</v>
      </c>
      <c r="AD143" s="3">
        <v>3</v>
      </c>
      <c r="AE143" s="9">
        <v>3</v>
      </c>
      <c r="AF143" s="9">
        <v>10</v>
      </c>
      <c r="AG143" s="9">
        <v>10</v>
      </c>
      <c r="AH143" s="3">
        <v>1</v>
      </c>
      <c r="AI143" s="3">
        <v>1</v>
      </c>
      <c r="AJ143" s="3">
        <v>3</v>
      </c>
      <c r="AK143" s="3">
        <v>3</v>
      </c>
      <c r="AL143" s="3">
        <v>6</v>
      </c>
      <c r="AM143" s="3">
        <v>6</v>
      </c>
      <c r="AN143" s="3">
        <v>2</v>
      </c>
      <c r="AO143" s="3">
        <v>2</v>
      </c>
      <c r="AP143" s="3">
        <v>0</v>
      </c>
      <c r="AQ143" s="3">
        <v>0</v>
      </c>
      <c r="AR143" s="2" t="s">
        <v>5</v>
      </c>
      <c r="AS143" s="2" t="s">
        <v>46</v>
      </c>
      <c r="AT143" s="5" t="str">
        <f>HYPERLINK("http://catalog.hathitrust.org/Record/001202378","HathiTrust Record")</f>
        <v>HathiTrust Record</v>
      </c>
      <c r="AU143" s="5" t="str">
        <f>HYPERLINK("https://creighton-primo.hosted.exlibrisgroup.com/primo-explore/search?tab=default_tab&amp;search_scope=EVERYTHING&amp;vid=01CRU&amp;lang=en_US&amp;offset=0&amp;query=any,contains,991002878879702656","Catalog Record")</f>
        <v>Catalog Record</v>
      </c>
      <c r="AV143" s="5" t="str">
        <f>HYPERLINK("http://www.worldcat.org/oclc/504338","WorldCat Record")</f>
        <v>WorldCat Record</v>
      </c>
      <c r="AW143" s="2" t="s">
        <v>1931</v>
      </c>
      <c r="AX143" s="2" t="s">
        <v>1932</v>
      </c>
      <c r="AY143" s="2" t="s">
        <v>1933</v>
      </c>
      <c r="AZ143" s="2" t="s">
        <v>1933</v>
      </c>
      <c r="BA143" s="2" t="s">
        <v>1934</v>
      </c>
      <c r="BB143" s="2" t="s">
        <v>20</v>
      </c>
      <c r="BE143" s="2" t="s">
        <v>1935</v>
      </c>
      <c r="BF143" s="2" t="s">
        <v>1936</v>
      </c>
    </row>
    <row r="144" spans="1:58" ht="39.75" customHeight="1" x14ac:dyDescent="0.25">
      <c r="A144" s="7" t="s">
        <v>5</v>
      </c>
      <c r="B144" s="1" t="s">
        <v>0</v>
      </c>
      <c r="C144" s="1" t="s">
        <v>1</v>
      </c>
      <c r="D144" s="1" t="s">
        <v>1937</v>
      </c>
      <c r="E144" s="1" t="s">
        <v>1938</v>
      </c>
      <c r="F144" s="1" t="s">
        <v>1939</v>
      </c>
      <c r="H144" s="2" t="s">
        <v>5</v>
      </c>
      <c r="I144" s="2" t="s">
        <v>6</v>
      </c>
      <c r="J144" s="2" t="s">
        <v>5</v>
      </c>
      <c r="K144" s="2" t="s">
        <v>5</v>
      </c>
      <c r="L144" s="2" t="s">
        <v>7</v>
      </c>
      <c r="M144" s="1" t="s">
        <v>1431</v>
      </c>
      <c r="N144" s="1" t="s">
        <v>1940</v>
      </c>
      <c r="O144" s="2" t="s">
        <v>261</v>
      </c>
      <c r="Q144" s="2" t="s">
        <v>60</v>
      </c>
      <c r="R144" s="2" t="s">
        <v>193</v>
      </c>
      <c r="S144" s="1" t="s">
        <v>1941</v>
      </c>
      <c r="T144" s="2" t="s">
        <v>13</v>
      </c>
      <c r="U144" s="3">
        <v>1</v>
      </c>
      <c r="V144" s="3">
        <v>1</v>
      </c>
      <c r="W144" s="4" t="s">
        <v>1942</v>
      </c>
      <c r="X144" s="4" t="s">
        <v>1942</v>
      </c>
      <c r="Y144" s="4" t="s">
        <v>1393</v>
      </c>
      <c r="Z144" s="4" t="s">
        <v>1393</v>
      </c>
      <c r="AA144" s="3">
        <v>404</v>
      </c>
      <c r="AB144" s="3">
        <v>288</v>
      </c>
      <c r="AC144" s="3">
        <v>293</v>
      </c>
      <c r="AD144" s="3">
        <v>3</v>
      </c>
      <c r="AE144" s="9">
        <v>3</v>
      </c>
      <c r="AF144" s="9">
        <v>12</v>
      </c>
      <c r="AG144" s="9">
        <v>13</v>
      </c>
      <c r="AH144" s="3">
        <v>4</v>
      </c>
      <c r="AI144" s="3">
        <v>4</v>
      </c>
      <c r="AJ144" s="3">
        <v>2</v>
      </c>
      <c r="AK144" s="3">
        <v>3</v>
      </c>
      <c r="AL144" s="3">
        <v>6</v>
      </c>
      <c r="AM144" s="3">
        <v>7</v>
      </c>
      <c r="AN144" s="3">
        <v>2</v>
      </c>
      <c r="AO144" s="3">
        <v>2</v>
      </c>
      <c r="AP144" s="3">
        <v>0</v>
      </c>
      <c r="AQ144" s="3">
        <v>0</v>
      </c>
      <c r="AR144" s="2" t="s">
        <v>5</v>
      </c>
      <c r="AS144" s="2" t="s">
        <v>5</v>
      </c>
      <c r="AU144" s="5" t="str">
        <f>HYPERLINK("https://creighton-primo.hosted.exlibrisgroup.com/primo-explore/search?tab=default_tab&amp;search_scope=EVERYTHING&amp;vid=01CRU&amp;lang=en_US&amp;offset=0&amp;query=any,contains,991005125709702656","Catalog Record")</f>
        <v>Catalog Record</v>
      </c>
      <c r="AV144" s="5" t="str">
        <f>HYPERLINK("http://www.worldcat.org/oclc/7553446","WorldCat Record")</f>
        <v>WorldCat Record</v>
      </c>
      <c r="AW144" s="2" t="s">
        <v>1943</v>
      </c>
      <c r="AX144" s="2" t="s">
        <v>1944</v>
      </c>
      <c r="AY144" s="2" t="s">
        <v>1945</v>
      </c>
      <c r="AZ144" s="2" t="s">
        <v>1945</v>
      </c>
      <c r="BA144" s="2" t="s">
        <v>1946</v>
      </c>
      <c r="BB144" s="2" t="s">
        <v>20</v>
      </c>
      <c r="BD144" s="2" t="s">
        <v>1947</v>
      </c>
      <c r="BE144" s="2" t="s">
        <v>1948</v>
      </c>
      <c r="BF144" s="2" t="s">
        <v>1949</v>
      </c>
    </row>
    <row r="145" spans="1:58" ht="39.75" customHeight="1" x14ac:dyDescent="0.25">
      <c r="A145" s="7" t="s">
        <v>5</v>
      </c>
      <c r="B145" s="1" t="s">
        <v>0</v>
      </c>
      <c r="C145" s="1" t="s">
        <v>1</v>
      </c>
      <c r="D145" s="1" t="s">
        <v>1950</v>
      </c>
      <c r="E145" s="1" t="s">
        <v>1951</v>
      </c>
      <c r="F145" s="1" t="s">
        <v>1952</v>
      </c>
      <c r="H145" s="2" t="s">
        <v>5</v>
      </c>
      <c r="I145" s="2" t="s">
        <v>6</v>
      </c>
      <c r="J145" s="2" t="s">
        <v>5</v>
      </c>
      <c r="K145" s="2" t="s">
        <v>5</v>
      </c>
      <c r="L145" s="2" t="s">
        <v>7</v>
      </c>
      <c r="M145" s="1" t="s">
        <v>1953</v>
      </c>
      <c r="N145" s="1" t="s">
        <v>1954</v>
      </c>
      <c r="O145" s="2" t="s">
        <v>162</v>
      </c>
      <c r="P145" s="1" t="s">
        <v>1955</v>
      </c>
      <c r="Q145" s="2" t="s">
        <v>60</v>
      </c>
      <c r="R145" s="2" t="s">
        <v>61</v>
      </c>
      <c r="T145" s="2" t="s">
        <v>13</v>
      </c>
      <c r="U145" s="3">
        <v>2</v>
      </c>
      <c r="V145" s="3">
        <v>2</v>
      </c>
      <c r="W145" s="4" t="s">
        <v>1956</v>
      </c>
      <c r="X145" s="4" t="s">
        <v>1956</v>
      </c>
      <c r="Y145" s="4" t="s">
        <v>1221</v>
      </c>
      <c r="Z145" s="4" t="s">
        <v>1221</v>
      </c>
      <c r="AA145" s="3">
        <v>438</v>
      </c>
      <c r="AB145" s="3">
        <v>370</v>
      </c>
      <c r="AC145" s="3">
        <v>723</v>
      </c>
      <c r="AD145" s="3">
        <v>2</v>
      </c>
      <c r="AE145" s="9">
        <v>4</v>
      </c>
      <c r="AF145" s="9">
        <v>17</v>
      </c>
      <c r="AG145" s="9">
        <v>34</v>
      </c>
      <c r="AH145" s="3">
        <v>10</v>
      </c>
      <c r="AI145" s="3">
        <v>16</v>
      </c>
      <c r="AJ145" s="3">
        <v>2</v>
      </c>
      <c r="AK145" s="3">
        <v>8</v>
      </c>
      <c r="AL145" s="3">
        <v>7</v>
      </c>
      <c r="AM145" s="3">
        <v>15</v>
      </c>
      <c r="AN145" s="3">
        <v>1</v>
      </c>
      <c r="AO145" s="3">
        <v>3</v>
      </c>
      <c r="AP145" s="3">
        <v>0</v>
      </c>
      <c r="AQ145" s="3">
        <v>0</v>
      </c>
      <c r="AR145" s="2" t="s">
        <v>5</v>
      </c>
      <c r="AS145" s="2" t="s">
        <v>5</v>
      </c>
      <c r="AU145" s="5" t="str">
        <f>HYPERLINK("https://creighton-primo.hosted.exlibrisgroup.com/primo-explore/search?tab=default_tab&amp;search_scope=EVERYTHING&amp;vid=01CRU&amp;lang=en_US&amp;offset=0&amp;query=any,contains,991000599439702656","Catalog Record")</f>
        <v>Catalog Record</v>
      </c>
      <c r="AV145" s="5" t="str">
        <f>HYPERLINK("http://www.worldcat.org/oclc/98073","WorldCat Record")</f>
        <v>WorldCat Record</v>
      </c>
      <c r="AW145" s="2" t="s">
        <v>1957</v>
      </c>
      <c r="AX145" s="2" t="s">
        <v>1958</v>
      </c>
      <c r="AY145" s="2" t="s">
        <v>1959</v>
      </c>
      <c r="AZ145" s="2" t="s">
        <v>1959</v>
      </c>
      <c r="BA145" s="2" t="s">
        <v>1960</v>
      </c>
      <c r="BB145" s="2" t="s">
        <v>20</v>
      </c>
      <c r="BD145" s="2" t="s">
        <v>1961</v>
      </c>
      <c r="BE145" s="2" t="s">
        <v>1962</v>
      </c>
      <c r="BF145" s="2" t="s">
        <v>1963</v>
      </c>
    </row>
    <row r="146" spans="1:58" ht="39.75" customHeight="1" x14ac:dyDescent="0.25">
      <c r="A146" s="7" t="s">
        <v>5</v>
      </c>
      <c r="B146" s="1" t="s">
        <v>0</v>
      </c>
      <c r="C146" s="1" t="s">
        <v>1</v>
      </c>
      <c r="D146" s="1" t="s">
        <v>1964</v>
      </c>
      <c r="E146" s="1" t="s">
        <v>1965</v>
      </c>
      <c r="F146" s="1" t="s">
        <v>1966</v>
      </c>
      <c r="H146" s="2" t="s">
        <v>5</v>
      </c>
      <c r="I146" s="2" t="s">
        <v>6</v>
      </c>
      <c r="J146" s="2" t="s">
        <v>5</v>
      </c>
      <c r="K146" s="2" t="s">
        <v>5</v>
      </c>
      <c r="L146" s="2" t="s">
        <v>7</v>
      </c>
      <c r="N146" s="1" t="s">
        <v>1967</v>
      </c>
      <c r="O146" s="2" t="s">
        <v>708</v>
      </c>
      <c r="Q146" s="2" t="s">
        <v>60</v>
      </c>
      <c r="R146" s="2" t="s">
        <v>61</v>
      </c>
      <c r="S146" s="1" t="s">
        <v>1968</v>
      </c>
      <c r="T146" s="2" t="s">
        <v>13</v>
      </c>
      <c r="U146" s="3">
        <v>2</v>
      </c>
      <c r="V146" s="3">
        <v>2</v>
      </c>
      <c r="W146" s="4" t="s">
        <v>1969</v>
      </c>
      <c r="X146" s="4" t="s">
        <v>1969</v>
      </c>
      <c r="Y146" s="4" t="s">
        <v>309</v>
      </c>
      <c r="Z146" s="4" t="s">
        <v>309</v>
      </c>
      <c r="AA146" s="3">
        <v>306</v>
      </c>
      <c r="AB146" s="3">
        <v>262</v>
      </c>
      <c r="AC146" s="3">
        <v>273</v>
      </c>
      <c r="AD146" s="3">
        <v>2</v>
      </c>
      <c r="AE146" s="9">
        <v>2</v>
      </c>
      <c r="AF146" s="9">
        <v>10</v>
      </c>
      <c r="AG146" s="9">
        <v>10</v>
      </c>
      <c r="AH146" s="3">
        <v>3</v>
      </c>
      <c r="AI146" s="3">
        <v>3</v>
      </c>
      <c r="AJ146" s="3">
        <v>4</v>
      </c>
      <c r="AK146" s="3">
        <v>4</v>
      </c>
      <c r="AL146" s="3">
        <v>5</v>
      </c>
      <c r="AM146" s="3">
        <v>5</v>
      </c>
      <c r="AN146" s="3">
        <v>1</v>
      </c>
      <c r="AO146" s="3">
        <v>1</v>
      </c>
      <c r="AP146" s="3">
        <v>0</v>
      </c>
      <c r="AQ146" s="3">
        <v>0</v>
      </c>
      <c r="AR146" s="2" t="s">
        <v>5</v>
      </c>
      <c r="AS146" s="2" t="s">
        <v>46</v>
      </c>
      <c r="AT146" s="5" t="str">
        <f>HYPERLINK("http://catalog.hathitrust.org/Record/000907782","HathiTrust Record")</f>
        <v>HathiTrust Record</v>
      </c>
      <c r="AU146" s="5" t="str">
        <f>HYPERLINK("https://creighton-primo.hosted.exlibrisgroup.com/primo-explore/search?tab=default_tab&amp;search_scope=EVERYTHING&amp;vid=01CRU&amp;lang=en_US&amp;offset=0&amp;query=any,contains,991001029029702656","Catalog Record")</f>
        <v>Catalog Record</v>
      </c>
      <c r="AV146" s="5" t="str">
        <f>HYPERLINK("http://www.worldcat.org/oclc/15489457","WorldCat Record")</f>
        <v>WorldCat Record</v>
      </c>
      <c r="AW146" s="2" t="s">
        <v>1970</v>
      </c>
      <c r="AX146" s="2" t="s">
        <v>1971</v>
      </c>
      <c r="AY146" s="2" t="s">
        <v>1972</v>
      </c>
      <c r="AZ146" s="2" t="s">
        <v>1972</v>
      </c>
      <c r="BA146" s="2" t="s">
        <v>1973</v>
      </c>
      <c r="BB146" s="2" t="s">
        <v>20</v>
      </c>
      <c r="BD146" s="2" t="s">
        <v>1974</v>
      </c>
      <c r="BE146" s="2" t="s">
        <v>1975</v>
      </c>
      <c r="BF146" s="2" t="s">
        <v>1976</v>
      </c>
    </row>
    <row r="147" spans="1:58" ht="39.75" customHeight="1" x14ac:dyDescent="0.25">
      <c r="A147" s="7" t="s">
        <v>5</v>
      </c>
      <c r="B147" s="1" t="s">
        <v>0</v>
      </c>
      <c r="C147" s="1" t="s">
        <v>1</v>
      </c>
      <c r="D147" s="1" t="s">
        <v>1977</v>
      </c>
      <c r="E147" s="1" t="s">
        <v>1978</v>
      </c>
      <c r="F147" s="1" t="s">
        <v>1979</v>
      </c>
      <c r="H147" s="2" t="s">
        <v>5</v>
      </c>
      <c r="I147" s="2" t="s">
        <v>6</v>
      </c>
      <c r="J147" s="2" t="s">
        <v>5</v>
      </c>
      <c r="K147" s="2" t="s">
        <v>5</v>
      </c>
      <c r="L147" s="2" t="s">
        <v>7</v>
      </c>
      <c r="M147" s="1" t="s">
        <v>1980</v>
      </c>
      <c r="N147" s="1" t="s">
        <v>1981</v>
      </c>
      <c r="O147" s="2" t="s">
        <v>121</v>
      </c>
      <c r="Q147" s="2" t="s">
        <v>60</v>
      </c>
      <c r="R147" s="2" t="s">
        <v>61</v>
      </c>
      <c r="T147" s="2" t="s">
        <v>13</v>
      </c>
      <c r="U147" s="3">
        <v>1</v>
      </c>
      <c r="V147" s="3">
        <v>1</v>
      </c>
      <c r="W147" s="4" t="s">
        <v>1982</v>
      </c>
      <c r="X147" s="4" t="s">
        <v>1982</v>
      </c>
      <c r="Y147" s="4" t="s">
        <v>1850</v>
      </c>
      <c r="Z147" s="4" t="s">
        <v>1850</v>
      </c>
      <c r="AA147" s="3">
        <v>302</v>
      </c>
      <c r="AB147" s="3">
        <v>265</v>
      </c>
      <c r="AC147" s="3">
        <v>352</v>
      </c>
      <c r="AD147" s="3">
        <v>2</v>
      </c>
      <c r="AE147" s="9">
        <v>3</v>
      </c>
      <c r="AF147" s="9">
        <v>15</v>
      </c>
      <c r="AG147" s="9">
        <v>16</v>
      </c>
      <c r="AH147" s="3">
        <v>6</v>
      </c>
      <c r="AI147" s="3">
        <v>6</v>
      </c>
      <c r="AJ147" s="3">
        <v>4</v>
      </c>
      <c r="AK147" s="3">
        <v>4</v>
      </c>
      <c r="AL147" s="3">
        <v>7</v>
      </c>
      <c r="AM147" s="3">
        <v>7</v>
      </c>
      <c r="AN147" s="3">
        <v>1</v>
      </c>
      <c r="AO147" s="3">
        <v>2</v>
      </c>
      <c r="AP147" s="3">
        <v>0</v>
      </c>
      <c r="AQ147" s="3">
        <v>0</v>
      </c>
      <c r="AR147" s="2" t="s">
        <v>5</v>
      </c>
      <c r="AS147" s="2" t="s">
        <v>46</v>
      </c>
      <c r="AT147" s="5" t="str">
        <f>HYPERLINK("http://catalog.hathitrust.org/Record/008324085","HathiTrust Record")</f>
        <v>HathiTrust Record</v>
      </c>
      <c r="AU147" s="5" t="str">
        <f>HYPERLINK("https://creighton-primo.hosted.exlibrisgroup.com/primo-explore/search?tab=default_tab&amp;search_scope=EVERYTHING&amp;vid=01CRU&amp;lang=en_US&amp;offset=0&amp;query=any,contains,991000077779702656","Catalog Record")</f>
        <v>Catalog Record</v>
      </c>
      <c r="AV147" s="5" t="str">
        <f>HYPERLINK("http://www.worldcat.org/oclc/30389","WorldCat Record")</f>
        <v>WorldCat Record</v>
      </c>
      <c r="AW147" s="2" t="s">
        <v>1983</v>
      </c>
      <c r="AX147" s="2" t="s">
        <v>1984</v>
      </c>
      <c r="AY147" s="2" t="s">
        <v>1985</v>
      </c>
      <c r="AZ147" s="2" t="s">
        <v>1985</v>
      </c>
      <c r="BA147" s="2" t="s">
        <v>1986</v>
      </c>
      <c r="BB147" s="2" t="s">
        <v>20</v>
      </c>
      <c r="BE147" s="2" t="s">
        <v>1987</v>
      </c>
      <c r="BF147" s="2" t="s">
        <v>1988</v>
      </c>
    </row>
    <row r="148" spans="1:58" ht="39.75" customHeight="1" x14ac:dyDescent="0.25">
      <c r="A148" s="7" t="s">
        <v>5</v>
      </c>
      <c r="B148" s="1" t="s">
        <v>0</v>
      </c>
      <c r="C148" s="1" t="s">
        <v>1</v>
      </c>
      <c r="D148" s="1" t="s">
        <v>1989</v>
      </c>
      <c r="E148" s="1" t="s">
        <v>1990</v>
      </c>
      <c r="F148" s="1" t="s">
        <v>1991</v>
      </c>
      <c r="H148" s="2" t="s">
        <v>5</v>
      </c>
      <c r="I148" s="2" t="s">
        <v>6</v>
      </c>
      <c r="J148" s="2" t="s">
        <v>5</v>
      </c>
      <c r="K148" s="2" t="s">
        <v>5</v>
      </c>
      <c r="L148" s="2" t="s">
        <v>7</v>
      </c>
      <c r="M148" s="1" t="s">
        <v>1992</v>
      </c>
      <c r="N148" s="1" t="s">
        <v>1993</v>
      </c>
      <c r="O148" s="2" t="s">
        <v>584</v>
      </c>
      <c r="Q148" s="2" t="s">
        <v>11</v>
      </c>
      <c r="R148" s="2" t="s">
        <v>234</v>
      </c>
      <c r="S148" s="1" t="s">
        <v>1419</v>
      </c>
      <c r="T148" s="2" t="s">
        <v>13</v>
      </c>
      <c r="U148" s="3">
        <v>1</v>
      </c>
      <c r="V148" s="3">
        <v>1</v>
      </c>
      <c r="W148" s="4" t="s">
        <v>1421</v>
      </c>
      <c r="X148" s="4" t="s">
        <v>1421</v>
      </c>
      <c r="Y148" s="4" t="s">
        <v>1421</v>
      </c>
      <c r="Z148" s="4" t="s">
        <v>1421</v>
      </c>
      <c r="AA148" s="3">
        <v>243</v>
      </c>
      <c r="AB148" s="3">
        <v>162</v>
      </c>
      <c r="AC148" s="3">
        <v>335</v>
      </c>
      <c r="AD148" s="3">
        <v>3</v>
      </c>
      <c r="AE148" s="9">
        <v>4</v>
      </c>
      <c r="AF148" s="9">
        <v>11</v>
      </c>
      <c r="AG148" s="9">
        <v>23</v>
      </c>
      <c r="AH148" s="3">
        <v>6</v>
      </c>
      <c r="AI148" s="3">
        <v>13</v>
      </c>
      <c r="AJ148" s="3">
        <v>3</v>
      </c>
      <c r="AK148" s="3">
        <v>5</v>
      </c>
      <c r="AL148" s="3">
        <v>3</v>
      </c>
      <c r="AM148" s="3">
        <v>9</v>
      </c>
      <c r="AN148" s="3">
        <v>2</v>
      </c>
      <c r="AO148" s="3">
        <v>3</v>
      </c>
      <c r="AP148" s="3">
        <v>0</v>
      </c>
      <c r="AQ148" s="3">
        <v>0</v>
      </c>
      <c r="AR148" s="2" t="s">
        <v>5</v>
      </c>
      <c r="AS148" s="2" t="s">
        <v>46</v>
      </c>
      <c r="AT148" s="5" t="str">
        <f>HYPERLINK("http://catalog.hathitrust.org/Record/004457816","HathiTrust Record")</f>
        <v>HathiTrust Record</v>
      </c>
      <c r="AU148" s="5" t="str">
        <f>HYPERLINK("https://creighton-primo.hosted.exlibrisgroup.com/primo-explore/search?tab=default_tab&amp;search_scope=EVERYTHING&amp;vid=01CRU&amp;lang=en_US&amp;offset=0&amp;query=any,contains,991003306739702656","Catalog Record")</f>
        <v>Catalog Record</v>
      </c>
      <c r="AV148" s="5" t="str">
        <f>HYPERLINK("http://www.worldcat.org/oclc/341717","WorldCat Record")</f>
        <v>WorldCat Record</v>
      </c>
      <c r="AW148" s="2" t="s">
        <v>1994</v>
      </c>
      <c r="AX148" s="2" t="s">
        <v>1995</v>
      </c>
      <c r="AY148" s="2" t="s">
        <v>1996</v>
      </c>
      <c r="AZ148" s="2" t="s">
        <v>1996</v>
      </c>
      <c r="BA148" s="2" t="s">
        <v>1997</v>
      </c>
      <c r="BB148" s="2" t="s">
        <v>20</v>
      </c>
      <c r="BE148" s="2" t="s">
        <v>1998</v>
      </c>
      <c r="BF148" s="2" t="s">
        <v>1999</v>
      </c>
    </row>
    <row r="149" spans="1:58" ht="39.75" customHeight="1" x14ac:dyDescent="0.25">
      <c r="A149" s="7" t="s">
        <v>5</v>
      </c>
      <c r="B149" s="1" t="s">
        <v>0</v>
      </c>
      <c r="C149" s="1" t="s">
        <v>1</v>
      </c>
      <c r="D149" s="1" t="s">
        <v>2000</v>
      </c>
      <c r="E149" s="1" t="s">
        <v>2001</v>
      </c>
      <c r="F149" s="1" t="s">
        <v>2002</v>
      </c>
      <c r="H149" s="2" t="s">
        <v>5</v>
      </c>
      <c r="I149" s="2" t="s">
        <v>6</v>
      </c>
      <c r="J149" s="2" t="s">
        <v>5</v>
      </c>
      <c r="K149" s="2" t="s">
        <v>5</v>
      </c>
      <c r="L149" s="2" t="s">
        <v>7</v>
      </c>
      <c r="M149" s="1" t="s">
        <v>2003</v>
      </c>
      <c r="N149" s="1" t="s">
        <v>2004</v>
      </c>
      <c r="O149" s="2" t="s">
        <v>192</v>
      </c>
      <c r="Q149" s="2" t="s">
        <v>11</v>
      </c>
      <c r="R149" s="2" t="s">
        <v>28</v>
      </c>
      <c r="T149" s="2" t="s">
        <v>13</v>
      </c>
      <c r="U149" s="3">
        <v>3</v>
      </c>
      <c r="V149" s="3">
        <v>3</v>
      </c>
      <c r="W149" s="4" t="s">
        <v>1274</v>
      </c>
      <c r="X149" s="4" t="s">
        <v>1274</v>
      </c>
      <c r="Y149" s="4" t="s">
        <v>2005</v>
      </c>
      <c r="Z149" s="4" t="s">
        <v>2005</v>
      </c>
      <c r="AA149" s="3">
        <v>378</v>
      </c>
      <c r="AB149" s="3">
        <v>235</v>
      </c>
      <c r="AC149" s="3">
        <v>238</v>
      </c>
      <c r="AD149" s="3">
        <v>3</v>
      </c>
      <c r="AE149" s="9">
        <v>3</v>
      </c>
      <c r="AF149" s="9">
        <v>14</v>
      </c>
      <c r="AG149" s="9">
        <v>14</v>
      </c>
      <c r="AH149" s="3">
        <v>4</v>
      </c>
      <c r="AI149" s="3">
        <v>4</v>
      </c>
      <c r="AJ149" s="3">
        <v>4</v>
      </c>
      <c r="AK149" s="3">
        <v>4</v>
      </c>
      <c r="AL149" s="3">
        <v>8</v>
      </c>
      <c r="AM149" s="3">
        <v>8</v>
      </c>
      <c r="AN149" s="3">
        <v>2</v>
      </c>
      <c r="AO149" s="3">
        <v>2</v>
      </c>
      <c r="AP149" s="3">
        <v>0</v>
      </c>
      <c r="AQ149" s="3">
        <v>0</v>
      </c>
      <c r="AR149" s="2" t="s">
        <v>5</v>
      </c>
      <c r="AS149" s="2" t="s">
        <v>46</v>
      </c>
      <c r="AT149" s="5" t="str">
        <f>HYPERLINK("http://catalog.hathitrust.org/Record/001225394","HathiTrust Record")</f>
        <v>HathiTrust Record</v>
      </c>
      <c r="AU149" s="5" t="str">
        <f>HYPERLINK("https://creighton-primo.hosted.exlibrisgroup.com/primo-explore/search?tab=default_tab&amp;search_scope=EVERYTHING&amp;vid=01CRU&amp;lang=en_US&amp;offset=0&amp;query=any,contains,991002186609702656","Catalog Record")</f>
        <v>Catalog Record</v>
      </c>
      <c r="AV149" s="5" t="str">
        <f>HYPERLINK("http://www.worldcat.org/oclc/280027","WorldCat Record")</f>
        <v>WorldCat Record</v>
      </c>
      <c r="AW149" s="2" t="s">
        <v>2006</v>
      </c>
      <c r="AX149" s="2" t="s">
        <v>2007</v>
      </c>
      <c r="AY149" s="2" t="s">
        <v>2008</v>
      </c>
      <c r="AZ149" s="2" t="s">
        <v>2008</v>
      </c>
      <c r="BA149" s="2" t="s">
        <v>2009</v>
      </c>
      <c r="BB149" s="2" t="s">
        <v>20</v>
      </c>
      <c r="BE149" s="2" t="s">
        <v>2010</v>
      </c>
      <c r="BF149" s="2" t="s">
        <v>2011</v>
      </c>
    </row>
    <row r="150" spans="1:58" ht="39.75" customHeight="1" x14ac:dyDescent="0.25">
      <c r="A150" s="7" t="s">
        <v>5</v>
      </c>
      <c r="B150" s="1" t="s">
        <v>0</v>
      </c>
      <c r="C150" s="1" t="s">
        <v>1</v>
      </c>
      <c r="D150" s="1" t="s">
        <v>2012</v>
      </c>
      <c r="E150" s="1" t="s">
        <v>2013</v>
      </c>
      <c r="F150" s="1" t="s">
        <v>2014</v>
      </c>
      <c r="H150" s="2" t="s">
        <v>5</v>
      </c>
      <c r="I150" s="2" t="s">
        <v>6</v>
      </c>
      <c r="J150" s="2" t="s">
        <v>5</v>
      </c>
      <c r="K150" s="2" t="s">
        <v>5</v>
      </c>
      <c r="L150" s="2" t="s">
        <v>7</v>
      </c>
      <c r="M150" s="1" t="s">
        <v>2015</v>
      </c>
      <c r="N150" s="1" t="s">
        <v>2016</v>
      </c>
      <c r="O150" s="2" t="s">
        <v>162</v>
      </c>
      <c r="Q150" s="2" t="s">
        <v>60</v>
      </c>
      <c r="R150" s="2" t="s">
        <v>61</v>
      </c>
      <c r="T150" s="2" t="s">
        <v>13</v>
      </c>
      <c r="U150" s="3">
        <v>2</v>
      </c>
      <c r="V150" s="3">
        <v>2</v>
      </c>
      <c r="W150" s="4" t="s">
        <v>2017</v>
      </c>
      <c r="X150" s="4" t="s">
        <v>2017</v>
      </c>
      <c r="Y150" s="4" t="s">
        <v>2005</v>
      </c>
      <c r="Z150" s="4" t="s">
        <v>2005</v>
      </c>
      <c r="AA150" s="3">
        <v>535</v>
      </c>
      <c r="AB150" s="3">
        <v>513</v>
      </c>
      <c r="AC150" s="3">
        <v>600</v>
      </c>
      <c r="AD150" s="3">
        <v>4</v>
      </c>
      <c r="AE150" s="9">
        <v>4</v>
      </c>
      <c r="AF150" s="9">
        <v>22</v>
      </c>
      <c r="AG150" s="9">
        <v>24</v>
      </c>
      <c r="AH150" s="3">
        <v>9</v>
      </c>
      <c r="AI150" s="3">
        <v>9</v>
      </c>
      <c r="AJ150" s="3">
        <v>5</v>
      </c>
      <c r="AK150" s="3">
        <v>6</v>
      </c>
      <c r="AL150" s="3">
        <v>11</v>
      </c>
      <c r="AM150" s="3">
        <v>13</v>
      </c>
      <c r="AN150" s="3">
        <v>3</v>
      </c>
      <c r="AO150" s="3">
        <v>3</v>
      </c>
      <c r="AP150" s="3">
        <v>0</v>
      </c>
      <c r="AQ150" s="3">
        <v>0</v>
      </c>
      <c r="AR150" s="2" t="s">
        <v>5</v>
      </c>
      <c r="AS150" s="2" t="s">
        <v>5</v>
      </c>
      <c r="AU150" s="5" t="str">
        <f>HYPERLINK("https://creighton-primo.hosted.exlibrisgroup.com/primo-explore/search?tab=default_tab&amp;search_scope=EVERYTHING&amp;vid=01CRU&amp;lang=en_US&amp;offset=0&amp;query=any,contains,991000651639702656","Catalog Record")</f>
        <v>Catalog Record</v>
      </c>
      <c r="AV150" s="5" t="str">
        <f>HYPERLINK("http://www.worldcat.org/oclc/113721","WorldCat Record")</f>
        <v>WorldCat Record</v>
      </c>
      <c r="AW150" s="2" t="s">
        <v>2018</v>
      </c>
      <c r="AX150" s="2" t="s">
        <v>2019</v>
      </c>
      <c r="AY150" s="2" t="s">
        <v>2020</v>
      </c>
      <c r="AZ150" s="2" t="s">
        <v>2020</v>
      </c>
      <c r="BA150" s="2" t="s">
        <v>2021</v>
      </c>
      <c r="BB150" s="2" t="s">
        <v>20</v>
      </c>
      <c r="BE150" s="2" t="s">
        <v>2022</v>
      </c>
      <c r="BF150" s="2" t="s">
        <v>2023</v>
      </c>
    </row>
    <row r="151" spans="1:58" ht="39.75" customHeight="1" x14ac:dyDescent="0.25">
      <c r="A151" s="7" t="s">
        <v>5</v>
      </c>
      <c r="B151" s="1" t="s">
        <v>0</v>
      </c>
      <c r="C151" s="1" t="s">
        <v>1</v>
      </c>
      <c r="D151" s="1" t="s">
        <v>2024</v>
      </c>
      <c r="E151" s="1" t="s">
        <v>2025</v>
      </c>
      <c r="F151" s="1" t="s">
        <v>2026</v>
      </c>
      <c r="H151" s="2" t="s">
        <v>5</v>
      </c>
      <c r="I151" s="2" t="s">
        <v>6</v>
      </c>
      <c r="J151" s="2" t="s">
        <v>5</v>
      </c>
      <c r="K151" s="2" t="s">
        <v>5</v>
      </c>
      <c r="L151" s="2" t="s">
        <v>7</v>
      </c>
      <c r="M151" s="1" t="s">
        <v>2027</v>
      </c>
      <c r="N151" s="1" t="s">
        <v>2028</v>
      </c>
      <c r="O151" s="2" t="s">
        <v>1418</v>
      </c>
      <c r="Q151" s="2" t="s">
        <v>60</v>
      </c>
      <c r="R151" s="2" t="s">
        <v>61</v>
      </c>
      <c r="S151" s="1" t="s">
        <v>2029</v>
      </c>
      <c r="T151" s="2" t="s">
        <v>13</v>
      </c>
      <c r="U151" s="3">
        <v>1</v>
      </c>
      <c r="V151" s="3">
        <v>1</v>
      </c>
      <c r="W151" s="4" t="s">
        <v>2030</v>
      </c>
      <c r="X151" s="4" t="s">
        <v>2030</v>
      </c>
      <c r="Y151" s="4" t="s">
        <v>2031</v>
      </c>
      <c r="Z151" s="4" t="s">
        <v>2031</v>
      </c>
      <c r="AA151" s="3">
        <v>664</v>
      </c>
      <c r="AB151" s="3">
        <v>596</v>
      </c>
      <c r="AC151" s="3">
        <v>608</v>
      </c>
      <c r="AD151" s="3">
        <v>7</v>
      </c>
      <c r="AE151" s="9">
        <v>7</v>
      </c>
      <c r="AF151" s="9">
        <v>34</v>
      </c>
      <c r="AG151" s="9">
        <v>35</v>
      </c>
      <c r="AH151" s="3">
        <v>11</v>
      </c>
      <c r="AI151" s="3">
        <v>11</v>
      </c>
      <c r="AJ151" s="3">
        <v>7</v>
      </c>
      <c r="AK151" s="3">
        <v>8</v>
      </c>
      <c r="AL151" s="3">
        <v>20</v>
      </c>
      <c r="AM151" s="3">
        <v>21</v>
      </c>
      <c r="AN151" s="3">
        <v>5</v>
      </c>
      <c r="AO151" s="3">
        <v>5</v>
      </c>
      <c r="AP151" s="3">
        <v>0</v>
      </c>
      <c r="AQ151" s="3">
        <v>0</v>
      </c>
      <c r="AR151" s="2" t="s">
        <v>5</v>
      </c>
      <c r="AS151" s="2" t="s">
        <v>46</v>
      </c>
      <c r="AT151" s="5" t="str">
        <f>HYPERLINK("http://catalog.hathitrust.org/Record/001215305","HathiTrust Record")</f>
        <v>HathiTrust Record</v>
      </c>
      <c r="AU151" s="5" t="str">
        <f>HYPERLINK("https://creighton-primo.hosted.exlibrisgroup.com/primo-explore/search?tab=default_tab&amp;search_scope=EVERYTHING&amp;vid=01CRU&amp;lang=en_US&amp;offset=0&amp;query=any,contains,991002410189702656","Catalog Record")</f>
        <v>Catalog Record</v>
      </c>
      <c r="AV151" s="5" t="str">
        <f>HYPERLINK("http://www.worldcat.org/oclc/339276","WorldCat Record")</f>
        <v>WorldCat Record</v>
      </c>
      <c r="AW151" s="2" t="s">
        <v>2032</v>
      </c>
      <c r="AX151" s="2" t="s">
        <v>2033</v>
      </c>
      <c r="AY151" s="2" t="s">
        <v>2034</v>
      </c>
      <c r="AZ151" s="2" t="s">
        <v>2034</v>
      </c>
      <c r="BA151" s="2" t="s">
        <v>2035</v>
      </c>
      <c r="BB151" s="2" t="s">
        <v>20</v>
      </c>
      <c r="BE151" s="2" t="s">
        <v>2036</v>
      </c>
      <c r="BF151" s="2" t="s">
        <v>2037</v>
      </c>
    </row>
    <row r="152" spans="1:58" ht="39.75" customHeight="1" x14ac:dyDescent="0.25">
      <c r="A152" s="7" t="s">
        <v>5</v>
      </c>
      <c r="B152" s="1" t="s">
        <v>0</v>
      </c>
      <c r="C152" s="1" t="s">
        <v>1</v>
      </c>
      <c r="D152" s="1" t="s">
        <v>2038</v>
      </c>
      <c r="E152" s="1" t="s">
        <v>2039</v>
      </c>
      <c r="F152" s="1" t="s">
        <v>2040</v>
      </c>
      <c r="H152" s="2" t="s">
        <v>5</v>
      </c>
      <c r="I152" s="2" t="s">
        <v>6</v>
      </c>
      <c r="J152" s="2" t="s">
        <v>5</v>
      </c>
      <c r="K152" s="2" t="s">
        <v>5</v>
      </c>
      <c r="L152" s="2" t="s">
        <v>7</v>
      </c>
      <c r="M152" s="1" t="s">
        <v>2041</v>
      </c>
      <c r="N152" s="1" t="s">
        <v>2042</v>
      </c>
      <c r="O152" s="2" t="s">
        <v>392</v>
      </c>
      <c r="P152" s="1" t="s">
        <v>1350</v>
      </c>
      <c r="Q152" s="2" t="s">
        <v>60</v>
      </c>
      <c r="R152" s="2" t="s">
        <v>61</v>
      </c>
      <c r="S152" s="1" t="s">
        <v>2043</v>
      </c>
      <c r="T152" s="2" t="s">
        <v>13</v>
      </c>
      <c r="U152" s="3">
        <v>5</v>
      </c>
      <c r="V152" s="3">
        <v>5</v>
      </c>
      <c r="W152" s="4" t="s">
        <v>2044</v>
      </c>
      <c r="X152" s="4" t="s">
        <v>2044</v>
      </c>
      <c r="Y152" s="4" t="s">
        <v>2045</v>
      </c>
      <c r="Z152" s="4" t="s">
        <v>2045</v>
      </c>
      <c r="AA152" s="3">
        <v>349</v>
      </c>
      <c r="AB152" s="3">
        <v>314</v>
      </c>
      <c r="AC152" s="3">
        <v>317</v>
      </c>
      <c r="AD152" s="3">
        <v>3</v>
      </c>
      <c r="AE152" s="9">
        <v>3</v>
      </c>
      <c r="AF152" s="9">
        <v>10</v>
      </c>
      <c r="AG152" s="9">
        <v>10</v>
      </c>
      <c r="AH152" s="3">
        <v>1</v>
      </c>
      <c r="AI152" s="3">
        <v>1</v>
      </c>
      <c r="AJ152" s="3">
        <v>5</v>
      </c>
      <c r="AK152" s="3">
        <v>5</v>
      </c>
      <c r="AL152" s="3">
        <v>4</v>
      </c>
      <c r="AM152" s="3">
        <v>4</v>
      </c>
      <c r="AN152" s="3">
        <v>2</v>
      </c>
      <c r="AO152" s="3">
        <v>2</v>
      </c>
      <c r="AP152" s="3">
        <v>0</v>
      </c>
      <c r="AQ152" s="3">
        <v>0</v>
      </c>
      <c r="AR152" s="2" t="s">
        <v>5</v>
      </c>
      <c r="AS152" s="2" t="s">
        <v>46</v>
      </c>
      <c r="AT152" s="5" t="str">
        <f>HYPERLINK("http://catalog.hathitrust.org/Record/001215432","HathiTrust Record")</f>
        <v>HathiTrust Record</v>
      </c>
      <c r="AU152" s="5" t="str">
        <f>HYPERLINK("https://creighton-primo.hosted.exlibrisgroup.com/primo-explore/search?tab=default_tab&amp;search_scope=EVERYTHING&amp;vid=01CRU&amp;lang=en_US&amp;offset=0&amp;query=any,contains,991003199319702656","Catalog Record")</f>
        <v>Catalog Record</v>
      </c>
      <c r="AV152" s="5" t="str">
        <f>HYPERLINK("http://www.worldcat.org/oclc/724026","WorldCat Record")</f>
        <v>WorldCat Record</v>
      </c>
      <c r="AW152" s="2" t="s">
        <v>2046</v>
      </c>
      <c r="AX152" s="2" t="s">
        <v>2047</v>
      </c>
      <c r="AY152" s="2" t="s">
        <v>2048</v>
      </c>
      <c r="AZ152" s="2" t="s">
        <v>2048</v>
      </c>
      <c r="BA152" s="2" t="s">
        <v>2049</v>
      </c>
      <c r="BB152" s="2" t="s">
        <v>20</v>
      </c>
      <c r="BD152" s="2" t="s">
        <v>2050</v>
      </c>
      <c r="BE152" s="2" t="s">
        <v>2051</v>
      </c>
      <c r="BF152" s="2" t="s">
        <v>2052</v>
      </c>
    </row>
    <row r="153" spans="1:58" ht="39.75" customHeight="1" x14ac:dyDescent="0.25">
      <c r="A153" s="7" t="s">
        <v>5</v>
      </c>
      <c r="B153" s="1" t="s">
        <v>0</v>
      </c>
      <c r="C153" s="1" t="s">
        <v>1</v>
      </c>
      <c r="D153" s="1" t="s">
        <v>2053</v>
      </c>
      <c r="E153" s="1" t="s">
        <v>2054</v>
      </c>
      <c r="F153" s="1" t="s">
        <v>2055</v>
      </c>
      <c r="H153" s="2" t="s">
        <v>5</v>
      </c>
      <c r="I153" s="2" t="s">
        <v>6</v>
      </c>
      <c r="J153" s="2" t="s">
        <v>5</v>
      </c>
      <c r="K153" s="2" t="s">
        <v>5</v>
      </c>
      <c r="L153" s="2" t="s">
        <v>7</v>
      </c>
      <c r="M153" s="1" t="s">
        <v>2056</v>
      </c>
      <c r="N153" s="1" t="s">
        <v>2057</v>
      </c>
      <c r="O153" s="2" t="s">
        <v>291</v>
      </c>
      <c r="Q153" s="2" t="s">
        <v>60</v>
      </c>
      <c r="R153" s="2" t="s">
        <v>1123</v>
      </c>
      <c r="T153" s="2" t="s">
        <v>13</v>
      </c>
      <c r="U153" s="3">
        <v>4</v>
      </c>
      <c r="V153" s="3">
        <v>4</v>
      </c>
      <c r="W153" s="4" t="s">
        <v>2044</v>
      </c>
      <c r="X153" s="4" t="s">
        <v>2044</v>
      </c>
      <c r="Y153" s="4" t="s">
        <v>2045</v>
      </c>
      <c r="Z153" s="4" t="s">
        <v>2045</v>
      </c>
      <c r="AA153" s="3">
        <v>71</v>
      </c>
      <c r="AB153" s="3">
        <v>58</v>
      </c>
      <c r="AC153" s="3">
        <v>521</v>
      </c>
      <c r="AD153" s="3">
        <v>2</v>
      </c>
      <c r="AE153" s="9">
        <v>3</v>
      </c>
      <c r="AF153" s="9">
        <v>2</v>
      </c>
      <c r="AG153" s="9">
        <v>23</v>
      </c>
      <c r="AH153" s="3">
        <v>1</v>
      </c>
      <c r="AI153" s="3">
        <v>10</v>
      </c>
      <c r="AJ153" s="3">
        <v>1</v>
      </c>
      <c r="AK153" s="3">
        <v>6</v>
      </c>
      <c r="AL153" s="3">
        <v>0</v>
      </c>
      <c r="AM153" s="3">
        <v>12</v>
      </c>
      <c r="AN153" s="3">
        <v>1</v>
      </c>
      <c r="AO153" s="3">
        <v>2</v>
      </c>
      <c r="AP153" s="3">
        <v>0</v>
      </c>
      <c r="AQ153" s="3">
        <v>0</v>
      </c>
      <c r="AR153" s="2" t="s">
        <v>5</v>
      </c>
      <c r="AS153" s="2" t="s">
        <v>46</v>
      </c>
      <c r="AT153" s="5" t="str">
        <f>HYPERLINK("http://catalog.hathitrust.org/Record/007116123","HathiTrust Record")</f>
        <v>HathiTrust Record</v>
      </c>
      <c r="AU153" s="5" t="str">
        <f>HYPERLINK("https://creighton-primo.hosted.exlibrisgroup.com/primo-explore/search?tab=default_tab&amp;search_scope=EVERYTHING&amp;vid=01CRU&amp;lang=en_US&amp;offset=0&amp;query=any,contains,991004296839702656","Catalog Record")</f>
        <v>Catalog Record</v>
      </c>
      <c r="AV153" s="5" t="str">
        <f>HYPERLINK("http://www.worldcat.org/oclc/2965611","WorldCat Record")</f>
        <v>WorldCat Record</v>
      </c>
      <c r="AW153" s="2" t="s">
        <v>2058</v>
      </c>
      <c r="AX153" s="2" t="s">
        <v>2059</v>
      </c>
      <c r="AY153" s="2" t="s">
        <v>2060</v>
      </c>
      <c r="AZ153" s="2" t="s">
        <v>2060</v>
      </c>
      <c r="BA153" s="2" t="s">
        <v>2061</v>
      </c>
      <c r="BB153" s="2" t="s">
        <v>20</v>
      </c>
      <c r="BD153" s="2" t="s">
        <v>2062</v>
      </c>
      <c r="BE153" s="2" t="s">
        <v>2063</v>
      </c>
      <c r="BF153" s="2" t="s">
        <v>2064</v>
      </c>
    </row>
    <row r="154" spans="1:58" ht="39.75" customHeight="1" x14ac:dyDescent="0.25">
      <c r="A154" s="7" t="s">
        <v>5</v>
      </c>
      <c r="B154" s="1" t="s">
        <v>0</v>
      </c>
      <c r="C154" s="1" t="s">
        <v>1</v>
      </c>
      <c r="D154" s="1" t="s">
        <v>2065</v>
      </c>
      <c r="E154" s="1" t="s">
        <v>2066</v>
      </c>
      <c r="F154" s="1" t="s">
        <v>2067</v>
      </c>
      <c r="H154" s="2" t="s">
        <v>5</v>
      </c>
      <c r="I154" s="2" t="s">
        <v>6</v>
      </c>
      <c r="J154" s="2" t="s">
        <v>5</v>
      </c>
      <c r="K154" s="2" t="s">
        <v>5</v>
      </c>
      <c r="L154" s="2" t="s">
        <v>7</v>
      </c>
      <c r="M154" s="1" t="s">
        <v>2068</v>
      </c>
      <c r="N154" s="1" t="s">
        <v>2069</v>
      </c>
      <c r="O154" s="2" t="s">
        <v>791</v>
      </c>
      <c r="Q154" s="2" t="s">
        <v>60</v>
      </c>
      <c r="R154" s="2" t="s">
        <v>277</v>
      </c>
      <c r="S154" s="1" t="s">
        <v>2070</v>
      </c>
      <c r="T154" s="2" t="s">
        <v>13</v>
      </c>
      <c r="U154" s="3">
        <v>5</v>
      </c>
      <c r="V154" s="3">
        <v>5</v>
      </c>
      <c r="W154" s="4" t="s">
        <v>2071</v>
      </c>
      <c r="X154" s="4" t="s">
        <v>2071</v>
      </c>
      <c r="Y154" s="4" t="s">
        <v>2072</v>
      </c>
      <c r="Z154" s="4" t="s">
        <v>2072</v>
      </c>
      <c r="AA154" s="3">
        <v>681</v>
      </c>
      <c r="AB154" s="3">
        <v>594</v>
      </c>
      <c r="AC154" s="3">
        <v>864</v>
      </c>
      <c r="AD154" s="3">
        <v>4</v>
      </c>
      <c r="AE154" s="9">
        <v>4</v>
      </c>
      <c r="AF154" s="9">
        <v>25</v>
      </c>
      <c r="AG154" s="9">
        <v>36</v>
      </c>
      <c r="AH154" s="3">
        <v>10</v>
      </c>
      <c r="AI154" s="3">
        <v>17</v>
      </c>
      <c r="AJ154" s="3">
        <v>6</v>
      </c>
      <c r="AK154" s="3">
        <v>7</v>
      </c>
      <c r="AL154" s="3">
        <v>12</v>
      </c>
      <c r="AM154" s="3">
        <v>19</v>
      </c>
      <c r="AN154" s="3">
        <v>3</v>
      </c>
      <c r="AO154" s="3">
        <v>3</v>
      </c>
      <c r="AP154" s="3">
        <v>0</v>
      </c>
      <c r="AQ154" s="3">
        <v>0</v>
      </c>
      <c r="AR154" s="2" t="s">
        <v>5</v>
      </c>
      <c r="AS154" s="2" t="s">
        <v>46</v>
      </c>
      <c r="AT154" s="5" t="str">
        <f>HYPERLINK("http://catalog.hathitrust.org/Record/000017602","HathiTrust Record")</f>
        <v>HathiTrust Record</v>
      </c>
      <c r="AU154" s="5" t="str">
        <f>HYPERLINK("https://creighton-primo.hosted.exlibrisgroup.com/primo-explore/search?tab=default_tab&amp;search_scope=EVERYTHING&amp;vid=01CRU&amp;lang=en_US&amp;offset=0&amp;query=any,contains,991003719489702656","Catalog Record")</f>
        <v>Catalog Record</v>
      </c>
      <c r="AV154" s="5" t="str">
        <f>HYPERLINK("http://www.worldcat.org/oclc/1365170","WorldCat Record")</f>
        <v>WorldCat Record</v>
      </c>
      <c r="AW154" s="2" t="s">
        <v>2073</v>
      </c>
      <c r="AX154" s="2" t="s">
        <v>2074</v>
      </c>
      <c r="AY154" s="2" t="s">
        <v>2075</v>
      </c>
      <c r="AZ154" s="2" t="s">
        <v>2075</v>
      </c>
      <c r="BA154" s="2" t="s">
        <v>2076</v>
      </c>
      <c r="BB154" s="2" t="s">
        <v>20</v>
      </c>
      <c r="BD154" s="2" t="s">
        <v>2077</v>
      </c>
      <c r="BE154" s="2" t="s">
        <v>2078</v>
      </c>
      <c r="BF154" s="2" t="s">
        <v>2079</v>
      </c>
    </row>
    <row r="155" spans="1:58" ht="39.75" customHeight="1" x14ac:dyDescent="0.25">
      <c r="A155" s="7" t="s">
        <v>5</v>
      </c>
      <c r="B155" s="1" t="s">
        <v>0</v>
      </c>
      <c r="C155" s="1" t="s">
        <v>1</v>
      </c>
      <c r="D155" s="1" t="s">
        <v>2080</v>
      </c>
      <c r="E155" s="1" t="s">
        <v>2081</v>
      </c>
      <c r="F155" s="1" t="s">
        <v>2082</v>
      </c>
      <c r="G155" s="2" t="s">
        <v>2083</v>
      </c>
      <c r="H155" s="2" t="s">
        <v>46</v>
      </c>
      <c r="I155" s="2" t="s">
        <v>6</v>
      </c>
      <c r="J155" s="2" t="s">
        <v>5</v>
      </c>
      <c r="K155" s="2" t="s">
        <v>5</v>
      </c>
      <c r="L155" s="2" t="s">
        <v>7</v>
      </c>
      <c r="M155" s="1" t="s">
        <v>2084</v>
      </c>
      <c r="N155" s="1" t="s">
        <v>2085</v>
      </c>
      <c r="O155" s="2" t="s">
        <v>1418</v>
      </c>
      <c r="Q155" s="2" t="s">
        <v>11</v>
      </c>
      <c r="R155" s="2" t="s">
        <v>28</v>
      </c>
      <c r="S155" s="1" t="s">
        <v>2086</v>
      </c>
      <c r="T155" s="2" t="s">
        <v>13</v>
      </c>
      <c r="U155" s="3">
        <v>2</v>
      </c>
      <c r="V155" s="3">
        <v>2</v>
      </c>
      <c r="W155" s="4" t="s">
        <v>2087</v>
      </c>
      <c r="X155" s="4" t="s">
        <v>2087</v>
      </c>
      <c r="Y155" s="4" t="s">
        <v>2088</v>
      </c>
      <c r="Z155" s="4" t="s">
        <v>2088</v>
      </c>
      <c r="AA155" s="3">
        <v>357</v>
      </c>
      <c r="AB155" s="3">
        <v>270</v>
      </c>
      <c r="AC155" s="3">
        <v>282</v>
      </c>
      <c r="AD155" s="3">
        <v>3</v>
      </c>
      <c r="AE155" s="9">
        <v>3</v>
      </c>
      <c r="AF155" s="9">
        <v>15</v>
      </c>
      <c r="AG155" s="9">
        <v>15</v>
      </c>
      <c r="AH155" s="3">
        <v>4</v>
      </c>
      <c r="AI155" s="3">
        <v>4</v>
      </c>
      <c r="AJ155" s="3">
        <v>5</v>
      </c>
      <c r="AK155" s="3">
        <v>5</v>
      </c>
      <c r="AL155" s="3">
        <v>8</v>
      </c>
      <c r="AM155" s="3">
        <v>8</v>
      </c>
      <c r="AN155" s="3">
        <v>2</v>
      </c>
      <c r="AO155" s="3">
        <v>2</v>
      </c>
      <c r="AP155" s="3">
        <v>0</v>
      </c>
      <c r="AQ155" s="3">
        <v>0</v>
      </c>
      <c r="AR155" s="2" t="s">
        <v>5</v>
      </c>
      <c r="AS155" s="2" t="s">
        <v>46</v>
      </c>
      <c r="AT155" s="5" t="str">
        <f>HYPERLINK("http://catalog.hathitrust.org/Record/006548811","HathiTrust Record")</f>
        <v>HathiTrust Record</v>
      </c>
      <c r="AU155" s="5" t="str">
        <f>HYPERLINK("https://creighton-primo.hosted.exlibrisgroup.com/primo-explore/search?tab=default_tab&amp;search_scope=EVERYTHING&amp;vid=01CRU&amp;lang=en_US&amp;offset=0&amp;query=any,contains,991003047239702656","Catalog Record")</f>
        <v>Catalog Record</v>
      </c>
      <c r="AV155" s="5" t="str">
        <f>HYPERLINK("http://www.worldcat.org/oclc/607802","WorldCat Record")</f>
        <v>WorldCat Record</v>
      </c>
      <c r="AW155" s="2" t="s">
        <v>2089</v>
      </c>
      <c r="AX155" s="2" t="s">
        <v>2090</v>
      </c>
      <c r="AY155" s="2" t="s">
        <v>2091</v>
      </c>
      <c r="AZ155" s="2" t="s">
        <v>2091</v>
      </c>
      <c r="BA155" s="2" t="s">
        <v>2092</v>
      </c>
      <c r="BB155" s="2" t="s">
        <v>20</v>
      </c>
      <c r="BE155" s="2" t="s">
        <v>2093</v>
      </c>
      <c r="BF155" s="2" t="s">
        <v>2094</v>
      </c>
    </row>
    <row r="156" spans="1:58" ht="39.75" customHeight="1" x14ac:dyDescent="0.25">
      <c r="A156" s="7" t="s">
        <v>5</v>
      </c>
      <c r="B156" s="1" t="s">
        <v>0</v>
      </c>
      <c r="C156" s="1" t="s">
        <v>1</v>
      </c>
      <c r="D156" s="1" t="s">
        <v>2095</v>
      </c>
      <c r="E156" s="1" t="s">
        <v>2096</v>
      </c>
      <c r="F156" s="1" t="s">
        <v>2097</v>
      </c>
      <c r="G156" s="2" t="s">
        <v>2083</v>
      </c>
      <c r="H156" s="2" t="s">
        <v>46</v>
      </c>
      <c r="I156" s="2" t="s">
        <v>6</v>
      </c>
      <c r="J156" s="2" t="s">
        <v>5</v>
      </c>
      <c r="K156" s="2" t="s">
        <v>5</v>
      </c>
      <c r="L156" s="2" t="s">
        <v>7</v>
      </c>
      <c r="M156" s="1" t="s">
        <v>2098</v>
      </c>
      <c r="N156" s="1" t="s">
        <v>2099</v>
      </c>
      <c r="O156" s="2" t="s">
        <v>307</v>
      </c>
      <c r="P156" s="1" t="s">
        <v>2100</v>
      </c>
      <c r="Q156" s="2" t="s">
        <v>11</v>
      </c>
      <c r="R156" s="2" t="s">
        <v>28</v>
      </c>
      <c r="T156" s="2" t="s">
        <v>13</v>
      </c>
      <c r="U156" s="3">
        <v>0</v>
      </c>
      <c r="V156" s="3">
        <v>2</v>
      </c>
      <c r="X156" s="4" t="s">
        <v>834</v>
      </c>
      <c r="Y156" s="4" t="s">
        <v>79</v>
      </c>
      <c r="Z156" s="4" t="s">
        <v>79</v>
      </c>
      <c r="AA156" s="3">
        <v>225</v>
      </c>
      <c r="AB156" s="3">
        <v>164</v>
      </c>
      <c r="AC156" s="3">
        <v>172</v>
      </c>
      <c r="AD156" s="3">
        <v>3</v>
      </c>
      <c r="AE156" s="9">
        <v>3</v>
      </c>
      <c r="AF156" s="9">
        <v>10</v>
      </c>
      <c r="AG156" s="9">
        <v>10</v>
      </c>
      <c r="AH156" s="3">
        <v>1</v>
      </c>
      <c r="AI156" s="3">
        <v>1</v>
      </c>
      <c r="AJ156" s="3">
        <v>4</v>
      </c>
      <c r="AK156" s="3">
        <v>4</v>
      </c>
      <c r="AL156" s="3">
        <v>5</v>
      </c>
      <c r="AM156" s="3">
        <v>5</v>
      </c>
      <c r="AN156" s="3">
        <v>2</v>
      </c>
      <c r="AO156" s="3">
        <v>2</v>
      </c>
      <c r="AP156" s="3">
        <v>0</v>
      </c>
      <c r="AQ156" s="3">
        <v>0</v>
      </c>
      <c r="AR156" s="2" t="s">
        <v>5</v>
      </c>
      <c r="AS156" s="2" t="s">
        <v>46</v>
      </c>
      <c r="AT156" s="5" t="str">
        <f>HYPERLINK("http://catalog.hathitrust.org/Record/001790457","HathiTrust Record")</f>
        <v>HathiTrust Record</v>
      </c>
      <c r="AU156" s="5" t="str">
        <f>HYPERLINK("https://creighton-primo.hosted.exlibrisgroup.com/primo-explore/search?tab=default_tab&amp;search_scope=EVERYTHING&amp;vid=01CRU&amp;lang=en_US&amp;offset=0&amp;query=any,contains,991003356849702656","Catalog Record")</f>
        <v>Catalog Record</v>
      </c>
      <c r="AV156" s="5" t="str">
        <f>HYPERLINK("http://www.worldcat.org/oclc/890672","WorldCat Record")</f>
        <v>WorldCat Record</v>
      </c>
      <c r="AW156" s="2" t="s">
        <v>2101</v>
      </c>
      <c r="AX156" s="2" t="s">
        <v>2102</v>
      </c>
      <c r="AY156" s="2" t="s">
        <v>2103</v>
      </c>
      <c r="AZ156" s="2" t="s">
        <v>2103</v>
      </c>
      <c r="BA156" s="2" t="s">
        <v>2104</v>
      </c>
      <c r="BB156" s="2" t="s">
        <v>20</v>
      </c>
      <c r="BE156" s="2" t="s">
        <v>2105</v>
      </c>
      <c r="BF156" s="2" t="s">
        <v>2106</v>
      </c>
    </row>
    <row r="157" spans="1:58" ht="39.75" customHeight="1" x14ac:dyDescent="0.25">
      <c r="A157" s="7" t="s">
        <v>5</v>
      </c>
      <c r="B157" s="1" t="s">
        <v>0</v>
      </c>
      <c r="C157" s="1" t="s">
        <v>1</v>
      </c>
      <c r="D157" s="1" t="s">
        <v>2095</v>
      </c>
      <c r="E157" s="1" t="s">
        <v>2096</v>
      </c>
      <c r="F157" s="1" t="s">
        <v>2097</v>
      </c>
      <c r="G157" s="2" t="s">
        <v>2107</v>
      </c>
      <c r="H157" s="2" t="s">
        <v>46</v>
      </c>
      <c r="I157" s="2" t="s">
        <v>6</v>
      </c>
      <c r="J157" s="2" t="s">
        <v>5</v>
      </c>
      <c r="K157" s="2" t="s">
        <v>5</v>
      </c>
      <c r="L157" s="2" t="s">
        <v>7</v>
      </c>
      <c r="M157" s="1" t="s">
        <v>2098</v>
      </c>
      <c r="N157" s="1" t="s">
        <v>2099</v>
      </c>
      <c r="O157" s="2" t="s">
        <v>307</v>
      </c>
      <c r="P157" s="1" t="s">
        <v>2100</v>
      </c>
      <c r="Q157" s="2" t="s">
        <v>11</v>
      </c>
      <c r="R157" s="2" t="s">
        <v>28</v>
      </c>
      <c r="T157" s="2" t="s">
        <v>13</v>
      </c>
      <c r="U157" s="3">
        <v>2</v>
      </c>
      <c r="V157" s="3">
        <v>2</v>
      </c>
      <c r="W157" s="4" t="s">
        <v>834</v>
      </c>
      <c r="X157" s="4" t="s">
        <v>834</v>
      </c>
      <c r="Y157" s="4" t="s">
        <v>2108</v>
      </c>
      <c r="Z157" s="4" t="s">
        <v>79</v>
      </c>
      <c r="AA157" s="3">
        <v>225</v>
      </c>
      <c r="AB157" s="3">
        <v>164</v>
      </c>
      <c r="AC157" s="3">
        <v>172</v>
      </c>
      <c r="AD157" s="3">
        <v>3</v>
      </c>
      <c r="AE157" s="9">
        <v>3</v>
      </c>
      <c r="AF157" s="9">
        <v>10</v>
      </c>
      <c r="AG157" s="9">
        <v>10</v>
      </c>
      <c r="AH157" s="3">
        <v>1</v>
      </c>
      <c r="AI157" s="3">
        <v>1</v>
      </c>
      <c r="AJ157" s="3">
        <v>4</v>
      </c>
      <c r="AK157" s="3">
        <v>4</v>
      </c>
      <c r="AL157" s="3">
        <v>5</v>
      </c>
      <c r="AM157" s="3">
        <v>5</v>
      </c>
      <c r="AN157" s="3">
        <v>2</v>
      </c>
      <c r="AO157" s="3">
        <v>2</v>
      </c>
      <c r="AP157" s="3">
        <v>0</v>
      </c>
      <c r="AQ157" s="3">
        <v>0</v>
      </c>
      <c r="AR157" s="2" t="s">
        <v>5</v>
      </c>
      <c r="AS157" s="2" t="s">
        <v>46</v>
      </c>
      <c r="AT157" s="5" t="str">
        <f>HYPERLINK("http://catalog.hathitrust.org/Record/001790457","HathiTrust Record")</f>
        <v>HathiTrust Record</v>
      </c>
      <c r="AU157" s="5" t="str">
        <f>HYPERLINK("https://creighton-primo.hosted.exlibrisgroup.com/primo-explore/search?tab=default_tab&amp;search_scope=EVERYTHING&amp;vid=01CRU&amp;lang=en_US&amp;offset=0&amp;query=any,contains,991003356849702656","Catalog Record")</f>
        <v>Catalog Record</v>
      </c>
      <c r="AV157" s="5" t="str">
        <f>HYPERLINK("http://www.worldcat.org/oclc/890672","WorldCat Record")</f>
        <v>WorldCat Record</v>
      </c>
      <c r="AW157" s="2" t="s">
        <v>2101</v>
      </c>
      <c r="AX157" s="2" t="s">
        <v>2102</v>
      </c>
      <c r="AY157" s="2" t="s">
        <v>2103</v>
      </c>
      <c r="AZ157" s="2" t="s">
        <v>2103</v>
      </c>
      <c r="BA157" s="2" t="s">
        <v>2104</v>
      </c>
      <c r="BB157" s="2" t="s">
        <v>20</v>
      </c>
      <c r="BE157" s="2" t="s">
        <v>2109</v>
      </c>
      <c r="BF157" s="2" t="s">
        <v>2110</v>
      </c>
    </row>
    <row r="158" spans="1:58" ht="39.75" customHeight="1" x14ac:dyDescent="0.25">
      <c r="A158" s="7" t="s">
        <v>5</v>
      </c>
      <c r="B158" s="1" t="s">
        <v>0</v>
      </c>
      <c r="C158" s="1" t="s">
        <v>1</v>
      </c>
      <c r="D158" s="1" t="s">
        <v>2111</v>
      </c>
      <c r="E158" s="1" t="s">
        <v>2112</v>
      </c>
      <c r="F158" s="1" t="s">
        <v>2113</v>
      </c>
      <c r="H158" s="2" t="s">
        <v>5</v>
      </c>
      <c r="I158" s="2" t="s">
        <v>6</v>
      </c>
      <c r="J158" s="2" t="s">
        <v>5</v>
      </c>
      <c r="K158" s="2" t="s">
        <v>5</v>
      </c>
      <c r="L158" s="2" t="s">
        <v>7</v>
      </c>
      <c r="M158" s="1" t="s">
        <v>2114</v>
      </c>
      <c r="N158" s="1" t="s">
        <v>2115</v>
      </c>
      <c r="O158" s="2" t="s">
        <v>162</v>
      </c>
      <c r="Q158" s="2" t="s">
        <v>11</v>
      </c>
      <c r="R158" s="2" t="s">
        <v>28</v>
      </c>
      <c r="S158" s="1" t="s">
        <v>2116</v>
      </c>
      <c r="T158" s="2" t="s">
        <v>13</v>
      </c>
      <c r="U158" s="3">
        <v>2</v>
      </c>
      <c r="V158" s="3">
        <v>2</v>
      </c>
      <c r="W158" s="4" t="s">
        <v>2117</v>
      </c>
      <c r="X158" s="4" t="s">
        <v>2117</v>
      </c>
      <c r="Y158" s="4" t="s">
        <v>2108</v>
      </c>
      <c r="Z158" s="4" t="s">
        <v>2108</v>
      </c>
      <c r="AA158" s="3">
        <v>275</v>
      </c>
      <c r="AB158" s="3">
        <v>178</v>
      </c>
      <c r="AC158" s="3">
        <v>227</v>
      </c>
      <c r="AD158" s="3">
        <v>2</v>
      </c>
      <c r="AE158" s="9">
        <v>2</v>
      </c>
      <c r="AF158" s="9">
        <v>11</v>
      </c>
      <c r="AG158" s="9">
        <v>13</v>
      </c>
      <c r="AH158" s="3">
        <v>3</v>
      </c>
      <c r="AI158" s="3">
        <v>3</v>
      </c>
      <c r="AJ158" s="3">
        <v>4</v>
      </c>
      <c r="AK158" s="3">
        <v>5</v>
      </c>
      <c r="AL158" s="3">
        <v>8</v>
      </c>
      <c r="AM158" s="3">
        <v>9</v>
      </c>
      <c r="AN158" s="3">
        <v>1</v>
      </c>
      <c r="AO158" s="3">
        <v>1</v>
      </c>
      <c r="AP158" s="3">
        <v>0</v>
      </c>
      <c r="AQ158" s="3">
        <v>0</v>
      </c>
      <c r="AR158" s="2" t="s">
        <v>5</v>
      </c>
      <c r="AS158" s="2" t="s">
        <v>46</v>
      </c>
      <c r="AT158" s="5" t="str">
        <f>HYPERLINK("http://catalog.hathitrust.org/Record/001957790","HathiTrust Record")</f>
        <v>HathiTrust Record</v>
      </c>
      <c r="AU158" s="5" t="str">
        <f>HYPERLINK("https://creighton-primo.hosted.exlibrisgroup.com/primo-explore/search?tab=default_tab&amp;search_scope=EVERYTHING&amp;vid=01CRU&amp;lang=en_US&amp;offset=0&amp;query=any,contains,991002390429702656","Catalog Record")</f>
        <v>Catalog Record</v>
      </c>
      <c r="AV158" s="5" t="str">
        <f>HYPERLINK("http://www.worldcat.org/oclc/332162","WorldCat Record")</f>
        <v>WorldCat Record</v>
      </c>
      <c r="AW158" s="2" t="s">
        <v>2118</v>
      </c>
      <c r="AX158" s="2" t="s">
        <v>2119</v>
      </c>
      <c r="AY158" s="2" t="s">
        <v>2120</v>
      </c>
      <c r="AZ158" s="2" t="s">
        <v>2120</v>
      </c>
      <c r="BA158" s="2" t="s">
        <v>2121</v>
      </c>
      <c r="BB158" s="2" t="s">
        <v>20</v>
      </c>
      <c r="BE158" s="2" t="s">
        <v>2122</v>
      </c>
      <c r="BF158" s="2" t="s">
        <v>2123</v>
      </c>
    </row>
    <row r="159" spans="1:58" ht="39.75" customHeight="1" x14ac:dyDescent="0.25">
      <c r="A159" s="7" t="s">
        <v>5</v>
      </c>
      <c r="B159" s="1" t="s">
        <v>0</v>
      </c>
      <c r="C159" s="1" t="s">
        <v>1</v>
      </c>
      <c r="D159" s="1" t="s">
        <v>2124</v>
      </c>
      <c r="E159" s="1" t="s">
        <v>2125</v>
      </c>
      <c r="F159" s="1" t="s">
        <v>2126</v>
      </c>
      <c r="H159" s="2" t="s">
        <v>5</v>
      </c>
      <c r="I159" s="2" t="s">
        <v>6</v>
      </c>
      <c r="J159" s="2" t="s">
        <v>5</v>
      </c>
      <c r="K159" s="2" t="s">
        <v>5</v>
      </c>
      <c r="L159" s="2" t="s">
        <v>7</v>
      </c>
      <c r="M159" s="1" t="s">
        <v>2127</v>
      </c>
      <c r="N159" s="1" t="s">
        <v>2128</v>
      </c>
      <c r="O159" s="2" t="s">
        <v>639</v>
      </c>
      <c r="Q159" s="2" t="s">
        <v>60</v>
      </c>
      <c r="R159" s="2" t="s">
        <v>193</v>
      </c>
      <c r="S159" s="1" t="s">
        <v>1079</v>
      </c>
      <c r="T159" s="2" t="s">
        <v>13</v>
      </c>
      <c r="U159" s="3">
        <v>7</v>
      </c>
      <c r="V159" s="3">
        <v>7</v>
      </c>
      <c r="W159" s="4" t="s">
        <v>2129</v>
      </c>
      <c r="X159" s="4" t="s">
        <v>2129</v>
      </c>
      <c r="Y159" s="4" t="s">
        <v>1393</v>
      </c>
      <c r="Z159" s="4" t="s">
        <v>1393</v>
      </c>
      <c r="AA159" s="3">
        <v>628</v>
      </c>
      <c r="AB159" s="3">
        <v>526</v>
      </c>
      <c r="AC159" s="3">
        <v>538</v>
      </c>
      <c r="AD159" s="3">
        <v>5</v>
      </c>
      <c r="AE159" s="9">
        <v>5</v>
      </c>
      <c r="AF159" s="9">
        <v>26</v>
      </c>
      <c r="AG159" s="9">
        <v>26</v>
      </c>
      <c r="AH159" s="3">
        <v>9</v>
      </c>
      <c r="AI159" s="3">
        <v>9</v>
      </c>
      <c r="AJ159" s="3">
        <v>8</v>
      </c>
      <c r="AK159" s="3">
        <v>8</v>
      </c>
      <c r="AL159" s="3">
        <v>12</v>
      </c>
      <c r="AM159" s="3">
        <v>12</v>
      </c>
      <c r="AN159" s="3">
        <v>4</v>
      </c>
      <c r="AO159" s="3">
        <v>4</v>
      </c>
      <c r="AP159" s="3">
        <v>0</v>
      </c>
      <c r="AQ159" s="3">
        <v>0</v>
      </c>
      <c r="AR159" s="2" t="s">
        <v>5</v>
      </c>
      <c r="AS159" s="2" t="s">
        <v>46</v>
      </c>
      <c r="AT159" s="5" t="str">
        <f>HYPERLINK("http://catalog.hathitrust.org/Record/000873058","HathiTrust Record")</f>
        <v>HathiTrust Record</v>
      </c>
      <c r="AU159" s="5" t="str">
        <f>HYPERLINK("https://creighton-primo.hosted.exlibrisgroup.com/primo-explore/search?tab=default_tab&amp;search_scope=EVERYTHING&amp;vid=01CRU&amp;lang=en_US&amp;offset=0&amp;query=any,contains,991001046559702656","Catalog Record")</f>
        <v>Catalog Record</v>
      </c>
      <c r="AV159" s="5" t="str">
        <f>HYPERLINK("http://www.worldcat.org/oclc/15629184","WorldCat Record")</f>
        <v>WorldCat Record</v>
      </c>
      <c r="AW159" s="2" t="s">
        <v>2130</v>
      </c>
      <c r="AX159" s="2" t="s">
        <v>2131</v>
      </c>
      <c r="AY159" s="2" t="s">
        <v>2132</v>
      </c>
      <c r="AZ159" s="2" t="s">
        <v>2132</v>
      </c>
      <c r="BA159" s="2" t="s">
        <v>2133</v>
      </c>
      <c r="BB159" s="2" t="s">
        <v>20</v>
      </c>
      <c r="BD159" s="2" t="s">
        <v>2134</v>
      </c>
      <c r="BE159" s="2" t="s">
        <v>2135</v>
      </c>
      <c r="BF159" s="2" t="s">
        <v>2136</v>
      </c>
    </row>
    <row r="160" spans="1:58" ht="39.75" customHeight="1" x14ac:dyDescent="0.25">
      <c r="A160" s="7" t="s">
        <v>5</v>
      </c>
      <c r="B160" s="1" t="s">
        <v>0</v>
      </c>
      <c r="C160" s="1" t="s">
        <v>1</v>
      </c>
      <c r="D160" s="1" t="s">
        <v>2137</v>
      </c>
      <c r="E160" s="1" t="s">
        <v>2138</v>
      </c>
      <c r="F160" s="1" t="s">
        <v>2139</v>
      </c>
      <c r="H160" s="2" t="s">
        <v>5</v>
      </c>
      <c r="I160" s="2" t="s">
        <v>6</v>
      </c>
      <c r="J160" s="2" t="s">
        <v>5</v>
      </c>
      <c r="K160" s="2" t="s">
        <v>5</v>
      </c>
      <c r="L160" s="2" t="s">
        <v>7</v>
      </c>
      <c r="M160" s="1" t="s">
        <v>2140</v>
      </c>
      <c r="N160" s="1" t="s">
        <v>2141</v>
      </c>
      <c r="O160" s="2" t="s">
        <v>2142</v>
      </c>
      <c r="Q160" s="2" t="s">
        <v>60</v>
      </c>
      <c r="R160" s="2" t="s">
        <v>1123</v>
      </c>
      <c r="T160" s="2" t="s">
        <v>13</v>
      </c>
      <c r="U160" s="3">
        <v>1</v>
      </c>
      <c r="V160" s="3">
        <v>1</v>
      </c>
      <c r="W160" s="4" t="s">
        <v>2143</v>
      </c>
      <c r="X160" s="4" t="s">
        <v>2143</v>
      </c>
      <c r="Y160" s="4" t="s">
        <v>2143</v>
      </c>
      <c r="Z160" s="4" t="s">
        <v>2143</v>
      </c>
      <c r="AA160" s="3">
        <v>600</v>
      </c>
      <c r="AB160" s="3">
        <v>517</v>
      </c>
      <c r="AC160" s="3">
        <v>1217</v>
      </c>
      <c r="AD160" s="3">
        <v>2</v>
      </c>
      <c r="AE160" s="9">
        <v>9</v>
      </c>
      <c r="AF160" s="9">
        <v>20</v>
      </c>
      <c r="AG160" s="9">
        <v>43</v>
      </c>
      <c r="AH160" s="3">
        <v>10</v>
      </c>
      <c r="AI160" s="3">
        <v>18</v>
      </c>
      <c r="AJ160" s="3">
        <v>6</v>
      </c>
      <c r="AK160" s="3">
        <v>9</v>
      </c>
      <c r="AL160" s="3">
        <v>12</v>
      </c>
      <c r="AM160" s="3">
        <v>19</v>
      </c>
      <c r="AN160" s="3">
        <v>1</v>
      </c>
      <c r="AO160" s="3">
        <v>8</v>
      </c>
      <c r="AP160" s="3">
        <v>0</v>
      </c>
      <c r="AQ160" s="3">
        <v>1</v>
      </c>
      <c r="AR160" s="2" t="s">
        <v>5</v>
      </c>
      <c r="AS160" s="2" t="s">
        <v>5</v>
      </c>
      <c r="AU160" s="5" t="str">
        <f>HYPERLINK("https://creighton-primo.hosted.exlibrisgroup.com/primo-explore/search?tab=default_tab&amp;search_scope=EVERYTHING&amp;vid=01CRU&amp;lang=en_US&amp;offset=0&amp;query=any,contains,991004430869702656","Catalog Record")</f>
        <v>Catalog Record</v>
      </c>
      <c r="AV160" s="5" t="str">
        <f>HYPERLINK("http://www.worldcat.org/oclc/55085751","WorldCat Record")</f>
        <v>WorldCat Record</v>
      </c>
      <c r="AW160" s="2" t="s">
        <v>2144</v>
      </c>
      <c r="AX160" s="2" t="s">
        <v>2145</v>
      </c>
      <c r="AY160" s="2" t="s">
        <v>2146</v>
      </c>
      <c r="AZ160" s="2" t="s">
        <v>2146</v>
      </c>
      <c r="BA160" s="2" t="s">
        <v>2147</v>
      </c>
      <c r="BB160" s="2" t="s">
        <v>20</v>
      </c>
      <c r="BD160" s="2" t="s">
        <v>2148</v>
      </c>
      <c r="BE160" s="2" t="s">
        <v>2149</v>
      </c>
      <c r="BF160" s="2" t="s">
        <v>2150</v>
      </c>
    </row>
    <row r="161" spans="1:58" ht="39.75" customHeight="1" x14ac:dyDescent="0.25">
      <c r="A161" s="7" t="s">
        <v>5</v>
      </c>
      <c r="B161" s="1" t="s">
        <v>0</v>
      </c>
      <c r="C161" s="1" t="s">
        <v>1</v>
      </c>
      <c r="D161" s="1" t="s">
        <v>2151</v>
      </c>
      <c r="E161" s="1" t="s">
        <v>2152</v>
      </c>
      <c r="F161" s="1" t="s">
        <v>2153</v>
      </c>
      <c r="H161" s="2" t="s">
        <v>5</v>
      </c>
      <c r="I161" s="2" t="s">
        <v>6</v>
      </c>
      <c r="J161" s="2" t="s">
        <v>5</v>
      </c>
      <c r="K161" s="2" t="s">
        <v>5</v>
      </c>
      <c r="L161" s="2" t="s">
        <v>7</v>
      </c>
      <c r="M161" s="1" t="s">
        <v>2154</v>
      </c>
      <c r="N161" s="1" t="s">
        <v>2155</v>
      </c>
      <c r="O161" s="2" t="s">
        <v>508</v>
      </c>
      <c r="P161" s="1" t="s">
        <v>1377</v>
      </c>
      <c r="Q161" s="2" t="s">
        <v>60</v>
      </c>
      <c r="R161" s="2" t="s">
        <v>61</v>
      </c>
      <c r="T161" s="2" t="s">
        <v>13</v>
      </c>
      <c r="U161" s="3">
        <v>4</v>
      </c>
      <c r="V161" s="3">
        <v>4</v>
      </c>
      <c r="W161" s="4" t="s">
        <v>2156</v>
      </c>
      <c r="X161" s="4" t="s">
        <v>2156</v>
      </c>
      <c r="Y161" s="4" t="s">
        <v>2157</v>
      </c>
      <c r="Z161" s="4" t="s">
        <v>2157</v>
      </c>
      <c r="AA161" s="3">
        <v>958</v>
      </c>
      <c r="AB161" s="3">
        <v>928</v>
      </c>
      <c r="AC161" s="3">
        <v>1024</v>
      </c>
      <c r="AD161" s="3">
        <v>10</v>
      </c>
      <c r="AE161" s="9">
        <v>12</v>
      </c>
      <c r="AF161" s="9">
        <v>35</v>
      </c>
      <c r="AG161" s="9">
        <v>37</v>
      </c>
      <c r="AH161" s="3">
        <v>14</v>
      </c>
      <c r="AI161" s="3">
        <v>14</v>
      </c>
      <c r="AJ161" s="3">
        <v>8</v>
      </c>
      <c r="AK161" s="3">
        <v>9</v>
      </c>
      <c r="AL161" s="3">
        <v>14</v>
      </c>
      <c r="AM161" s="3">
        <v>15</v>
      </c>
      <c r="AN161" s="3">
        <v>8</v>
      </c>
      <c r="AO161" s="3">
        <v>9</v>
      </c>
      <c r="AP161" s="3">
        <v>0</v>
      </c>
      <c r="AQ161" s="3">
        <v>0</v>
      </c>
      <c r="AR161" s="2" t="s">
        <v>5</v>
      </c>
      <c r="AS161" s="2" t="s">
        <v>46</v>
      </c>
      <c r="AT161" s="5" t="str">
        <f>HYPERLINK("http://catalog.hathitrust.org/Record/008323964","HathiTrust Record")</f>
        <v>HathiTrust Record</v>
      </c>
      <c r="AU161" s="5" t="str">
        <f>HYPERLINK("https://creighton-primo.hosted.exlibrisgroup.com/primo-explore/search?tab=default_tab&amp;search_scope=EVERYTHING&amp;vid=01CRU&amp;lang=en_US&amp;offset=0&amp;query=any,contains,991003331489702656","Catalog Record")</f>
        <v>Catalog Record</v>
      </c>
      <c r="AV161" s="5" t="str">
        <f>HYPERLINK("http://www.worldcat.org/oclc/41967166","WorldCat Record")</f>
        <v>WorldCat Record</v>
      </c>
      <c r="AW161" s="2" t="s">
        <v>2158</v>
      </c>
      <c r="AX161" s="2" t="s">
        <v>2159</v>
      </c>
      <c r="AY161" s="2" t="s">
        <v>2160</v>
      </c>
      <c r="AZ161" s="2" t="s">
        <v>2160</v>
      </c>
      <c r="BA161" s="2" t="s">
        <v>2161</v>
      </c>
      <c r="BB161" s="2" t="s">
        <v>20</v>
      </c>
      <c r="BD161" s="2" t="s">
        <v>2162</v>
      </c>
      <c r="BE161" s="2" t="s">
        <v>2163</v>
      </c>
      <c r="BF161" s="2" t="s">
        <v>2164</v>
      </c>
    </row>
    <row r="162" spans="1:58" ht="39.75" customHeight="1" x14ac:dyDescent="0.25">
      <c r="A162" s="7" t="s">
        <v>5</v>
      </c>
      <c r="B162" s="1" t="s">
        <v>0</v>
      </c>
      <c r="C162" s="1" t="s">
        <v>1</v>
      </c>
      <c r="D162" s="1" t="s">
        <v>2165</v>
      </c>
      <c r="E162" s="1" t="s">
        <v>2166</v>
      </c>
      <c r="F162" s="1" t="s">
        <v>2167</v>
      </c>
      <c r="H162" s="2" t="s">
        <v>5</v>
      </c>
      <c r="I162" s="2" t="s">
        <v>6</v>
      </c>
      <c r="J162" s="2" t="s">
        <v>5</v>
      </c>
      <c r="K162" s="2" t="s">
        <v>5</v>
      </c>
      <c r="L162" s="2" t="s">
        <v>7</v>
      </c>
      <c r="M162" s="1" t="s">
        <v>2168</v>
      </c>
      <c r="N162" s="1" t="s">
        <v>2169</v>
      </c>
      <c r="O162" s="2" t="s">
        <v>291</v>
      </c>
      <c r="P162" s="1" t="s">
        <v>2170</v>
      </c>
      <c r="Q162" s="2" t="s">
        <v>60</v>
      </c>
      <c r="R162" s="2" t="s">
        <v>61</v>
      </c>
      <c r="T162" s="2" t="s">
        <v>13</v>
      </c>
      <c r="U162" s="3">
        <v>1</v>
      </c>
      <c r="V162" s="3">
        <v>1</v>
      </c>
      <c r="W162" s="4" t="s">
        <v>2171</v>
      </c>
      <c r="X162" s="4" t="s">
        <v>2171</v>
      </c>
      <c r="Y162" s="4" t="s">
        <v>2172</v>
      </c>
      <c r="Z162" s="4" t="s">
        <v>2172</v>
      </c>
      <c r="AA162" s="3">
        <v>943</v>
      </c>
      <c r="AB162" s="3">
        <v>892</v>
      </c>
      <c r="AC162" s="3">
        <v>1064</v>
      </c>
      <c r="AD162" s="3">
        <v>8</v>
      </c>
      <c r="AE162" s="9">
        <v>9</v>
      </c>
      <c r="AF162" s="9">
        <v>22</v>
      </c>
      <c r="AG162" s="9">
        <v>27</v>
      </c>
      <c r="AH162" s="3">
        <v>8</v>
      </c>
      <c r="AI162" s="3">
        <v>11</v>
      </c>
      <c r="AJ162" s="3">
        <v>8</v>
      </c>
      <c r="AK162" s="3">
        <v>9</v>
      </c>
      <c r="AL162" s="3">
        <v>8</v>
      </c>
      <c r="AM162" s="3">
        <v>10</v>
      </c>
      <c r="AN162" s="3">
        <v>4</v>
      </c>
      <c r="AO162" s="3">
        <v>5</v>
      </c>
      <c r="AP162" s="3">
        <v>0</v>
      </c>
      <c r="AQ162" s="3">
        <v>0</v>
      </c>
      <c r="AR162" s="2" t="s">
        <v>5</v>
      </c>
      <c r="AS162" s="2" t="s">
        <v>46</v>
      </c>
      <c r="AT162" s="5" t="str">
        <f>HYPERLINK("http://catalog.hathitrust.org/Record/000724243","HathiTrust Record")</f>
        <v>HathiTrust Record</v>
      </c>
      <c r="AU162" s="5" t="str">
        <f>HYPERLINK("https://creighton-primo.hosted.exlibrisgroup.com/primo-explore/search?tab=default_tab&amp;search_scope=EVERYTHING&amp;vid=01CRU&amp;lang=en_US&amp;offset=0&amp;query=any,contains,991004090669702656","Catalog Record")</f>
        <v>Catalog Record</v>
      </c>
      <c r="AV162" s="5" t="str">
        <f>HYPERLINK("http://www.worldcat.org/oclc/2345584","WorldCat Record")</f>
        <v>WorldCat Record</v>
      </c>
      <c r="AW162" s="2" t="s">
        <v>2173</v>
      </c>
      <c r="AX162" s="2" t="s">
        <v>2174</v>
      </c>
      <c r="AY162" s="2" t="s">
        <v>2175</v>
      </c>
      <c r="AZ162" s="2" t="s">
        <v>2175</v>
      </c>
      <c r="BA162" s="2" t="s">
        <v>2176</v>
      </c>
      <c r="BB162" s="2" t="s">
        <v>20</v>
      </c>
      <c r="BD162" s="2" t="s">
        <v>2177</v>
      </c>
      <c r="BE162" s="2" t="s">
        <v>2178</v>
      </c>
      <c r="BF162" s="2" t="s">
        <v>2179</v>
      </c>
    </row>
    <row r="163" spans="1:58" ht="39.75" customHeight="1" x14ac:dyDescent="0.25">
      <c r="A163" s="7" t="s">
        <v>5</v>
      </c>
      <c r="B163" s="1" t="s">
        <v>0</v>
      </c>
      <c r="C163" s="1" t="s">
        <v>1</v>
      </c>
      <c r="D163" s="1" t="s">
        <v>2180</v>
      </c>
      <c r="E163" s="1" t="s">
        <v>2181</v>
      </c>
      <c r="F163" s="1" t="s">
        <v>2182</v>
      </c>
      <c r="H163" s="2" t="s">
        <v>5</v>
      </c>
      <c r="I163" s="2" t="s">
        <v>6</v>
      </c>
      <c r="J163" s="2" t="s">
        <v>5</v>
      </c>
      <c r="K163" s="2" t="s">
        <v>5</v>
      </c>
      <c r="L163" s="2" t="s">
        <v>7</v>
      </c>
      <c r="M163" s="1" t="s">
        <v>2183</v>
      </c>
      <c r="N163" s="1" t="s">
        <v>2184</v>
      </c>
      <c r="O163" s="2" t="s">
        <v>791</v>
      </c>
      <c r="Q163" s="2" t="s">
        <v>60</v>
      </c>
      <c r="R163" s="2" t="s">
        <v>277</v>
      </c>
      <c r="T163" s="2" t="s">
        <v>13</v>
      </c>
      <c r="U163" s="3">
        <v>1</v>
      </c>
      <c r="V163" s="3">
        <v>1</v>
      </c>
      <c r="W163" s="4" t="s">
        <v>1274</v>
      </c>
      <c r="X163" s="4" t="s">
        <v>1274</v>
      </c>
      <c r="Y163" s="4" t="s">
        <v>2031</v>
      </c>
      <c r="Z163" s="4" t="s">
        <v>2031</v>
      </c>
      <c r="AA163" s="3">
        <v>1441</v>
      </c>
      <c r="AB163" s="3">
        <v>1352</v>
      </c>
      <c r="AC163" s="3">
        <v>1442</v>
      </c>
      <c r="AD163" s="3">
        <v>6</v>
      </c>
      <c r="AE163" s="9">
        <v>6</v>
      </c>
      <c r="AF163" s="9">
        <v>39</v>
      </c>
      <c r="AG163" s="9">
        <v>41</v>
      </c>
      <c r="AH163" s="3">
        <v>17</v>
      </c>
      <c r="AI163" s="3">
        <v>18</v>
      </c>
      <c r="AJ163" s="3">
        <v>10</v>
      </c>
      <c r="AK163" s="3">
        <v>10</v>
      </c>
      <c r="AL163" s="3">
        <v>19</v>
      </c>
      <c r="AM163" s="3">
        <v>21</v>
      </c>
      <c r="AN163" s="3">
        <v>4</v>
      </c>
      <c r="AO163" s="3">
        <v>4</v>
      </c>
      <c r="AP163" s="3">
        <v>0</v>
      </c>
      <c r="AQ163" s="3">
        <v>0</v>
      </c>
      <c r="AR163" s="2" t="s">
        <v>5</v>
      </c>
      <c r="AS163" s="2" t="s">
        <v>46</v>
      </c>
      <c r="AT163" s="5" t="str">
        <f>HYPERLINK("http://catalog.hathitrust.org/Record/001226115","HathiTrust Record")</f>
        <v>HathiTrust Record</v>
      </c>
      <c r="AU163" s="5" t="str">
        <f>HYPERLINK("https://creighton-primo.hosted.exlibrisgroup.com/primo-explore/search?tab=default_tab&amp;search_scope=EVERYTHING&amp;vid=01CRU&amp;lang=en_US&amp;offset=0&amp;query=any,contains,991003653839702656","Catalog Record")</f>
        <v>Catalog Record</v>
      </c>
      <c r="AV163" s="5" t="str">
        <f>HYPERLINK("http://www.worldcat.org/oclc/1257084","WorldCat Record")</f>
        <v>WorldCat Record</v>
      </c>
      <c r="AW163" s="2" t="s">
        <v>2185</v>
      </c>
      <c r="AX163" s="2" t="s">
        <v>2186</v>
      </c>
      <c r="AY163" s="2" t="s">
        <v>2187</v>
      </c>
      <c r="AZ163" s="2" t="s">
        <v>2187</v>
      </c>
      <c r="BA163" s="2" t="s">
        <v>2188</v>
      </c>
      <c r="BB163" s="2" t="s">
        <v>20</v>
      </c>
      <c r="BD163" s="2" t="s">
        <v>2189</v>
      </c>
      <c r="BE163" s="2" t="s">
        <v>2190</v>
      </c>
      <c r="BF163" s="2" t="s">
        <v>2191</v>
      </c>
    </row>
    <row r="164" spans="1:58" ht="39.75" customHeight="1" x14ac:dyDescent="0.25">
      <c r="A164" s="7" t="s">
        <v>5</v>
      </c>
      <c r="B164" s="1" t="s">
        <v>0</v>
      </c>
      <c r="C164" s="1" t="s">
        <v>1</v>
      </c>
      <c r="D164" s="1" t="s">
        <v>2192</v>
      </c>
      <c r="E164" s="1" t="s">
        <v>2193</v>
      </c>
      <c r="F164" s="1" t="s">
        <v>2194</v>
      </c>
      <c r="H164" s="2" t="s">
        <v>5</v>
      </c>
      <c r="I164" s="2" t="s">
        <v>6</v>
      </c>
      <c r="J164" s="2" t="s">
        <v>5</v>
      </c>
      <c r="K164" s="2" t="s">
        <v>5</v>
      </c>
      <c r="L164" s="2" t="s">
        <v>7</v>
      </c>
      <c r="M164" s="1" t="s">
        <v>2195</v>
      </c>
      <c r="N164" s="1" t="s">
        <v>2196</v>
      </c>
      <c r="O164" s="2" t="s">
        <v>1515</v>
      </c>
      <c r="Q164" s="2" t="s">
        <v>60</v>
      </c>
      <c r="R164" s="2" t="s">
        <v>61</v>
      </c>
      <c r="T164" s="2" t="s">
        <v>13</v>
      </c>
      <c r="U164" s="3">
        <v>3</v>
      </c>
      <c r="V164" s="3">
        <v>3</v>
      </c>
      <c r="W164" s="4" t="s">
        <v>1274</v>
      </c>
      <c r="X164" s="4" t="s">
        <v>1274</v>
      </c>
      <c r="Y164" s="4" t="s">
        <v>1393</v>
      </c>
      <c r="Z164" s="4" t="s">
        <v>1393</v>
      </c>
      <c r="AA164" s="3">
        <v>671</v>
      </c>
      <c r="AB164" s="3">
        <v>581</v>
      </c>
      <c r="AC164" s="3">
        <v>590</v>
      </c>
      <c r="AD164" s="3">
        <v>4</v>
      </c>
      <c r="AE164" s="9">
        <v>4</v>
      </c>
      <c r="AF164" s="9">
        <v>17</v>
      </c>
      <c r="AG164" s="9">
        <v>17</v>
      </c>
      <c r="AH164" s="3">
        <v>5</v>
      </c>
      <c r="AI164" s="3">
        <v>5</v>
      </c>
      <c r="AJ164" s="3">
        <v>4</v>
      </c>
      <c r="AK164" s="3">
        <v>4</v>
      </c>
      <c r="AL164" s="3">
        <v>6</v>
      </c>
      <c r="AM164" s="3">
        <v>6</v>
      </c>
      <c r="AN164" s="3">
        <v>3</v>
      </c>
      <c r="AO164" s="3">
        <v>3</v>
      </c>
      <c r="AP164" s="3">
        <v>0</v>
      </c>
      <c r="AQ164" s="3">
        <v>0</v>
      </c>
      <c r="AR164" s="2" t="s">
        <v>5</v>
      </c>
      <c r="AS164" s="2" t="s">
        <v>5</v>
      </c>
      <c r="AU164" s="5" t="str">
        <f>HYPERLINK("https://creighton-primo.hosted.exlibrisgroup.com/primo-explore/search?tab=default_tab&amp;search_scope=EVERYTHING&amp;vid=01CRU&amp;lang=en_US&amp;offset=0&amp;query=any,contains,991004921189702656","Catalog Record")</f>
        <v>Catalog Record</v>
      </c>
      <c r="AV164" s="5" t="str">
        <f>HYPERLINK("http://www.worldcat.org/oclc/6043123","WorldCat Record")</f>
        <v>WorldCat Record</v>
      </c>
      <c r="AW164" s="2" t="s">
        <v>2197</v>
      </c>
      <c r="AX164" s="2" t="s">
        <v>2198</v>
      </c>
      <c r="AY164" s="2" t="s">
        <v>2199</v>
      </c>
      <c r="AZ164" s="2" t="s">
        <v>2199</v>
      </c>
      <c r="BA164" s="2" t="s">
        <v>2200</v>
      </c>
      <c r="BB164" s="2" t="s">
        <v>20</v>
      </c>
      <c r="BD164" s="2" t="s">
        <v>2201</v>
      </c>
      <c r="BE164" s="2" t="s">
        <v>2202</v>
      </c>
      <c r="BF164" s="2" t="s">
        <v>2203</v>
      </c>
    </row>
    <row r="165" spans="1:58" ht="39.75" customHeight="1" x14ac:dyDescent="0.25">
      <c r="A165" s="7" t="s">
        <v>5</v>
      </c>
      <c r="B165" s="1" t="s">
        <v>0</v>
      </c>
      <c r="C165" s="1" t="s">
        <v>1</v>
      </c>
      <c r="D165" s="1" t="s">
        <v>2204</v>
      </c>
      <c r="E165" s="1" t="s">
        <v>2205</v>
      </c>
      <c r="F165" s="1" t="s">
        <v>2206</v>
      </c>
      <c r="H165" s="2" t="s">
        <v>5</v>
      </c>
      <c r="I165" s="2" t="s">
        <v>6</v>
      </c>
      <c r="J165" s="2" t="s">
        <v>5</v>
      </c>
      <c r="K165" s="2" t="s">
        <v>5</v>
      </c>
      <c r="L165" s="2" t="s">
        <v>7</v>
      </c>
      <c r="M165" s="1" t="s">
        <v>2207</v>
      </c>
      <c r="N165" s="1" t="s">
        <v>2208</v>
      </c>
      <c r="O165" s="2" t="s">
        <v>1390</v>
      </c>
      <c r="Q165" s="2" t="s">
        <v>60</v>
      </c>
      <c r="R165" s="2" t="s">
        <v>277</v>
      </c>
      <c r="S165" s="1" t="s">
        <v>2209</v>
      </c>
      <c r="T165" s="2" t="s">
        <v>13</v>
      </c>
      <c r="U165" s="3">
        <v>2</v>
      </c>
      <c r="V165" s="3">
        <v>2</v>
      </c>
      <c r="W165" s="4" t="s">
        <v>2210</v>
      </c>
      <c r="X165" s="4" t="s">
        <v>2210</v>
      </c>
      <c r="Y165" s="4" t="s">
        <v>1393</v>
      </c>
      <c r="Z165" s="4" t="s">
        <v>1393</v>
      </c>
      <c r="AA165" s="3">
        <v>422</v>
      </c>
      <c r="AB165" s="3">
        <v>357</v>
      </c>
      <c r="AC165" s="3">
        <v>369</v>
      </c>
      <c r="AD165" s="3">
        <v>4</v>
      </c>
      <c r="AE165" s="9">
        <v>4</v>
      </c>
      <c r="AF165" s="9">
        <v>15</v>
      </c>
      <c r="AG165" s="9">
        <v>17</v>
      </c>
      <c r="AH165" s="3">
        <v>6</v>
      </c>
      <c r="AI165" s="3">
        <v>7</v>
      </c>
      <c r="AJ165" s="3">
        <v>3</v>
      </c>
      <c r="AK165" s="3">
        <v>4</v>
      </c>
      <c r="AL165" s="3">
        <v>8</v>
      </c>
      <c r="AM165" s="3">
        <v>9</v>
      </c>
      <c r="AN165" s="3">
        <v>3</v>
      </c>
      <c r="AO165" s="3">
        <v>3</v>
      </c>
      <c r="AP165" s="3">
        <v>0</v>
      </c>
      <c r="AQ165" s="3">
        <v>0</v>
      </c>
      <c r="AR165" s="2" t="s">
        <v>5</v>
      </c>
      <c r="AS165" s="2" t="s">
        <v>46</v>
      </c>
      <c r="AT165" s="5" t="str">
        <f>HYPERLINK("http://catalog.hathitrust.org/Record/000025314","HathiTrust Record")</f>
        <v>HathiTrust Record</v>
      </c>
      <c r="AU165" s="5" t="str">
        <f>HYPERLINK("https://creighton-primo.hosted.exlibrisgroup.com/primo-explore/search?tab=default_tab&amp;search_scope=EVERYTHING&amp;vid=01CRU&amp;lang=en_US&amp;offset=0&amp;query=any,contains,991004677309702656","Catalog Record")</f>
        <v>Catalog Record</v>
      </c>
      <c r="AV165" s="5" t="str">
        <f>HYPERLINK("http://www.worldcat.org/oclc/4549393","WorldCat Record")</f>
        <v>WorldCat Record</v>
      </c>
      <c r="AW165" s="2" t="s">
        <v>2211</v>
      </c>
      <c r="AX165" s="2" t="s">
        <v>2212</v>
      </c>
      <c r="AY165" s="2" t="s">
        <v>2213</v>
      </c>
      <c r="AZ165" s="2" t="s">
        <v>2213</v>
      </c>
      <c r="BA165" s="2" t="s">
        <v>2214</v>
      </c>
      <c r="BB165" s="2" t="s">
        <v>20</v>
      </c>
      <c r="BD165" s="2" t="s">
        <v>2215</v>
      </c>
      <c r="BE165" s="2" t="s">
        <v>2216</v>
      </c>
      <c r="BF165" s="2" t="s">
        <v>2217</v>
      </c>
    </row>
    <row r="166" spans="1:58" ht="39.75" customHeight="1" x14ac:dyDescent="0.25">
      <c r="A166" s="7" t="s">
        <v>5</v>
      </c>
      <c r="B166" s="1" t="s">
        <v>0</v>
      </c>
      <c r="C166" s="1" t="s">
        <v>1</v>
      </c>
      <c r="D166" s="1" t="s">
        <v>2218</v>
      </c>
      <c r="E166" s="1" t="s">
        <v>2219</v>
      </c>
      <c r="F166" s="1" t="s">
        <v>2220</v>
      </c>
      <c r="H166" s="2" t="s">
        <v>5</v>
      </c>
      <c r="I166" s="2" t="s">
        <v>6</v>
      </c>
      <c r="J166" s="2" t="s">
        <v>5</v>
      </c>
      <c r="K166" s="2" t="s">
        <v>5</v>
      </c>
      <c r="L166" s="2" t="s">
        <v>7</v>
      </c>
      <c r="M166" s="1" t="s">
        <v>2221</v>
      </c>
      <c r="N166" s="1" t="s">
        <v>2222</v>
      </c>
      <c r="O166" s="2" t="s">
        <v>192</v>
      </c>
      <c r="Q166" s="2" t="s">
        <v>60</v>
      </c>
      <c r="R166" s="2" t="s">
        <v>61</v>
      </c>
      <c r="T166" s="2" t="s">
        <v>13</v>
      </c>
      <c r="U166" s="3">
        <v>6</v>
      </c>
      <c r="V166" s="3">
        <v>6</v>
      </c>
      <c r="W166" s="4" t="s">
        <v>2223</v>
      </c>
      <c r="X166" s="4" t="s">
        <v>2223</v>
      </c>
      <c r="Y166" s="4" t="s">
        <v>2108</v>
      </c>
      <c r="Z166" s="4" t="s">
        <v>2108</v>
      </c>
      <c r="AA166" s="3">
        <v>802</v>
      </c>
      <c r="AB166" s="3">
        <v>710</v>
      </c>
      <c r="AC166" s="3">
        <v>755</v>
      </c>
      <c r="AD166" s="3">
        <v>5</v>
      </c>
      <c r="AE166" s="9">
        <v>5</v>
      </c>
      <c r="AF166" s="9">
        <v>33</v>
      </c>
      <c r="AG166" s="9">
        <v>33</v>
      </c>
      <c r="AH166" s="3">
        <v>11</v>
      </c>
      <c r="AI166" s="3">
        <v>11</v>
      </c>
      <c r="AJ166" s="3">
        <v>8</v>
      </c>
      <c r="AK166" s="3">
        <v>8</v>
      </c>
      <c r="AL166" s="3">
        <v>20</v>
      </c>
      <c r="AM166" s="3">
        <v>20</v>
      </c>
      <c r="AN166" s="3">
        <v>4</v>
      </c>
      <c r="AO166" s="3">
        <v>4</v>
      </c>
      <c r="AP166" s="3">
        <v>0</v>
      </c>
      <c r="AQ166" s="3">
        <v>0</v>
      </c>
      <c r="AR166" s="2" t="s">
        <v>5</v>
      </c>
      <c r="AS166" s="2" t="s">
        <v>46</v>
      </c>
      <c r="AT166" s="5" t="str">
        <f>HYPERLINK("http://catalog.hathitrust.org/Record/001201986","HathiTrust Record")</f>
        <v>HathiTrust Record</v>
      </c>
      <c r="AU166" s="5" t="str">
        <f>HYPERLINK("https://creighton-primo.hosted.exlibrisgroup.com/primo-explore/search?tab=default_tab&amp;search_scope=EVERYTHING&amp;vid=01CRU&amp;lang=en_US&amp;offset=0&amp;query=any,contains,991002409489702656","Catalog Record")</f>
        <v>Catalog Record</v>
      </c>
      <c r="AV166" s="5" t="str">
        <f>HYPERLINK("http://www.worldcat.org/oclc/338998","WorldCat Record")</f>
        <v>WorldCat Record</v>
      </c>
      <c r="AW166" s="2" t="s">
        <v>2224</v>
      </c>
      <c r="AX166" s="2" t="s">
        <v>2225</v>
      </c>
      <c r="AY166" s="2" t="s">
        <v>2226</v>
      </c>
      <c r="AZ166" s="2" t="s">
        <v>2226</v>
      </c>
      <c r="BA166" s="2" t="s">
        <v>2227</v>
      </c>
      <c r="BB166" s="2" t="s">
        <v>20</v>
      </c>
      <c r="BE166" s="2" t="s">
        <v>2228</v>
      </c>
      <c r="BF166" s="2" t="s">
        <v>2229</v>
      </c>
    </row>
    <row r="167" spans="1:58" ht="39.75" customHeight="1" x14ac:dyDescent="0.25">
      <c r="A167" s="7" t="s">
        <v>5</v>
      </c>
      <c r="B167" s="1" t="s">
        <v>0</v>
      </c>
      <c r="C167" s="1" t="s">
        <v>1</v>
      </c>
      <c r="D167" s="1" t="s">
        <v>2230</v>
      </c>
      <c r="E167" s="1" t="s">
        <v>2231</v>
      </c>
      <c r="F167" s="1" t="s">
        <v>2232</v>
      </c>
      <c r="H167" s="2" t="s">
        <v>5</v>
      </c>
      <c r="I167" s="2" t="s">
        <v>6</v>
      </c>
      <c r="J167" s="2" t="s">
        <v>5</v>
      </c>
      <c r="K167" s="2" t="s">
        <v>5</v>
      </c>
      <c r="L167" s="2" t="s">
        <v>7</v>
      </c>
      <c r="M167" s="1" t="s">
        <v>2233</v>
      </c>
      <c r="N167" s="1" t="s">
        <v>2234</v>
      </c>
      <c r="O167" s="2" t="s">
        <v>91</v>
      </c>
      <c r="Q167" s="2" t="s">
        <v>60</v>
      </c>
      <c r="R167" s="2" t="s">
        <v>193</v>
      </c>
      <c r="S167" s="1" t="s">
        <v>2235</v>
      </c>
      <c r="T167" s="2" t="s">
        <v>13</v>
      </c>
      <c r="U167" s="3">
        <v>4</v>
      </c>
      <c r="V167" s="3">
        <v>4</v>
      </c>
      <c r="W167" s="4" t="s">
        <v>2236</v>
      </c>
      <c r="X167" s="4" t="s">
        <v>2236</v>
      </c>
      <c r="Y167" s="4" t="s">
        <v>2237</v>
      </c>
      <c r="Z167" s="4" t="s">
        <v>2237</v>
      </c>
      <c r="AA167" s="3">
        <v>274</v>
      </c>
      <c r="AB167" s="3">
        <v>193</v>
      </c>
      <c r="AC167" s="3">
        <v>214</v>
      </c>
      <c r="AD167" s="3">
        <v>2</v>
      </c>
      <c r="AE167" s="9">
        <v>2</v>
      </c>
      <c r="AF167" s="9">
        <v>13</v>
      </c>
      <c r="AG167" s="9">
        <v>14</v>
      </c>
      <c r="AH167" s="3">
        <v>2</v>
      </c>
      <c r="AI167" s="3">
        <v>3</v>
      </c>
      <c r="AJ167" s="3">
        <v>4</v>
      </c>
      <c r="AK167" s="3">
        <v>5</v>
      </c>
      <c r="AL167" s="3">
        <v>8</v>
      </c>
      <c r="AM167" s="3">
        <v>8</v>
      </c>
      <c r="AN167" s="3">
        <v>1</v>
      </c>
      <c r="AO167" s="3">
        <v>1</v>
      </c>
      <c r="AP167" s="3">
        <v>0</v>
      </c>
      <c r="AQ167" s="3">
        <v>0</v>
      </c>
      <c r="AR167" s="2" t="s">
        <v>5</v>
      </c>
      <c r="AS167" s="2" t="s">
        <v>5</v>
      </c>
      <c r="AU167" s="5" t="str">
        <f>HYPERLINK("https://creighton-primo.hosted.exlibrisgroup.com/primo-explore/search?tab=default_tab&amp;search_scope=EVERYTHING&amp;vid=01CRU&amp;lang=en_US&amp;offset=0&amp;query=any,contains,991002259069702656","Catalog Record")</f>
        <v>Catalog Record</v>
      </c>
      <c r="AV167" s="5" t="str">
        <f>HYPERLINK("http://www.worldcat.org/oclc/29259371","WorldCat Record")</f>
        <v>WorldCat Record</v>
      </c>
      <c r="AW167" s="2" t="s">
        <v>2238</v>
      </c>
      <c r="AX167" s="2" t="s">
        <v>2239</v>
      </c>
      <c r="AY167" s="2" t="s">
        <v>2240</v>
      </c>
      <c r="AZ167" s="2" t="s">
        <v>2240</v>
      </c>
      <c r="BA167" s="2" t="s">
        <v>2241</v>
      </c>
      <c r="BB167" s="2" t="s">
        <v>20</v>
      </c>
      <c r="BD167" s="2" t="s">
        <v>2242</v>
      </c>
      <c r="BE167" s="2" t="s">
        <v>2243</v>
      </c>
      <c r="BF167" s="2" t="s">
        <v>2244</v>
      </c>
    </row>
    <row r="168" spans="1:58" ht="39.75" customHeight="1" x14ac:dyDescent="0.25">
      <c r="A168" s="7" t="s">
        <v>5</v>
      </c>
      <c r="B168" s="1" t="s">
        <v>0</v>
      </c>
      <c r="C168" s="1" t="s">
        <v>1</v>
      </c>
      <c r="D168" s="1" t="s">
        <v>2245</v>
      </c>
      <c r="E168" s="1" t="s">
        <v>2246</v>
      </c>
      <c r="F168" s="1" t="s">
        <v>2247</v>
      </c>
      <c r="H168" s="2" t="s">
        <v>5</v>
      </c>
      <c r="I168" s="2" t="s">
        <v>6</v>
      </c>
      <c r="J168" s="2" t="s">
        <v>5</v>
      </c>
      <c r="K168" s="2" t="s">
        <v>5</v>
      </c>
      <c r="L168" s="2" t="s">
        <v>7</v>
      </c>
      <c r="M168" s="1" t="s">
        <v>2248</v>
      </c>
      <c r="N168" s="1" t="s">
        <v>2249</v>
      </c>
      <c r="O168" s="2" t="s">
        <v>1418</v>
      </c>
      <c r="Q168" s="2" t="s">
        <v>60</v>
      </c>
      <c r="R168" s="2" t="s">
        <v>61</v>
      </c>
      <c r="S168" s="1" t="s">
        <v>2250</v>
      </c>
      <c r="T168" s="2" t="s">
        <v>13</v>
      </c>
      <c r="U168" s="3">
        <v>2</v>
      </c>
      <c r="V168" s="3">
        <v>2</v>
      </c>
      <c r="W168" s="4" t="s">
        <v>2236</v>
      </c>
      <c r="X168" s="4" t="s">
        <v>2236</v>
      </c>
      <c r="Y168" s="4" t="s">
        <v>2031</v>
      </c>
      <c r="Z168" s="4" t="s">
        <v>2031</v>
      </c>
      <c r="AA168" s="3">
        <v>750</v>
      </c>
      <c r="AB168" s="3">
        <v>685</v>
      </c>
      <c r="AC168" s="3">
        <v>691</v>
      </c>
      <c r="AD168" s="3">
        <v>5</v>
      </c>
      <c r="AE168" s="9">
        <v>5</v>
      </c>
      <c r="AF168" s="9">
        <v>34</v>
      </c>
      <c r="AG168" s="9">
        <v>35</v>
      </c>
      <c r="AH168" s="3">
        <v>14</v>
      </c>
      <c r="AI168" s="3">
        <v>14</v>
      </c>
      <c r="AJ168" s="3">
        <v>8</v>
      </c>
      <c r="AK168" s="3">
        <v>9</v>
      </c>
      <c r="AL168" s="3">
        <v>17</v>
      </c>
      <c r="AM168" s="3">
        <v>18</v>
      </c>
      <c r="AN168" s="3">
        <v>4</v>
      </c>
      <c r="AO168" s="3">
        <v>4</v>
      </c>
      <c r="AP168" s="3">
        <v>0</v>
      </c>
      <c r="AQ168" s="3">
        <v>0</v>
      </c>
      <c r="AR168" s="2" t="s">
        <v>5</v>
      </c>
      <c r="AS168" s="2" t="s">
        <v>46</v>
      </c>
      <c r="AT168" s="5" t="str">
        <f>HYPERLINK("http://catalog.hathitrust.org/Record/001216598","HathiTrust Record")</f>
        <v>HathiTrust Record</v>
      </c>
      <c r="AU168" s="5" t="str">
        <f>HYPERLINK("https://creighton-primo.hosted.exlibrisgroup.com/primo-explore/search?tab=default_tab&amp;search_scope=EVERYTHING&amp;vid=01CRU&amp;lang=en_US&amp;offset=0&amp;query=any,contains,991005432199702656","Catalog Record")</f>
        <v>Catalog Record</v>
      </c>
      <c r="AV168" s="5" t="str">
        <f>HYPERLINK("http://www.worldcat.org/oclc/989","WorldCat Record")</f>
        <v>WorldCat Record</v>
      </c>
      <c r="AW168" s="2" t="s">
        <v>2251</v>
      </c>
      <c r="AX168" s="2" t="s">
        <v>2252</v>
      </c>
      <c r="AY168" s="2" t="s">
        <v>2253</v>
      </c>
      <c r="AZ168" s="2" t="s">
        <v>2253</v>
      </c>
      <c r="BA168" s="2" t="s">
        <v>2254</v>
      </c>
      <c r="BB168" s="2" t="s">
        <v>20</v>
      </c>
      <c r="BE168" s="2" t="s">
        <v>2255</v>
      </c>
      <c r="BF168" s="2" t="s">
        <v>2256</v>
      </c>
    </row>
    <row r="169" spans="1:58" ht="39.75" customHeight="1" x14ac:dyDescent="0.25">
      <c r="A169" s="7" t="s">
        <v>5</v>
      </c>
      <c r="B169" s="1" t="s">
        <v>0</v>
      </c>
      <c r="C169" s="1" t="s">
        <v>1</v>
      </c>
      <c r="D169" s="1" t="s">
        <v>2257</v>
      </c>
      <c r="E169" s="1" t="s">
        <v>2258</v>
      </c>
      <c r="F169" s="1" t="s">
        <v>2259</v>
      </c>
      <c r="H169" s="2" t="s">
        <v>5</v>
      </c>
      <c r="I169" s="2" t="s">
        <v>6</v>
      </c>
      <c r="J169" s="2" t="s">
        <v>5</v>
      </c>
      <c r="K169" s="2" t="s">
        <v>5</v>
      </c>
      <c r="L169" s="2" t="s">
        <v>7</v>
      </c>
      <c r="M169" s="1" t="s">
        <v>2260</v>
      </c>
      <c r="N169" s="1" t="s">
        <v>2261</v>
      </c>
      <c r="O169" s="2" t="s">
        <v>162</v>
      </c>
      <c r="Q169" s="2" t="s">
        <v>60</v>
      </c>
      <c r="R169" s="2" t="s">
        <v>61</v>
      </c>
      <c r="S169" s="1" t="s">
        <v>2262</v>
      </c>
      <c r="T169" s="2" t="s">
        <v>13</v>
      </c>
      <c r="U169" s="3">
        <v>3</v>
      </c>
      <c r="V169" s="3">
        <v>3</v>
      </c>
      <c r="W169" s="4" t="s">
        <v>2263</v>
      </c>
      <c r="X169" s="4" t="s">
        <v>2263</v>
      </c>
      <c r="Y169" s="4" t="s">
        <v>2264</v>
      </c>
      <c r="Z169" s="4" t="s">
        <v>2264</v>
      </c>
      <c r="AA169" s="3">
        <v>154</v>
      </c>
      <c r="AB169" s="3">
        <v>138</v>
      </c>
      <c r="AC169" s="3">
        <v>3328</v>
      </c>
      <c r="AD169" s="3">
        <v>2</v>
      </c>
      <c r="AE169" s="9">
        <v>22</v>
      </c>
      <c r="AF169" s="9">
        <v>0</v>
      </c>
      <c r="AG169" s="9">
        <v>64</v>
      </c>
      <c r="AH169" s="3">
        <v>0</v>
      </c>
      <c r="AI169" s="3">
        <v>28</v>
      </c>
      <c r="AJ169" s="3">
        <v>0</v>
      </c>
      <c r="AK169" s="3">
        <v>11</v>
      </c>
      <c r="AL169" s="3">
        <v>0</v>
      </c>
      <c r="AM169" s="3">
        <v>26</v>
      </c>
      <c r="AN169" s="3">
        <v>0</v>
      </c>
      <c r="AO169" s="3">
        <v>13</v>
      </c>
      <c r="AP169" s="3">
        <v>0</v>
      </c>
      <c r="AQ169" s="3">
        <v>0</v>
      </c>
      <c r="AR169" s="2" t="s">
        <v>5</v>
      </c>
      <c r="AS169" s="2" t="s">
        <v>5</v>
      </c>
      <c r="AU169" s="5" t="str">
        <f>HYPERLINK("https://creighton-primo.hosted.exlibrisgroup.com/primo-explore/search?tab=default_tab&amp;search_scope=EVERYTHING&amp;vid=01CRU&amp;lang=en_US&amp;offset=0&amp;query=any,contains,991000648229702656","Catalog Record")</f>
        <v>Catalog Record</v>
      </c>
      <c r="AV169" s="5" t="str">
        <f>HYPERLINK("http://www.worldcat.org/oclc/111940","WorldCat Record")</f>
        <v>WorldCat Record</v>
      </c>
      <c r="AW169" s="2" t="s">
        <v>2265</v>
      </c>
      <c r="AX169" s="2" t="s">
        <v>2266</v>
      </c>
      <c r="AY169" s="2" t="s">
        <v>2267</v>
      </c>
      <c r="AZ169" s="2" t="s">
        <v>2267</v>
      </c>
      <c r="BA169" s="2" t="s">
        <v>2268</v>
      </c>
      <c r="BB169" s="2" t="s">
        <v>20</v>
      </c>
      <c r="BE169" s="2" t="s">
        <v>2269</v>
      </c>
      <c r="BF169" s="2" t="s">
        <v>2270</v>
      </c>
    </row>
    <row r="170" spans="1:58" ht="39.75" customHeight="1" x14ac:dyDescent="0.25">
      <c r="A170" s="7" t="s">
        <v>5</v>
      </c>
      <c r="B170" s="1" t="s">
        <v>0</v>
      </c>
      <c r="C170" s="1" t="s">
        <v>1</v>
      </c>
      <c r="D170" s="1" t="s">
        <v>2271</v>
      </c>
      <c r="E170" s="1" t="s">
        <v>2272</v>
      </c>
      <c r="F170" s="1" t="s">
        <v>2273</v>
      </c>
      <c r="H170" s="2" t="s">
        <v>5</v>
      </c>
      <c r="I170" s="2" t="s">
        <v>6</v>
      </c>
      <c r="J170" s="2" t="s">
        <v>5</v>
      </c>
      <c r="K170" s="2" t="s">
        <v>5</v>
      </c>
      <c r="L170" s="2" t="s">
        <v>7</v>
      </c>
      <c r="M170" s="1" t="s">
        <v>2274</v>
      </c>
      <c r="N170" s="1" t="s">
        <v>2275</v>
      </c>
      <c r="O170" s="2" t="s">
        <v>248</v>
      </c>
      <c r="Q170" s="2" t="s">
        <v>60</v>
      </c>
      <c r="R170" s="2" t="s">
        <v>61</v>
      </c>
      <c r="T170" s="2" t="s">
        <v>13</v>
      </c>
      <c r="U170" s="3">
        <v>8</v>
      </c>
      <c r="V170" s="3">
        <v>8</v>
      </c>
      <c r="W170" s="4" t="s">
        <v>2276</v>
      </c>
      <c r="X170" s="4" t="s">
        <v>2276</v>
      </c>
      <c r="Y170" s="4" t="s">
        <v>2277</v>
      </c>
      <c r="Z170" s="4" t="s">
        <v>2277</v>
      </c>
      <c r="AA170" s="3">
        <v>665</v>
      </c>
      <c r="AB170" s="3">
        <v>614</v>
      </c>
      <c r="AC170" s="3">
        <v>620</v>
      </c>
      <c r="AD170" s="3">
        <v>6</v>
      </c>
      <c r="AE170" s="9">
        <v>6</v>
      </c>
      <c r="AF170" s="9">
        <v>28</v>
      </c>
      <c r="AG170" s="9">
        <v>28</v>
      </c>
      <c r="AH170" s="3">
        <v>11</v>
      </c>
      <c r="AI170" s="3">
        <v>11</v>
      </c>
      <c r="AJ170" s="3">
        <v>5</v>
      </c>
      <c r="AK170" s="3">
        <v>5</v>
      </c>
      <c r="AL170" s="3">
        <v>13</v>
      </c>
      <c r="AM170" s="3">
        <v>13</v>
      </c>
      <c r="AN170" s="3">
        <v>5</v>
      </c>
      <c r="AO170" s="3">
        <v>5</v>
      </c>
      <c r="AP170" s="3">
        <v>0</v>
      </c>
      <c r="AQ170" s="3">
        <v>0</v>
      </c>
      <c r="AR170" s="2" t="s">
        <v>5</v>
      </c>
      <c r="AS170" s="2" t="s">
        <v>5</v>
      </c>
      <c r="AU170" s="5" t="str">
        <f>HYPERLINK("https://creighton-primo.hosted.exlibrisgroup.com/primo-explore/search?tab=default_tab&amp;search_scope=EVERYTHING&amp;vid=01CRU&amp;lang=en_US&amp;offset=0&amp;query=any,contains,991000890689702656","Catalog Record")</f>
        <v>Catalog Record</v>
      </c>
      <c r="AV170" s="5" t="str">
        <f>HYPERLINK("http://www.worldcat.org/oclc/153938","WorldCat Record")</f>
        <v>WorldCat Record</v>
      </c>
      <c r="AW170" s="2" t="s">
        <v>2278</v>
      </c>
      <c r="AX170" s="2" t="s">
        <v>2279</v>
      </c>
      <c r="AY170" s="2" t="s">
        <v>2280</v>
      </c>
      <c r="AZ170" s="2" t="s">
        <v>2280</v>
      </c>
      <c r="BA170" s="2" t="s">
        <v>2281</v>
      </c>
      <c r="BB170" s="2" t="s">
        <v>20</v>
      </c>
      <c r="BE170" s="2" t="s">
        <v>2282</v>
      </c>
      <c r="BF170" s="2" t="s">
        <v>2283</v>
      </c>
    </row>
    <row r="171" spans="1:58" ht="39.75" customHeight="1" x14ac:dyDescent="0.25">
      <c r="A171" s="7" t="s">
        <v>5</v>
      </c>
      <c r="B171" s="1" t="s">
        <v>0</v>
      </c>
      <c r="C171" s="1" t="s">
        <v>1</v>
      </c>
      <c r="D171" s="1" t="s">
        <v>2284</v>
      </c>
      <c r="E171" s="1" t="s">
        <v>2285</v>
      </c>
      <c r="F171" s="1" t="s">
        <v>2286</v>
      </c>
      <c r="H171" s="2" t="s">
        <v>5</v>
      </c>
      <c r="I171" s="2" t="s">
        <v>6</v>
      </c>
      <c r="J171" s="2" t="s">
        <v>5</v>
      </c>
      <c r="K171" s="2" t="s">
        <v>5</v>
      </c>
      <c r="L171" s="2" t="s">
        <v>7</v>
      </c>
      <c r="M171" s="1" t="s">
        <v>2287</v>
      </c>
      <c r="N171" s="1" t="s">
        <v>2288</v>
      </c>
      <c r="O171" s="2" t="s">
        <v>27</v>
      </c>
      <c r="Q171" s="2" t="s">
        <v>60</v>
      </c>
      <c r="R171" s="2" t="s">
        <v>61</v>
      </c>
      <c r="S171" s="1" t="s">
        <v>2289</v>
      </c>
      <c r="T171" s="2" t="s">
        <v>13</v>
      </c>
      <c r="U171" s="3">
        <v>2</v>
      </c>
      <c r="V171" s="3">
        <v>2</v>
      </c>
      <c r="W171" s="4" t="s">
        <v>2290</v>
      </c>
      <c r="X171" s="4" t="s">
        <v>2290</v>
      </c>
      <c r="Y171" s="4" t="s">
        <v>2291</v>
      </c>
      <c r="Z171" s="4" t="s">
        <v>2291</v>
      </c>
      <c r="AA171" s="3">
        <v>421</v>
      </c>
      <c r="AB171" s="3">
        <v>323</v>
      </c>
      <c r="AC171" s="3">
        <v>501</v>
      </c>
      <c r="AD171" s="3">
        <v>3</v>
      </c>
      <c r="AE171" s="9">
        <v>3</v>
      </c>
      <c r="AF171" s="9">
        <v>18</v>
      </c>
      <c r="AG171" s="9">
        <v>26</v>
      </c>
      <c r="AH171" s="3">
        <v>4</v>
      </c>
      <c r="AI171" s="3">
        <v>10</v>
      </c>
      <c r="AJ171" s="3">
        <v>6</v>
      </c>
      <c r="AK171" s="3">
        <v>8</v>
      </c>
      <c r="AL171" s="3">
        <v>11</v>
      </c>
      <c r="AM171" s="3">
        <v>14</v>
      </c>
      <c r="AN171" s="3">
        <v>2</v>
      </c>
      <c r="AO171" s="3">
        <v>2</v>
      </c>
      <c r="AP171" s="3">
        <v>0</v>
      </c>
      <c r="AQ171" s="3">
        <v>0</v>
      </c>
      <c r="AR171" s="2" t="s">
        <v>5</v>
      </c>
      <c r="AS171" s="2" t="s">
        <v>5</v>
      </c>
      <c r="AU171" s="5" t="str">
        <f>HYPERLINK("https://creighton-primo.hosted.exlibrisgroup.com/primo-explore/search?tab=default_tab&amp;search_scope=EVERYTHING&amp;vid=01CRU&amp;lang=en_US&amp;offset=0&amp;query=any,contains,991001963369702656","Catalog Record")</f>
        <v>Catalog Record</v>
      </c>
      <c r="AV171" s="5" t="str">
        <f>HYPERLINK("http://www.worldcat.org/oclc/24871807","WorldCat Record")</f>
        <v>WorldCat Record</v>
      </c>
      <c r="AW171" s="2" t="s">
        <v>2292</v>
      </c>
      <c r="AX171" s="2" t="s">
        <v>2293</v>
      </c>
      <c r="AY171" s="2" t="s">
        <v>2294</v>
      </c>
      <c r="AZ171" s="2" t="s">
        <v>2294</v>
      </c>
      <c r="BA171" s="2" t="s">
        <v>2295</v>
      </c>
      <c r="BB171" s="2" t="s">
        <v>20</v>
      </c>
      <c r="BD171" s="2" t="s">
        <v>2296</v>
      </c>
      <c r="BE171" s="2" t="s">
        <v>2297</v>
      </c>
      <c r="BF171" s="2" t="s">
        <v>2298</v>
      </c>
    </row>
    <row r="172" spans="1:58" ht="39.75" customHeight="1" x14ac:dyDescent="0.25">
      <c r="A172" s="7" t="s">
        <v>5</v>
      </c>
      <c r="B172" s="1" t="s">
        <v>0</v>
      </c>
      <c r="C172" s="1" t="s">
        <v>1</v>
      </c>
      <c r="D172" s="1" t="s">
        <v>2299</v>
      </c>
      <c r="E172" s="1" t="s">
        <v>2300</v>
      </c>
      <c r="F172" s="1" t="s">
        <v>2301</v>
      </c>
      <c r="H172" s="2" t="s">
        <v>5</v>
      </c>
      <c r="I172" s="2" t="s">
        <v>6</v>
      </c>
      <c r="J172" s="2" t="s">
        <v>5</v>
      </c>
      <c r="K172" s="2" t="s">
        <v>5</v>
      </c>
      <c r="L172" s="2" t="s">
        <v>7</v>
      </c>
      <c r="M172" s="1" t="s">
        <v>2302</v>
      </c>
      <c r="N172" s="1" t="s">
        <v>2303</v>
      </c>
      <c r="O172" s="2" t="s">
        <v>1390</v>
      </c>
      <c r="Q172" s="2" t="s">
        <v>60</v>
      </c>
      <c r="R172" s="2" t="s">
        <v>422</v>
      </c>
      <c r="T172" s="2" t="s">
        <v>13</v>
      </c>
      <c r="U172" s="3">
        <v>7</v>
      </c>
      <c r="V172" s="3">
        <v>7</v>
      </c>
      <c r="W172" s="4" t="s">
        <v>2304</v>
      </c>
      <c r="X172" s="4" t="s">
        <v>2304</v>
      </c>
      <c r="Y172" s="4" t="s">
        <v>15</v>
      </c>
      <c r="Z172" s="4" t="s">
        <v>15</v>
      </c>
      <c r="AA172" s="3">
        <v>354</v>
      </c>
      <c r="AB172" s="3">
        <v>317</v>
      </c>
      <c r="AC172" s="3">
        <v>374</v>
      </c>
      <c r="AD172" s="3">
        <v>2</v>
      </c>
      <c r="AE172" s="9">
        <v>3</v>
      </c>
      <c r="AF172" s="9">
        <v>13</v>
      </c>
      <c r="AG172" s="9">
        <v>15</v>
      </c>
      <c r="AH172" s="3">
        <v>2</v>
      </c>
      <c r="AI172" s="3">
        <v>3</v>
      </c>
      <c r="AJ172" s="3">
        <v>6</v>
      </c>
      <c r="AK172" s="3">
        <v>6</v>
      </c>
      <c r="AL172" s="3">
        <v>6</v>
      </c>
      <c r="AM172" s="3">
        <v>7</v>
      </c>
      <c r="AN172" s="3">
        <v>1</v>
      </c>
      <c r="AO172" s="3">
        <v>2</v>
      </c>
      <c r="AP172" s="3">
        <v>0</v>
      </c>
      <c r="AQ172" s="3">
        <v>0</v>
      </c>
      <c r="AR172" s="2" t="s">
        <v>5</v>
      </c>
      <c r="AS172" s="2" t="s">
        <v>46</v>
      </c>
      <c r="AT172" s="5" t="str">
        <f>HYPERLINK("http://catalog.hathitrust.org/Record/000692265","HathiTrust Record")</f>
        <v>HathiTrust Record</v>
      </c>
      <c r="AU172" s="5" t="str">
        <f>HYPERLINK("https://creighton-primo.hosted.exlibrisgroup.com/primo-explore/search?tab=default_tab&amp;search_scope=EVERYTHING&amp;vid=01CRU&amp;lang=en_US&amp;offset=0&amp;query=any,contains,991004654129702656","Catalog Record")</f>
        <v>Catalog Record</v>
      </c>
      <c r="AV172" s="5" t="str">
        <f>HYPERLINK("http://www.worldcat.org/oclc/4494796","WorldCat Record")</f>
        <v>WorldCat Record</v>
      </c>
      <c r="AW172" s="2" t="s">
        <v>2305</v>
      </c>
      <c r="AX172" s="2" t="s">
        <v>2306</v>
      </c>
      <c r="AY172" s="2" t="s">
        <v>2307</v>
      </c>
      <c r="AZ172" s="2" t="s">
        <v>2307</v>
      </c>
      <c r="BA172" s="2" t="s">
        <v>2308</v>
      </c>
      <c r="BB172" s="2" t="s">
        <v>20</v>
      </c>
      <c r="BD172" s="2" t="s">
        <v>2309</v>
      </c>
      <c r="BE172" s="2" t="s">
        <v>2310</v>
      </c>
      <c r="BF172" s="2" t="s">
        <v>2311</v>
      </c>
    </row>
    <row r="173" spans="1:58" ht="39.75" customHeight="1" x14ac:dyDescent="0.25">
      <c r="A173" s="7" t="s">
        <v>5</v>
      </c>
      <c r="B173" s="1" t="s">
        <v>0</v>
      </c>
      <c r="C173" s="1" t="s">
        <v>1</v>
      </c>
      <c r="D173" s="1" t="s">
        <v>2312</v>
      </c>
      <c r="E173" s="1" t="s">
        <v>2313</v>
      </c>
      <c r="F173" s="1" t="s">
        <v>2314</v>
      </c>
      <c r="H173" s="2" t="s">
        <v>5</v>
      </c>
      <c r="I173" s="2" t="s">
        <v>6</v>
      </c>
      <c r="J173" s="2" t="s">
        <v>5</v>
      </c>
      <c r="K173" s="2" t="s">
        <v>5</v>
      </c>
      <c r="L173" s="2" t="s">
        <v>7</v>
      </c>
      <c r="M173" s="1" t="s">
        <v>2315</v>
      </c>
      <c r="N173" s="1" t="s">
        <v>2196</v>
      </c>
      <c r="O173" s="2" t="s">
        <v>1515</v>
      </c>
      <c r="Q173" s="2" t="s">
        <v>60</v>
      </c>
      <c r="R173" s="2" t="s">
        <v>61</v>
      </c>
      <c r="T173" s="2" t="s">
        <v>13</v>
      </c>
      <c r="U173" s="3">
        <v>6</v>
      </c>
      <c r="V173" s="3">
        <v>6</v>
      </c>
      <c r="W173" s="4" t="s">
        <v>2316</v>
      </c>
      <c r="X173" s="4" t="s">
        <v>2316</v>
      </c>
      <c r="Y173" s="4" t="s">
        <v>15</v>
      </c>
      <c r="Z173" s="4" t="s">
        <v>15</v>
      </c>
      <c r="AA173" s="3">
        <v>474</v>
      </c>
      <c r="AB173" s="3">
        <v>360</v>
      </c>
      <c r="AC173" s="3">
        <v>376</v>
      </c>
      <c r="AD173" s="3">
        <v>3</v>
      </c>
      <c r="AE173" s="9">
        <v>3</v>
      </c>
      <c r="AF173" s="9">
        <v>16</v>
      </c>
      <c r="AG173" s="9">
        <v>17</v>
      </c>
      <c r="AH173" s="3">
        <v>3</v>
      </c>
      <c r="AI173" s="3">
        <v>3</v>
      </c>
      <c r="AJ173" s="3">
        <v>6</v>
      </c>
      <c r="AK173" s="3">
        <v>7</v>
      </c>
      <c r="AL173" s="3">
        <v>9</v>
      </c>
      <c r="AM173" s="3">
        <v>10</v>
      </c>
      <c r="AN173" s="3">
        <v>2</v>
      </c>
      <c r="AO173" s="3">
        <v>2</v>
      </c>
      <c r="AP173" s="3">
        <v>0</v>
      </c>
      <c r="AQ173" s="3">
        <v>0</v>
      </c>
      <c r="AR173" s="2" t="s">
        <v>5</v>
      </c>
      <c r="AS173" s="2" t="s">
        <v>5</v>
      </c>
      <c r="AU173" s="5" t="str">
        <f>HYPERLINK("https://creighton-primo.hosted.exlibrisgroup.com/primo-explore/search?tab=default_tab&amp;search_scope=EVERYTHING&amp;vid=01CRU&amp;lang=en_US&amp;offset=0&amp;query=any,contains,991004791849702656","Catalog Record")</f>
        <v>Catalog Record</v>
      </c>
      <c r="AV173" s="5" t="str">
        <f>HYPERLINK("http://www.worldcat.org/oclc/5171417","WorldCat Record")</f>
        <v>WorldCat Record</v>
      </c>
      <c r="AW173" s="2" t="s">
        <v>2317</v>
      </c>
      <c r="AX173" s="2" t="s">
        <v>2318</v>
      </c>
      <c r="AY173" s="2" t="s">
        <v>2319</v>
      </c>
      <c r="AZ173" s="2" t="s">
        <v>2319</v>
      </c>
      <c r="BA173" s="2" t="s">
        <v>2320</v>
      </c>
      <c r="BB173" s="2" t="s">
        <v>20</v>
      </c>
      <c r="BD173" s="2" t="s">
        <v>2321</v>
      </c>
      <c r="BE173" s="2" t="s">
        <v>2322</v>
      </c>
      <c r="BF173" s="2" t="s">
        <v>2323</v>
      </c>
    </row>
    <row r="174" spans="1:58" ht="39.75" customHeight="1" x14ac:dyDescent="0.25">
      <c r="A174" s="7" t="s">
        <v>5</v>
      </c>
      <c r="B174" s="1" t="s">
        <v>0</v>
      </c>
      <c r="C174" s="1" t="s">
        <v>1</v>
      </c>
      <c r="D174" s="1" t="s">
        <v>2324</v>
      </c>
      <c r="E174" s="1" t="s">
        <v>2325</v>
      </c>
      <c r="F174" s="1" t="s">
        <v>2326</v>
      </c>
      <c r="H174" s="2" t="s">
        <v>5</v>
      </c>
      <c r="I174" s="2" t="s">
        <v>6</v>
      </c>
      <c r="J174" s="2" t="s">
        <v>5</v>
      </c>
      <c r="K174" s="2" t="s">
        <v>5</v>
      </c>
      <c r="L174" s="2" t="s">
        <v>7</v>
      </c>
      <c r="M174" s="1" t="s">
        <v>2327</v>
      </c>
      <c r="N174" s="1" t="s">
        <v>2328</v>
      </c>
      <c r="O174" s="2" t="s">
        <v>2329</v>
      </c>
      <c r="Q174" s="2" t="s">
        <v>60</v>
      </c>
      <c r="R174" s="2" t="s">
        <v>61</v>
      </c>
      <c r="T174" s="2" t="s">
        <v>13</v>
      </c>
      <c r="U174" s="3">
        <v>4</v>
      </c>
      <c r="V174" s="3">
        <v>4</v>
      </c>
      <c r="W174" s="4" t="s">
        <v>2156</v>
      </c>
      <c r="X174" s="4" t="s">
        <v>2156</v>
      </c>
      <c r="Y174" s="4" t="s">
        <v>2330</v>
      </c>
      <c r="Z174" s="4" t="s">
        <v>2330</v>
      </c>
      <c r="AA174" s="3">
        <v>231</v>
      </c>
      <c r="AB174" s="3">
        <v>220</v>
      </c>
      <c r="AC174" s="3">
        <v>817</v>
      </c>
      <c r="AD174" s="3">
        <v>5</v>
      </c>
      <c r="AE174" s="9">
        <v>8</v>
      </c>
      <c r="AF174" s="9">
        <v>9</v>
      </c>
      <c r="AG174" s="9">
        <v>38</v>
      </c>
      <c r="AH174" s="3">
        <v>2</v>
      </c>
      <c r="AI174" s="3">
        <v>16</v>
      </c>
      <c r="AJ174" s="3">
        <v>1</v>
      </c>
      <c r="AK174" s="3">
        <v>8</v>
      </c>
      <c r="AL174" s="3">
        <v>3</v>
      </c>
      <c r="AM174" s="3">
        <v>18</v>
      </c>
      <c r="AN174" s="3">
        <v>4</v>
      </c>
      <c r="AO174" s="3">
        <v>7</v>
      </c>
      <c r="AP174" s="3">
        <v>0</v>
      </c>
      <c r="AQ174" s="3">
        <v>0</v>
      </c>
      <c r="AR174" s="2" t="s">
        <v>5</v>
      </c>
      <c r="AS174" s="2" t="s">
        <v>5</v>
      </c>
      <c r="AU174" s="5" t="str">
        <f>HYPERLINK("https://creighton-primo.hosted.exlibrisgroup.com/primo-explore/search?tab=default_tab&amp;search_scope=EVERYTHING&amp;vid=01CRU&amp;lang=en_US&amp;offset=0&amp;query=any,contains,991004633299702656","Catalog Record")</f>
        <v>Catalog Record</v>
      </c>
      <c r="AV174" s="5" t="str">
        <f>HYPERLINK("http://www.worldcat.org/oclc/4387586","WorldCat Record")</f>
        <v>WorldCat Record</v>
      </c>
      <c r="AW174" s="2" t="s">
        <v>2331</v>
      </c>
      <c r="AX174" s="2" t="s">
        <v>2332</v>
      </c>
      <c r="AY174" s="2" t="s">
        <v>2333</v>
      </c>
      <c r="AZ174" s="2" t="s">
        <v>2333</v>
      </c>
      <c r="BA174" s="2" t="s">
        <v>2334</v>
      </c>
      <c r="BB174" s="2" t="s">
        <v>20</v>
      </c>
      <c r="BE174" s="2" t="s">
        <v>2335</v>
      </c>
      <c r="BF174" s="2" t="s">
        <v>2336</v>
      </c>
    </row>
    <row r="175" spans="1:58" ht="39.75" customHeight="1" x14ac:dyDescent="0.25">
      <c r="A175" s="7" t="s">
        <v>5</v>
      </c>
      <c r="B175" s="1" t="s">
        <v>0</v>
      </c>
      <c r="C175" s="1" t="s">
        <v>1</v>
      </c>
      <c r="D175" s="1" t="s">
        <v>2337</v>
      </c>
      <c r="E175" s="1" t="s">
        <v>2338</v>
      </c>
      <c r="F175" s="1" t="s">
        <v>2339</v>
      </c>
      <c r="H175" s="2" t="s">
        <v>5</v>
      </c>
      <c r="I175" s="2" t="s">
        <v>6</v>
      </c>
      <c r="J175" s="2" t="s">
        <v>5</v>
      </c>
      <c r="K175" s="2" t="s">
        <v>5</v>
      </c>
      <c r="L175" s="2" t="s">
        <v>7</v>
      </c>
      <c r="M175" s="1" t="s">
        <v>2340</v>
      </c>
      <c r="N175" s="1" t="s">
        <v>2341</v>
      </c>
      <c r="O175" s="2" t="s">
        <v>468</v>
      </c>
      <c r="Q175" s="2" t="s">
        <v>60</v>
      </c>
      <c r="R175" s="2" t="s">
        <v>61</v>
      </c>
      <c r="S175" s="1" t="s">
        <v>2342</v>
      </c>
      <c r="T175" s="2" t="s">
        <v>13</v>
      </c>
      <c r="U175" s="3">
        <v>4</v>
      </c>
      <c r="V175" s="3">
        <v>4</v>
      </c>
      <c r="W175" s="4" t="s">
        <v>2343</v>
      </c>
      <c r="X175" s="4" t="s">
        <v>2343</v>
      </c>
      <c r="Y175" s="4" t="s">
        <v>1393</v>
      </c>
      <c r="Z175" s="4" t="s">
        <v>1393</v>
      </c>
      <c r="AA175" s="3">
        <v>1317</v>
      </c>
      <c r="AB175" s="3">
        <v>1199</v>
      </c>
      <c r="AC175" s="3">
        <v>1211</v>
      </c>
      <c r="AD175" s="3">
        <v>10</v>
      </c>
      <c r="AE175" s="9">
        <v>10</v>
      </c>
      <c r="AF175" s="9">
        <v>41</v>
      </c>
      <c r="AG175" s="9">
        <v>43</v>
      </c>
      <c r="AH175" s="3">
        <v>15</v>
      </c>
      <c r="AI175" s="3">
        <v>16</v>
      </c>
      <c r="AJ175" s="3">
        <v>7</v>
      </c>
      <c r="AK175" s="3">
        <v>9</v>
      </c>
      <c r="AL175" s="3">
        <v>20</v>
      </c>
      <c r="AM175" s="3">
        <v>21</v>
      </c>
      <c r="AN175" s="3">
        <v>8</v>
      </c>
      <c r="AO175" s="3">
        <v>8</v>
      </c>
      <c r="AP175" s="3">
        <v>0</v>
      </c>
      <c r="AQ175" s="3">
        <v>0</v>
      </c>
      <c r="AR175" s="2" t="s">
        <v>5</v>
      </c>
      <c r="AS175" s="2" t="s">
        <v>46</v>
      </c>
      <c r="AT175" s="5" t="str">
        <f>HYPERLINK("http://catalog.hathitrust.org/Record/001015214","HathiTrust Record")</f>
        <v>HathiTrust Record</v>
      </c>
      <c r="AU175" s="5" t="str">
        <f>HYPERLINK("https://creighton-primo.hosted.exlibrisgroup.com/primo-explore/search?tab=default_tab&amp;search_scope=EVERYTHING&amp;vid=01CRU&amp;lang=en_US&amp;offset=0&amp;query=any,contains,991002410849702656","Catalog Record")</f>
        <v>Catalog Record</v>
      </c>
      <c r="AV175" s="5" t="str">
        <f>HYPERLINK("http://www.worldcat.org/oclc/339625","WorldCat Record")</f>
        <v>WorldCat Record</v>
      </c>
      <c r="AW175" s="2" t="s">
        <v>2344</v>
      </c>
      <c r="AX175" s="2" t="s">
        <v>2345</v>
      </c>
      <c r="AY175" s="2" t="s">
        <v>2346</v>
      </c>
      <c r="AZ175" s="2" t="s">
        <v>2346</v>
      </c>
      <c r="BA175" s="2" t="s">
        <v>2347</v>
      </c>
      <c r="BB175" s="2" t="s">
        <v>20</v>
      </c>
      <c r="BE175" s="2" t="s">
        <v>2348</v>
      </c>
      <c r="BF175" s="2" t="s">
        <v>2349</v>
      </c>
    </row>
    <row r="176" spans="1:58" ht="39.75" customHeight="1" x14ac:dyDescent="0.25">
      <c r="A176" s="7" t="s">
        <v>5</v>
      </c>
      <c r="B176" s="1" t="s">
        <v>0</v>
      </c>
      <c r="C176" s="1" t="s">
        <v>1</v>
      </c>
      <c r="D176" s="1" t="s">
        <v>2350</v>
      </c>
      <c r="E176" s="1" t="s">
        <v>2351</v>
      </c>
      <c r="F176" s="1" t="s">
        <v>2352</v>
      </c>
      <c r="H176" s="2" t="s">
        <v>5</v>
      </c>
      <c r="I176" s="2" t="s">
        <v>6</v>
      </c>
      <c r="J176" s="2" t="s">
        <v>5</v>
      </c>
      <c r="K176" s="2" t="s">
        <v>5</v>
      </c>
      <c r="L176" s="2" t="s">
        <v>7</v>
      </c>
      <c r="M176" s="1" t="s">
        <v>2353</v>
      </c>
      <c r="N176" s="1" t="s">
        <v>2354</v>
      </c>
      <c r="O176" s="2" t="s">
        <v>177</v>
      </c>
      <c r="Q176" s="2" t="s">
        <v>60</v>
      </c>
      <c r="R176" s="2" t="s">
        <v>1123</v>
      </c>
      <c r="S176" s="1" t="s">
        <v>2355</v>
      </c>
      <c r="T176" s="2" t="s">
        <v>13</v>
      </c>
      <c r="U176" s="3">
        <v>2</v>
      </c>
      <c r="V176" s="3">
        <v>2</v>
      </c>
      <c r="W176" s="4" t="s">
        <v>2356</v>
      </c>
      <c r="X176" s="4" t="s">
        <v>2356</v>
      </c>
      <c r="Y176" s="4" t="s">
        <v>2357</v>
      </c>
      <c r="Z176" s="4" t="s">
        <v>2357</v>
      </c>
      <c r="AA176" s="3">
        <v>1158</v>
      </c>
      <c r="AB176" s="3">
        <v>1003</v>
      </c>
      <c r="AC176" s="3">
        <v>1026</v>
      </c>
      <c r="AD176" s="3">
        <v>11</v>
      </c>
      <c r="AE176" s="9">
        <v>11</v>
      </c>
      <c r="AF176" s="9">
        <v>45</v>
      </c>
      <c r="AG176" s="9">
        <v>45</v>
      </c>
      <c r="AH176" s="3">
        <v>20</v>
      </c>
      <c r="AI176" s="3">
        <v>20</v>
      </c>
      <c r="AJ176" s="3">
        <v>6</v>
      </c>
      <c r="AK176" s="3">
        <v>6</v>
      </c>
      <c r="AL176" s="3">
        <v>18</v>
      </c>
      <c r="AM176" s="3">
        <v>18</v>
      </c>
      <c r="AN176" s="3">
        <v>10</v>
      </c>
      <c r="AO176" s="3">
        <v>10</v>
      </c>
      <c r="AP176" s="3">
        <v>0</v>
      </c>
      <c r="AQ176" s="3">
        <v>0</v>
      </c>
      <c r="AR176" s="2" t="s">
        <v>5</v>
      </c>
      <c r="AS176" s="2" t="s">
        <v>46</v>
      </c>
      <c r="AT176" s="5" t="str">
        <f>HYPERLINK("http://catalog.hathitrust.org/Record/001015228","HathiTrust Record")</f>
        <v>HathiTrust Record</v>
      </c>
      <c r="AU176" s="5" t="str">
        <f>HYPERLINK("https://creighton-primo.hosted.exlibrisgroup.com/primo-explore/search?tab=default_tab&amp;search_scope=EVERYTHING&amp;vid=01CRU&amp;lang=en_US&amp;offset=0&amp;query=any,contains,991001022279702656","Catalog Record")</f>
        <v>Catalog Record</v>
      </c>
      <c r="AV176" s="5" t="str">
        <f>HYPERLINK("http://www.worldcat.org/oclc/174009","WorldCat Record")</f>
        <v>WorldCat Record</v>
      </c>
      <c r="AW176" s="2" t="s">
        <v>2358</v>
      </c>
      <c r="AX176" s="2" t="s">
        <v>2359</v>
      </c>
      <c r="AY176" s="2" t="s">
        <v>2360</v>
      </c>
      <c r="AZ176" s="2" t="s">
        <v>2360</v>
      </c>
      <c r="BA176" s="2" t="s">
        <v>2361</v>
      </c>
      <c r="BB176" s="2" t="s">
        <v>20</v>
      </c>
      <c r="BE176" s="2" t="s">
        <v>2362</v>
      </c>
      <c r="BF176" s="2" t="s">
        <v>2363</v>
      </c>
    </row>
    <row r="177" spans="1:58" ht="39.75" customHeight="1" x14ac:dyDescent="0.25">
      <c r="A177" s="7" t="s">
        <v>5</v>
      </c>
      <c r="B177" s="1" t="s">
        <v>0</v>
      </c>
      <c r="C177" s="1" t="s">
        <v>1</v>
      </c>
      <c r="D177" s="1" t="s">
        <v>2364</v>
      </c>
      <c r="E177" s="1" t="s">
        <v>2365</v>
      </c>
      <c r="F177" s="1" t="s">
        <v>2366</v>
      </c>
      <c r="H177" s="2" t="s">
        <v>5</v>
      </c>
      <c r="I177" s="2" t="s">
        <v>6</v>
      </c>
      <c r="J177" s="2" t="s">
        <v>5</v>
      </c>
      <c r="K177" s="2" t="s">
        <v>5</v>
      </c>
      <c r="L177" s="2" t="s">
        <v>7</v>
      </c>
      <c r="M177" s="1" t="s">
        <v>2367</v>
      </c>
      <c r="N177" s="1" t="s">
        <v>2368</v>
      </c>
      <c r="O177" s="2" t="s">
        <v>995</v>
      </c>
      <c r="Q177" s="2" t="s">
        <v>60</v>
      </c>
      <c r="R177" s="2" t="s">
        <v>422</v>
      </c>
      <c r="T177" s="2" t="s">
        <v>13</v>
      </c>
      <c r="U177" s="3">
        <v>2</v>
      </c>
      <c r="V177" s="3">
        <v>2</v>
      </c>
      <c r="W177" s="4" t="s">
        <v>2356</v>
      </c>
      <c r="X177" s="4" t="s">
        <v>2356</v>
      </c>
      <c r="Y177" s="4" t="s">
        <v>1393</v>
      </c>
      <c r="Z177" s="4" t="s">
        <v>1393</v>
      </c>
      <c r="AA177" s="3">
        <v>450</v>
      </c>
      <c r="AB177" s="3">
        <v>397</v>
      </c>
      <c r="AC177" s="3">
        <v>455</v>
      </c>
      <c r="AD177" s="3">
        <v>3</v>
      </c>
      <c r="AE177" s="9">
        <v>3</v>
      </c>
      <c r="AF177" s="9">
        <v>23</v>
      </c>
      <c r="AG177" s="9">
        <v>24</v>
      </c>
      <c r="AH177" s="3">
        <v>11</v>
      </c>
      <c r="AI177" s="3">
        <v>12</v>
      </c>
      <c r="AJ177" s="3">
        <v>2</v>
      </c>
      <c r="AK177" s="3">
        <v>2</v>
      </c>
      <c r="AL177" s="3">
        <v>12</v>
      </c>
      <c r="AM177" s="3">
        <v>13</v>
      </c>
      <c r="AN177" s="3">
        <v>2</v>
      </c>
      <c r="AO177" s="3">
        <v>2</v>
      </c>
      <c r="AP177" s="3">
        <v>0</v>
      </c>
      <c r="AQ177" s="3">
        <v>0</v>
      </c>
      <c r="AR177" s="2" t="s">
        <v>5</v>
      </c>
      <c r="AS177" s="2" t="s">
        <v>46</v>
      </c>
      <c r="AT177" s="5" t="str">
        <f>HYPERLINK("http://catalog.hathitrust.org/Record/000766109","HathiTrust Record")</f>
        <v>HathiTrust Record</v>
      </c>
      <c r="AU177" s="5" t="str">
        <f>HYPERLINK("https://creighton-primo.hosted.exlibrisgroup.com/primo-explore/search?tab=default_tab&amp;search_scope=EVERYTHING&amp;vid=01CRU&amp;lang=en_US&amp;offset=0&amp;query=any,contains,991005157739702656","Catalog Record")</f>
        <v>Catalog Record</v>
      </c>
      <c r="AV177" s="5" t="str">
        <f>HYPERLINK("http://www.worldcat.org/oclc/7746858","WorldCat Record")</f>
        <v>WorldCat Record</v>
      </c>
      <c r="AW177" s="2" t="s">
        <v>2369</v>
      </c>
      <c r="AX177" s="2" t="s">
        <v>2370</v>
      </c>
      <c r="AY177" s="2" t="s">
        <v>2371</v>
      </c>
      <c r="AZ177" s="2" t="s">
        <v>2371</v>
      </c>
      <c r="BA177" s="2" t="s">
        <v>2372</v>
      </c>
      <c r="BB177" s="2" t="s">
        <v>20</v>
      </c>
      <c r="BD177" s="2" t="s">
        <v>2373</v>
      </c>
      <c r="BE177" s="2" t="s">
        <v>2374</v>
      </c>
      <c r="BF177" s="2" t="s">
        <v>2375</v>
      </c>
    </row>
    <row r="178" spans="1:58" ht="39.75" customHeight="1" x14ac:dyDescent="0.25">
      <c r="A178" s="7" t="s">
        <v>5</v>
      </c>
      <c r="B178" s="1" t="s">
        <v>0</v>
      </c>
      <c r="C178" s="1" t="s">
        <v>1</v>
      </c>
      <c r="D178" s="1" t="s">
        <v>2376</v>
      </c>
      <c r="E178" s="1" t="s">
        <v>2377</v>
      </c>
      <c r="F178" s="1" t="s">
        <v>2378</v>
      </c>
      <c r="H178" s="2" t="s">
        <v>5</v>
      </c>
      <c r="I178" s="2" t="s">
        <v>6</v>
      </c>
      <c r="J178" s="2" t="s">
        <v>5</v>
      </c>
      <c r="K178" s="2" t="s">
        <v>5</v>
      </c>
      <c r="L178" s="2" t="s">
        <v>7</v>
      </c>
      <c r="M178" s="1" t="s">
        <v>2379</v>
      </c>
      <c r="N178" s="1" t="s">
        <v>2380</v>
      </c>
      <c r="O178" s="2" t="s">
        <v>248</v>
      </c>
      <c r="Q178" s="2" t="s">
        <v>60</v>
      </c>
      <c r="R178" s="2" t="s">
        <v>61</v>
      </c>
      <c r="S178" s="1" t="s">
        <v>2381</v>
      </c>
      <c r="T178" s="2" t="s">
        <v>13</v>
      </c>
      <c r="U178" s="3">
        <v>2</v>
      </c>
      <c r="V178" s="3">
        <v>2</v>
      </c>
      <c r="W178" s="4" t="s">
        <v>2382</v>
      </c>
      <c r="X178" s="4" t="s">
        <v>2382</v>
      </c>
      <c r="Y178" s="4" t="s">
        <v>2382</v>
      </c>
      <c r="Z178" s="4" t="s">
        <v>2382</v>
      </c>
      <c r="AA178" s="3">
        <v>402</v>
      </c>
      <c r="AB178" s="3">
        <v>356</v>
      </c>
      <c r="AC178" s="3">
        <v>358</v>
      </c>
      <c r="AD178" s="3">
        <v>2</v>
      </c>
      <c r="AE178" s="9">
        <v>2</v>
      </c>
      <c r="AF178" s="9">
        <v>15</v>
      </c>
      <c r="AG178" s="9">
        <v>15</v>
      </c>
      <c r="AH178" s="3">
        <v>8</v>
      </c>
      <c r="AI178" s="3">
        <v>8</v>
      </c>
      <c r="AJ178" s="3">
        <v>3</v>
      </c>
      <c r="AK178" s="3">
        <v>3</v>
      </c>
      <c r="AL178" s="3">
        <v>8</v>
      </c>
      <c r="AM178" s="3">
        <v>8</v>
      </c>
      <c r="AN178" s="3">
        <v>1</v>
      </c>
      <c r="AO178" s="3">
        <v>1</v>
      </c>
      <c r="AP178" s="3">
        <v>0</v>
      </c>
      <c r="AQ178" s="3">
        <v>0</v>
      </c>
      <c r="AR178" s="2" t="s">
        <v>5</v>
      </c>
      <c r="AS178" s="2" t="s">
        <v>5</v>
      </c>
      <c r="AU178" s="5" t="str">
        <f>HYPERLINK("https://creighton-primo.hosted.exlibrisgroup.com/primo-explore/search?tab=default_tab&amp;search_scope=EVERYTHING&amp;vid=01CRU&amp;lang=en_US&amp;offset=0&amp;query=any,contains,991005197789702656","Catalog Record")</f>
        <v>Catalog Record</v>
      </c>
      <c r="AV178" s="5" t="str">
        <f>HYPERLINK("http://www.worldcat.org/oclc/135343","WorldCat Record")</f>
        <v>WorldCat Record</v>
      </c>
      <c r="AW178" s="2" t="s">
        <v>2383</v>
      </c>
      <c r="AX178" s="2" t="s">
        <v>2384</v>
      </c>
      <c r="AY178" s="2" t="s">
        <v>2385</v>
      </c>
      <c r="AZ178" s="2" t="s">
        <v>2385</v>
      </c>
      <c r="BA178" s="2" t="s">
        <v>2386</v>
      </c>
      <c r="BB178" s="2" t="s">
        <v>20</v>
      </c>
      <c r="BD178" s="2" t="s">
        <v>2387</v>
      </c>
      <c r="BE178" s="2" t="s">
        <v>2388</v>
      </c>
      <c r="BF178" s="2" t="s">
        <v>2389</v>
      </c>
    </row>
    <row r="179" spans="1:58" ht="39.75" customHeight="1" x14ac:dyDescent="0.25">
      <c r="A179" s="7" t="s">
        <v>5</v>
      </c>
      <c r="B179" s="1" t="s">
        <v>0</v>
      </c>
      <c r="C179" s="1" t="s">
        <v>1</v>
      </c>
      <c r="D179" s="1" t="s">
        <v>2390</v>
      </c>
      <c r="E179" s="1" t="s">
        <v>2391</v>
      </c>
      <c r="F179" s="1" t="s">
        <v>2392</v>
      </c>
      <c r="H179" s="2" t="s">
        <v>5</v>
      </c>
      <c r="I179" s="2" t="s">
        <v>6</v>
      </c>
      <c r="J179" s="2" t="s">
        <v>5</v>
      </c>
      <c r="K179" s="2" t="s">
        <v>5</v>
      </c>
      <c r="L179" s="2" t="s">
        <v>7</v>
      </c>
      <c r="M179" s="1" t="s">
        <v>2393</v>
      </c>
      <c r="N179" s="1" t="s">
        <v>2394</v>
      </c>
      <c r="O179" s="2" t="s">
        <v>494</v>
      </c>
      <c r="Q179" s="2" t="s">
        <v>60</v>
      </c>
      <c r="R179" s="2" t="s">
        <v>277</v>
      </c>
      <c r="S179" s="1" t="s">
        <v>2395</v>
      </c>
      <c r="T179" s="2" t="s">
        <v>13</v>
      </c>
      <c r="U179" s="3">
        <v>8</v>
      </c>
      <c r="V179" s="3">
        <v>8</v>
      </c>
      <c r="W179" s="4" t="s">
        <v>2396</v>
      </c>
      <c r="X179" s="4" t="s">
        <v>2396</v>
      </c>
      <c r="Y179" s="4" t="s">
        <v>1393</v>
      </c>
      <c r="Z179" s="4" t="s">
        <v>1393</v>
      </c>
      <c r="AA179" s="3">
        <v>635</v>
      </c>
      <c r="AB179" s="3">
        <v>554</v>
      </c>
      <c r="AC179" s="3">
        <v>560</v>
      </c>
      <c r="AD179" s="3">
        <v>4</v>
      </c>
      <c r="AE179" s="9">
        <v>4</v>
      </c>
      <c r="AF179" s="9">
        <v>27</v>
      </c>
      <c r="AG179" s="9">
        <v>27</v>
      </c>
      <c r="AH179" s="3">
        <v>10</v>
      </c>
      <c r="AI179" s="3">
        <v>10</v>
      </c>
      <c r="AJ179" s="3">
        <v>8</v>
      </c>
      <c r="AK179" s="3">
        <v>8</v>
      </c>
      <c r="AL179" s="3">
        <v>15</v>
      </c>
      <c r="AM179" s="3">
        <v>15</v>
      </c>
      <c r="AN179" s="3">
        <v>3</v>
      </c>
      <c r="AO179" s="3">
        <v>3</v>
      </c>
      <c r="AP179" s="3">
        <v>0</v>
      </c>
      <c r="AQ179" s="3">
        <v>0</v>
      </c>
      <c r="AR179" s="2" t="s">
        <v>5</v>
      </c>
      <c r="AS179" s="2" t="s">
        <v>46</v>
      </c>
      <c r="AT179" s="5" t="str">
        <f>HYPERLINK("http://catalog.hathitrust.org/Record/000133522","HathiTrust Record")</f>
        <v>HathiTrust Record</v>
      </c>
      <c r="AU179" s="5" t="str">
        <f>HYPERLINK("https://creighton-primo.hosted.exlibrisgroup.com/primo-explore/search?tab=default_tab&amp;search_scope=EVERYTHING&amp;vid=01CRU&amp;lang=en_US&amp;offset=0&amp;query=any,contains,991004512609702656","Catalog Record")</f>
        <v>Catalog Record</v>
      </c>
      <c r="AV179" s="5" t="str">
        <f>HYPERLINK("http://www.worldcat.org/oclc/3770991","WorldCat Record")</f>
        <v>WorldCat Record</v>
      </c>
      <c r="AW179" s="2" t="s">
        <v>2397</v>
      </c>
      <c r="AX179" s="2" t="s">
        <v>2398</v>
      </c>
      <c r="AY179" s="2" t="s">
        <v>2399</v>
      </c>
      <c r="AZ179" s="2" t="s">
        <v>2399</v>
      </c>
      <c r="BA179" s="2" t="s">
        <v>2400</v>
      </c>
      <c r="BB179" s="2" t="s">
        <v>20</v>
      </c>
      <c r="BD179" s="2" t="s">
        <v>2401</v>
      </c>
      <c r="BE179" s="2" t="s">
        <v>2402</v>
      </c>
      <c r="BF179" s="2" t="s">
        <v>2403</v>
      </c>
    </row>
    <row r="180" spans="1:58" ht="39.75" customHeight="1" x14ac:dyDescent="0.25">
      <c r="A180" s="7" t="s">
        <v>5</v>
      </c>
      <c r="B180" s="1" t="s">
        <v>0</v>
      </c>
      <c r="C180" s="1" t="s">
        <v>1</v>
      </c>
      <c r="D180" s="1" t="s">
        <v>2404</v>
      </c>
      <c r="E180" s="1" t="s">
        <v>2405</v>
      </c>
      <c r="F180" s="1" t="s">
        <v>2406</v>
      </c>
      <c r="H180" s="2" t="s">
        <v>5</v>
      </c>
      <c r="I180" s="2" t="s">
        <v>6</v>
      </c>
      <c r="J180" s="2" t="s">
        <v>5</v>
      </c>
      <c r="K180" s="2" t="s">
        <v>5</v>
      </c>
      <c r="L180" s="2" t="s">
        <v>7</v>
      </c>
      <c r="M180" s="1" t="s">
        <v>2407</v>
      </c>
      <c r="N180" s="1" t="s">
        <v>2408</v>
      </c>
      <c r="O180" s="2" t="s">
        <v>291</v>
      </c>
      <c r="Q180" s="2" t="s">
        <v>60</v>
      </c>
      <c r="R180" s="2" t="s">
        <v>61</v>
      </c>
      <c r="S180" s="1" t="s">
        <v>2409</v>
      </c>
      <c r="T180" s="2" t="s">
        <v>13</v>
      </c>
      <c r="U180" s="3">
        <v>8</v>
      </c>
      <c r="V180" s="3">
        <v>8</v>
      </c>
      <c r="W180" s="4" t="s">
        <v>2410</v>
      </c>
      <c r="X180" s="4" t="s">
        <v>2410</v>
      </c>
      <c r="Y180" s="4" t="s">
        <v>1393</v>
      </c>
      <c r="Z180" s="4" t="s">
        <v>1393</v>
      </c>
      <c r="AA180" s="3">
        <v>514</v>
      </c>
      <c r="AB180" s="3">
        <v>485</v>
      </c>
      <c r="AC180" s="3">
        <v>500</v>
      </c>
      <c r="AD180" s="3">
        <v>5</v>
      </c>
      <c r="AE180" s="9">
        <v>6</v>
      </c>
      <c r="AF180" s="9">
        <v>27</v>
      </c>
      <c r="AG180" s="9">
        <v>29</v>
      </c>
      <c r="AH180" s="3">
        <v>11</v>
      </c>
      <c r="AI180" s="3">
        <v>12</v>
      </c>
      <c r="AJ180" s="3">
        <v>4</v>
      </c>
      <c r="AK180" s="3">
        <v>5</v>
      </c>
      <c r="AL180" s="3">
        <v>11</v>
      </c>
      <c r="AM180" s="3">
        <v>11</v>
      </c>
      <c r="AN180" s="3">
        <v>4</v>
      </c>
      <c r="AO180" s="3">
        <v>5</v>
      </c>
      <c r="AP180" s="3">
        <v>0</v>
      </c>
      <c r="AQ180" s="3">
        <v>0</v>
      </c>
      <c r="AR180" s="2" t="s">
        <v>5</v>
      </c>
      <c r="AS180" s="2" t="s">
        <v>5</v>
      </c>
      <c r="AU180" s="5" t="str">
        <f>HYPERLINK("https://creighton-primo.hosted.exlibrisgroup.com/primo-explore/search?tab=default_tab&amp;search_scope=EVERYTHING&amp;vid=01CRU&amp;lang=en_US&amp;offset=0&amp;query=any,contains,991004247869702656","Catalog Record")</f>
        <v>Catalog Record</v>
      </c>
      <c r="AV180" s="5" t="str">
        <f>HYPERLINK("http://www.worldcat.org/oclc/2799088","WorldCat Record")</f>
        <v>WorldCat Record</v>
      </c>
      <c r="AW180" s="2" t="s">
        <v>2411</v>
      </c>
      <c r="AX180" s="2" t="s">
        <v>2412</v>
      </c>
      <c r="AY180" s="2" t="s">
        <v>2413</v>
      </c>
      <c r="AZ180" s="2" t="s">
        <v>2413</v>
      </c>
      <c r="BA180" s="2" t="s">
        <v>2414</v>
      </c>
      <c r="BB180" s="2" t="s">
        <v>20</v>
      </c>
      <c r="BD180" s="2" t="s">
        <v>2415</v>
      </c>
      <c r="BE180" s="2" t="s">
        <v>2416</v>
      </c>
      <c r="BF180" s="2" t="s">
        <v>2417</v>
      </c>
    </row>
    <row r="181" spans="1:58" ht="39.75" customHeight="1" x14ac:dyDescent="0.25">
      <c r="A181" s="7" t="s">
        <v>5</v>
      </c>
      <c r="B181" s="1" t="s">
        <v>0</v>
      </c>
      <c r="C181" s="1" t="s">
        <v>1</v>
      </c>
      <c r="D181" s="1" t="s">
        <v>2418</v>
      </c>
      <c r="E181" s="1" t="s">
        <v>2419</v>
      </c>
      <c r="F181" s="1" t="s">
        <v>2420</v>
      </c>
      <c r="H181" s="2" t="s">
        <v>5</v>
      </c>
      <c r="I181" s="2" t="s">
        <v>6</v>
      </c>
      <c r="J181" s="2" t="s">
        <v>5</v>
      </c>
      <c r="K181" s="2" t="s">
        <v>5</v>
      </c>
      <c r="L181" s="2" t="s">
        <v>7</v>
      </c>
      <c r="M181" s="1" t="s">
        <v>2421</v>
      </c>
      <c r="N181" s="1" t="s">
        <v>2422</v>
      </c>
      <c r="O181" s="2" t="s">
        <v>121</v>
      </c>
      <c r="Q181" s="2" t="s">
        <v>60</v>
      </c>
      <c r="R181" s="2" t="s">
        <v>61</v>
      </c>
      <c r="T181" s="2" t="s">
        <v>13</v>
      </c>
      <c r="U181" s="3">
        <v>2</v>
      </c>
      <c r="V181" s="3">
        <v>2</v>
      </c>
      <c r="W181" s="4" t="s">
        <v>2410</v>
      </c>
      <c r="X181" s="4" t="s">
        <v>2410</v>
      </c>
      <c r="Y181" s="4" t="s">
        <v>2423</v>
      </c>
      <c r="Z181" s="4" t="s">
        <v>2423</v>
      </c>
      <c r="AA181" s="3">
        <v>586</v>
      </c>
      <c r="AB181" s="3">
        <v>531</v>
      </c>
      <c r="AC181" s="3">
        <v>699</v>
      </c>
      <c r="AD181" s="3">
        <v>6</v>
      </c>
      <c r="AE181" s="9">
        <v>7</v>
      </c>
      <c r="AF181" s="9">
        <v>32</v>
      </c>
      <c r="AG181" s="9">
        <v>36</v>
      </c>
      <c r="AH181" s="3">
        <v>13</v>
      </c>
      <c r="AI181" s="3">
        <v>14</v>
      </c>
      <c r="AJ181" s="3">
        <v>7</v>
      </c>
      <c r="AK181" s="3">
        <v>8</v>
      </c>
      <c r="AL181" s="3">
        <v>15</v>
      </c>
      <c r="AM181" s="3">
        <v>17</v>
      </c>
      <c r="AN181" s="3">
        <v>5</v>
      </c>
      <c r="AO181" s="3">
        <v>6</v>
      </c>
      <c r="AP181" s="3">
        <v>0</v>
      </c>
      <c r="AQ181" s="3">
        <v>0</v>
      </c>
      <c r="AR181" s="2" t="s">
        <v>5</v>
      </c>
      <c r="AS181" s="2" t="s">
        <v>5</v>
      </c>
      <c r="AU181" s="5" t="str">
        <f>HYPERLINK("https://creighton-primo.hosted.exlibrisgroup.com/primo-explore/search?tab=default_tab&amp;search_scope=EVERYTHING&amp;vid=01CRU&amp;lang=en_US&amp;offset=0&amp;query=any,contains,991000000869702656","Catalog Record")</f>
        <v>Catalog Record</v>
      </c>
      <c r="AV181" s="5" t="str">
        <f>HYPERLINK("http://www.worldcat.org/oclc/9261","WorldCat Record")</f>
        <v>WorldCat Record</v>
      </c>
      <c r="AW181" s="2" t="s">
        <v>2424</v>
      </c>
      <c r="AX181" s="2" t="s">
        <v>2425</v>
      </c>
      <c r="AY181" s="2" t="s">
        <v>2426</v>
      </c>
      <c r="AZ181" s="2" t="s">
        <v>2426</v>
      </c>
      <c r="BA181" s="2" t="s">
        <v>2427</v>
      </c>
      <c r="BB181" s="2" t="s">
        <v>20</v>
      </c>
      <c r="BE181" s="2" t="s">
        <v>2428</v>
      </c>
      <c r="BF181" s="2" t="s">
        <v>2429</v>
      </c>
    </row>
    <row r="182" spans="1:58" ht="39.75" customHeight="1" x14ac:dyDescent="0.25">
      <c r="A182" s="7" t="s">
        <v>5</v>
      </c>
      <c r="B182" s="1" t="s">
        <v>0</v>
      </c>
      <c r="C182" s="1" t="s">
        <v>1</v>
      </c>
      <c r="D182" s="1" t="s">
        <v>2430</v>
      </c>
      <c r="E182" s="1" t="s">
        <v>2431</v>
      </c>
      <c r="F182" s="1" t="s">
        <v>2432</v>
      </c>
      <c r="H182" s="2" t="s">
        <v>5</v>
      </c>
      <c r="I182" s="2" t="s">
        <v>6</v>
      </c>
      <c r="J182" s="2" t="s">
        <v>5</v>
      </c>
      <c r="K182" s="2" t="s">
        <v>5</v>
      </c>
      <c r="L182" s="2" t="s">
        <v>7</v>
      </c>
      <c r="M182" s="1" t="s">
        <v>2433</v>
      </c>
      <c r="N182" s="1" t="s">
        <v>2434</v>
      </c>
      <c r="O182" s="2" t="s">
        <v>480</v>
      </c>
      <c r="Q182" s="2" t="s">
        <v>11</v>
      </c>
      <c r="R182" s="2" t="s">
        <v>234</v>
      </c>
      <c r="T182" s="2" t="s">
        <v>13</v>
      </c>
      <c r="U182" s="3">
        <v>2</v>
      </c>
      <c r="V182" s="3">
        <v>2</v>
      </c>
      <c r="W182" s="4" t="s">
        <v>2435</v>
      </c>
      <c r="X182" s="4" t="s">
        <v>2435</v>
      </c>
      <c r="Y182" s="4" t="s">
        <v>2436</v>
      </c>
      <c r="Z182" s="4" t="s">
        <v>2436</v>
      </c>
      <c r="AA182" s="3">
        <v>50</v>
      </c>
      <c r="AB182" s="3">
        <v>32</v>
      </c>
      <c r="AC182" s="3">
        <v>294</v>
      </c>
      <c r="AD182" s="3">
        <v>2</v>
      </c>
      <c r="AE182" s="9">
        <v>3</v>
      </c>
      <c r="AF182" s="9">
        <v>3</v>
      </c>
      <c r="AG182" s="9">
        <v>20</v>
      </c>
      <c r="AH182" s="3">
        <v>0</v>
      </c>
      <c r="AI182" s="3">
        <v>8</v>
      </c>
      <c r="AJ182" s="3">
        <v>2</v>
      </c>
      <c r="AK182" s="3">
        <v>5</v>
      </c>
      <c r="AL182" s="3">
        <v>2</v>
      </c>
      <c r="AM182" s="3">
        <v>10</v>
      </c>
      <c r="AN182" s="3">
        <v>1</v>
      </c>
      <c r="AO182" s="3">
        <v>2</v>
      </c>
      <c r="AP182" s="3">
        <v>0</v>
      </c>
      <c r="AQ182" s="3">
        <v>0</v>
      </c>
      <c r="AR182" s="2" t="s">
        <v>5</v>
      </c>
      <c r="AS182" s="2" t="s">
        <v>5</v>
      </c>
      <c r="AU182" s="5" t="str">
        <f>HYPERLINK("https://creighton-primo.hosted.exlibrisgroup.com/primo-explore/search?tab=default_tab&amp;search_scope=EVERYTHING&amp;vid=01CRU&amp;lang=en_US&amp;offset=0&amp;query=any,contains,991004640029702656","Catalog Record")</f>
        <v>Catalog Record</v>
      </c>
      <c r="AV182" s="5" t="str">
        <f>HYPERLINK("http://www.worldcat.org/oclc/4452663","WorldCat Record")</f>
        <v>WorldCat Record</v>
      </c>
      <c r="AW182" s="2" t="s">
        <v>2437</v>
      </c>
      <c r="AX182" s="2" t="s">
        <v>2438</v>
      </c>
      <c r="AY182" s="2" t="s">
        <v>2439</v>
      </c>
      <c r="AZ182" s="2" t="s">
        <v>2439</v>
      </c>
      <c r="BA182" s="2" t="s">
        <v>2440</v>
      </c>
      <c r="BB182" s="2" t="s">
        <v>20</v>
      </c>
      <c r="BE182" s="2" t="s">
        <v>2441</v>
      </c>
      <c r="BF182" s="2" t="s">
        <v>2442</v>
      </c>
    </row>
    <row r="183" spans="1:58" ht="39.75" customHeight="1" x14ac:dyDescent="0.25">
      <c r="A183" s="7" t="s">
        <v>5</v>
      </c>
      <c r="B183" s="1" t="s">
        <v>0</v>
      </c>
      <c r="C183" s="1" t="s">
        <v>1</v>
      </c>
      <c r="D183" s="1" t="s">
        <v>2443</v>
      </c>
      <c r="E183" s="1" t="s">
        <v>2444</v>
      </c>
      <c r="F183" s="1" t="s">
        <v>2445</v>
      </c>
      <c r="H183" s="2" t="s">
        <v>5</v>
      </c>
      <c r="I183" s="2" t="s">
        <v>6</v>
      </c>
      <c r="J183" s="2" t="s">
        <v>5</v>
      </c>
      <c r="K183" s="2" t="s">
        <v>5</v>
      </c>
      <c r="L183" s="2" t="s">
        <v>7</v>
      </c>
      <c r="M183" s="1" t="s">
        <v>2446</v>
      </c>
      <c r="N183" s="1" t="s">
        <v>2447</v>
      </c>
      <c r="O183" s="2" t="s">
        <v>2448</v>
      </c>
      <c r="Q183" s="2" t="s">
        <v>60</v>
      </c>
      <c r="R183" s="2" t="s">
        <v>193</v>
      </c>
      <c r="S183" s="1" t="s">
        <v>2449</v>
      </c>
      <c r="T183" s="2" t="s">
        <v>13</v>
      </c>
      <c r="U183" s="3">
        <v>4</v>
      </c>
      <c r="V183" s="3">
        <v>4</v>
      </c>
      <c r="W183" s="4" t="s">
        <v>2450</v>
      </c>
      <c r="X183" s="4" t="s">
        <v>2450</v>
      </c>
      <c r="Y183" s="4" t="s">
        <v>2451</v>
      </c>
      <c r="Z183" s="4" t="s">
        <v>2451</v>
      </c>
      <c r="AA183" s="3">
        <v>218</v>
      </c>
      <c r="AB183" s="3">
        <v>155</v>
      </c>
      <c r="AC183" s="3">
        <v>159</v>
      </c>
      <c r="AD183" s="3">
        <v>2</v>
      </c>
      <c r="AE183" s="9">
        <v>2</v>
      </c>
      <c r="AF183" s="9">
        <v>6</v>
      </c>
      <c r="AG183" s="9">
        <v>6</v>
      </c>
      <c r="AH183" s="3">
        <v>0</v>
      </c>
      <c r="AI183" s="3">
        <v>0</v>
      </c>
      <c r="AJ183" s="3">
        <v>3</v>
      </c>
      <c r="AK183" s="3">
        <v>3</v>
      </c>
      <c r="AL183" s="3">
        <v>4</v>
      </c>
      <c r="AM183" s="3">
        <v>4</v>
      </c>
      <c r="AN183" s="3">
        <v>1</v>
      </c>
      <c r="AO183" s="3">
        <v>1</v>
      </c>
      <c r="AP183" s="3">
        <v>0</v>
      </c>
      <c r="AQ183" s="3">
        <v>0</v>
      </c>
      <c r="AR183" s="2" t="s">
        <v>5</v>
      </c>
      <c r="AS183" s="2" t="s">
        <v>46</v>
      </c>
      <c r="AT183" s="5" t="str">
        <f>HYPERLINK("http://catalog.hathitrust.org/Record/004079855","HathiTrust Record")</f>
        <v>HathiTrust Record</v>
      </c>
      <c r="AU183" s="5" t="str">
        <f>HYPERLINK("https://creighton-primo.hosted.exlibrisgroup.com/primo-explore/search?tab=default_tab&amp;search_scope=EVERYTHING&amp;vid=01CRU&amp;lang=en_US&amp;offset=0&amp;query=any,contains,991003205369702656","Catalog Record")</f>
        <v>Catalog Record</v>
      </c>
      <c r="AV183" s="5" t="str">
        <f>HYPERLINK("http://www.worldcat.org/oclc/41420772","WorldCat Record")</f>
        <v>WorldCat Record</v>
      </c>
      <c r="AW183" s="2" t="s">
        <v>2452</v>
      </c>
      <c r="AX183" s="2" t="s">
        <v>2453</v>
      </c>
      <c r="AY183" s="2" t="s">
        <v>2454</v>
      </c>
      <c r="AZ183" s="2" t="s">
        <v>2454</v>
      </c>
      <c r="BA183" s="2" t="s">
        <v>2455</v>
      </c>
      <c r="BB183" s="2" t="s">
        <v>20</v>
      </c>
      <c r="BD183" s="2" t="s">
        <v>2456</v>
      </c>
      <c r="BE183" s="2" t="s">
        <v>2457</v>
      </c>
      <c r="BF183" s="2" t="s">
        <v>2458</v>
      </c>
    </row>
    <row r="184" spans="1:58" ht="39.75" customHeight="1" x14ac:dyDescent="0.25">
      <c r="A184" s="7" t="s">
        <v>5</v>
      </c>
      <c r="B184" s="1" t="s">
        <v>0</v>
      </c>
      <c r="C184" s="1" t="s">
        <v>1</v>
      </c>
      <c r="D184" s="1" t="s">
        <v>2459</v>
      </c>
      <c r="E184" s="1" t="s">
        <v>2460</v>
      </c>
      <c r="F184" s="1" t="s">
        <v>2461</v>
      </c>
      <c r="H184" s="2" t="s">
        <v>5</v>
      </c>
      <c r="I184" s="2" t="s">
        <v>6</v>
      </c>
      <c r="J184" s="2" t="s">
        <v>5</v>
      </c>
      <c r="K184" s="2" t="s">
        <v>5</v>
      </c>
      <c r="L184" s="2" t="s">
        <v>7</v>
      </c>
      <c r="M184" s="1" t="s">
        <v>2462</v>
      </c>
      <c r="N184" s="1" t="s">
        <v>2463</v>
      </c>
      <c r="O184" s="2" t="s">
        <v>27</v>
      </c>
      <c r="Q184" s="2" t="s">
        <v>60</v>
      </c>
      <c r="R184" s="2" t="s">
        <v>193</v>
      </c>
      <c r="T184" s="2" t="s">
        <v>13</v>
      </c>
      <c r="U184" s="3">
        <v>5</v>
      </c>
      <c r="V184" s="3">
        <v>5</v>
      </c>
      <c r="W184" s="4" t="s">
        <v>2464</v>
      </c>
      <c r="X184" s="4" t="s">
        <v>2464</v>
      </c>
      <c r="Y184" s="4" t="s">
        <v>2465</v>
      </c>
      <c r="Z184" s="4" t="s">
        <v>2465</v>
      </c>
      <c r="AA184" s="3">
        <v>251</v>
      </c>
      <c r="AB184" s="3">
        <v>133</v>
      </c>
      <c r="AC184" s="3">
        <v>160</v>
      </c>
      <c r="AD184" s="3">
        <v>1</v>
      </c>
      <c r="AE184" s="9">
        <v>1</v>
      </c>
      <c r="AF184" s="9">
        <v>7</v>
      </c>
      <c r="AG184" s="9">
        <v>7</v>
      </c>
      <c r="AH184" s="3">
        <v>0</v>
      </c>
      <c r="AI184" s="3">
        <v>0</v>
      </c>
      <c r="AJ184" s="3">
        <v>4</v>
      </c>
      <c r="AK184" s="3">
        <v>4</v>
      </c>
      <c r="AL184" s="3">
        <v>4</v>
      </c>
      <c r="AM184" s="3">
        <v>4</v>
      </c>
      <c r="AN184" s="3">
        <v>0</v>
      </c>
      <c r="AO184" s="3">
        <v>0</v>
      </c>
      <c r="AP184" s="3">
        <v>0</v>
      </c>
      <c r="AQ184" s="3">
        <v>0</v>
      </c>
      <c r="AR184" s="2" t="s">
        <v>5</v>
      </c>
      <c r="AS184" s="2" t="s">
        <v>5</v>
      </c>
      <c r="AU184" s="5" t="str">
        <f>HYPERLINK("https://creighton-primo.hosted.exlibrisgroup.com/primo-explore/search?tab=default_tab&amp;search_scope=EVERYTHING&amp;vid=01CRU&amp;lang=en_US&amp;offset=0&amp;query=any,contains,991001943059702656","Catalog Record")</f>
        <v>Catalog Record</v>
      </c>
      <c r="AV184" s="5" t="str">
        <f>HYPERLINK("http://www.worldcat.org/oclc/24545156","WorldCat Record")</f>
        <v>WorldCat Record</v>
      </c>
      <c r="AW184" s="2" t="s">
        <v>2466</v>
      </c>
      <c r="AX184" s="2" t="s">
        <v>2467</v>
      </c>
      <c r="AY184" s="2" t="s">
        <v>2468</v>
      </c>
      <c r="AZ184" s="2" t="s">
        <v>2468</v>
      </c>
      <c r="BA184" s="2" t="s">
        <v>2469</v>
      </c>
      <c r="BB184" s="2" t="s">
        <v>20</v>
      </c>
      <c r="BD184" s="2" t="s">
        <v>2470</v>
      </c>
      <c r="BE184" s="2" t="s">
        <v>2471</v>
      </c>
      <c r="BF184" s="2" t="s">
        <v>2472</v>
      </c>
    </row>
    <row r="185" spans="1:58" ht="39.75" customHeight="1" x14ac:dyDescent="0.25">
      <c r="A185" s="7" t="s">
        <v>5</v>
      </c>
      <c r="B185" s="1" t="s">
        <v>0</v>
      </c>
      <c r="C185" s="1" t="s">
        <v>1</v>
      </c>
      <c r="D185" s="1" t="s">
        <v>2473</v>
      </c>
      <c r="E185" s="1" t="s">
        <v>2474</v>
      </c>
      <c r="F185" s="1" t="s">
        <v>2475</v>
      </c>
      <c r="H185" s="2" t="s">
        <v>5</v>
      </c>
      <c r="I185" s="2" t="s">
        <v>6</v>
      </c>
      <c r="J185" s="2" t="s">
        <v>5</v>
      </c>
      <c r="K185" s="2" t="s">
        <v>5</v>
      </c>
      <c r="L185" s="2" t="s">
        <v>7</v>
      </c>
      <c r="M185" s="1" t="s">
        <v>2476</v>
      </c>
      <c r="N185" s="1" t="s">
        <v>2477</v>
      </c>
      <c r="O185" s="2" t="s">
        <v>995</v>
      </c>
      <c r="Q185" s="2" t="s">
        <v>60</v>
      </c>
      <c r="R185" s="2" t="s">
        <v>277</v>
      </c>
      <c r="T185" s="2" t="s">
        <v>13</v>
      </c>
      <c r="U185" s="3">
        <v>6</v>
      </c>
      <c r="V185" s="3">
        <v>6</v>
      </c>
      <c r="W185" s="4" t="s">
        <v>2478</v>
      </c>
      <c r="X185" s="4" t="s">
        <v>2478</v>
      </c>
      <c r="Y185" s="4" t="s">
        <v>1393</v>
      </c>
      <c r="Z185" s="4" t="s">
        <v>1393</v>
      </c>
      <c r="AA185" s="3">
        <v>856</v>
      </c>
      <c r="AB185" s="3">
        <v>761</v>
      </c>
      <c r="AC185" s="3">
        <v>770</v>
      </c>
      <c r="AD185" s="3">
        <v>4</v>
      </c>
      <c r="AE185" s="9">
        <v>4</v>
      </c>
      <c r="AF185" s="9">
        <v>27</v>
      </c>
      <c r="AG185" s="9">
        <v>27</v>
      </c>
      <c r="AH185" s="3">
        <v>11</v>
      </c>
      <c r="AI185" s="3">
        <v>11</v>
      </c>
      <c r="AJ185" s="3">
        <v>6</v>
      </c>
      <c r="AK185" s="3">
        <v>6</v>
      </c>
      <c r="AL185" s="3">
        <v>15</v>
      </c>
      <c r="AM185" s="3">
        <v>15</v>
      </c>
      <c r="AN185" s="3">
        <v>3</v>
      </c>
      <c r="AO185" s="3">
        <v>3</v>
      </c>
      <c r="AP185" s="3">
        <v>0</v>
      </c>
      <c r="AQ185" s="3">
        <v>0</v>
      </c>
      <c r="AR185" s="2" t="s">
        <v>5</v>
      </c>
      <c r="AS185" s="2" t="s">
        <v>46</v>
      </c>
      <c r="AT185" s="5" t="str">
        <f>HYPERLINK("http://catalog.hathitrust.org/Record/000265533","HathiTrust Record")</f>
        <v>HathiTrust Record</v>
      </c>
      <c r="AU185" s="5" t="str">
        <f>HYPERLINK("https://creighton-primo.hosted.exlibrisgroup.com/primo-explore/search?tab=default_tab&amp;search_scope=EVERYTHING&amp;vid=01CRU&amp;lang=en_US&amp;offset=0&amp;query=any,contains,991005098999702656","Catalog Record")</f>
        <v>Catalog Record</v>
      </c>
      <c r="AV185" s="5" t="str">
        <f>HYPERLINK("http://www.worldcat.org/oclc/7278449","WorldCat Record")</f>
        <v>WorldCat Record</v>
      </c>
      <c r="AW185" s="2" t="s">
        <v>2479</v>
      </c>
      <c r="AX185" s="2" t="s">
        <v>2480</v>
      </c>
      <c r="AY185" s="2" t="s">
        <v>2481</v>
      </c>
      <c r="AZ185" s="2" t="s">
        <v>2481</v>
      </c>
      <c r="BA185" s="2" t="s">
        <v>2482</v>
      </c>
      <c r="BB185" s="2" t="s">
        <v>20</v>
      </c>
      <c r="BD185" s="2" t="s">
        <v>2483</v>
      </c>
      <c r="BE185" s="2" t="s">
        <v>2484</v>
      </c>
      <c r="BF185" s="2" t="s">
        <v>2485</v>
      </c>
    </row>
    <row r="186" spans="1:58" ht="39.75" customHeight="1" x14ac:dyDescent="0.25">
      <c r="A186" s="7" t="s">
        <v>5</v>
      </c>
      <c r="B186" s="1" t="s">
        <v>0</v>
      </c>
      <c r="C186" s="1" t="s">
        <v>1</v>
      </c>
      <c r="D186" s="1" t="s">
        <v>2486</v>
      </c>
      <c r="E186" s="1" t="s">
        <v>2487</v>
      </c>
      <c r="F186" s="1" t="s">
        <v>2488</v>
      </c>
      <c r="H186" s="2" t="s">
        <v>5</v>
      </c>
      <c r="I186" s="2" t="s">
        <v>6</v>
      </c>
      <c r="J186" s="2" t="s">
        <v>5</v>
      </c>
      <c r="K186" s="2" t="s">
        <v>5</v>
      </c>
      <c r="L186" s="2" t="s">
        <v>7</v>
      </c>
      <c r="M186" s="1" t="s">
        <v>2489</v>
      </c>
      <c r="N186" s="1" t="s">
        <v>2490</v>
      </c>
      <c r="O186" s="2" t="s">
        <v>1390</v>
      </c>
      <c r="Q186" s="2" t="s">
        <v>60</v>
      </c>
      <c r="R186" s="2" t="s">
        <v>277</v>
      </c>
      <c r="S186" s="1" t="s">
        <v>2491</v>
      </c>
      <c r="T186" s="2" t="s">
        <v>13</v>
      </c>
      <c r="U186" s="3">
        <v>7</v>
      </c>
      <c r="V186" s="3">
        <v>7</v>
      </c>
      <c r="W186" s="4" t="s">
        <v>2478</v>
      </c>
      <c r="X186" s="4" t="s">
        <v>2478</v>
      </c>
      <c r="Y186" s="4" t="s">
        <v>1393</v>
      </c>
      <c r="Z186" s="4" t="s">
        <v>1393</v>
      </c>
      <c r="AA186" s="3">
        <v>787</v>
      </c>
      <c r="AB186" s="3">
        <v>682</v>
      </c>
      <c r="AC186" s="3">
        <v>689</v>
      </c>
      <c r="AD186" s="3">
        <v>5</v>
      </c>
      <c r="AE186" s="9">
        <v>5</v>
      </c>
      <c r="AF186" s="9">
        <v>30</v>
      </c>
      <c r="AG186" s="9">
        <v>30</v>
      </c>
      <c r="AH186" s="3">
        <v>13</v>
      </c>
      <c r="AI186" s="3">
        <v>13</v>
      </c>
      <c r="AJ186" s="3">
        <v>8</v>
      </c>
      <c r="AK186" s="3">
        <v>8</v>
      </c>
      <c r="AL186" s="3">
        <v>16</v>
      </c>
      <c r="AM186" s="3">
        <v>16</v>
      </c>
      <c r="AN186" s="3">
        <v>4</v>
      </c>
      <c r="AO186" s="3">
        <v>4</v>
      </c>
      <c r="AP186" s="3">
        <v>0</v>
      </c>
      <c r="AQ186" s="3">
        <v>0</v>
      </c>
      <c r="AR186" s="2" t="s">
        <v>5</v>
      </c>
      <c r="AS186" s="2" t="s">
        <v>46</v>
      </c>
      <c r="AT186" s="5" t="str">
        <f>HYPERLINK("http://catalog.hathitrust.org/Record/000257511","HathiTrust Record")</f>
        <v>HathiTrust Record</v>
      </c>
      <c r="AU186" s="5" t="str">
        <f>HYPERLINK("https://creighton-primo.hosted.exlibrisgroup.com/primo-explore/search?tab=default_tab&amp;search_scope=EVERYTHING&amp;vid=01CRU&amp;lang=en_US&amp;offset=0&amp;query=any,contains,991004670209702656","Catalog Record")</f>
        <v>Catalog Record</v>
      </c>
      <c r="AV186" s="5" t="str">
        <f>HYPERLINK("http://www.worldcat.org/oclc/4515296","WorldCat Record")</f>
        <v>WorldCat Record</v>
      </c>
      <c r="AW186" s="2" t="s">
        <v>2492</v>
      </c>
      <c r="AX186" s="2" t="s">
        <v>2493</v>
      </c>
      <c r="AY186" s="2" t="s">
        <v>2494</v>
      </c>
      <c r="AZ186" s="2" t="s">
        <v>2494</v>
      </c>
      <c r="BA186" s="2" t="s">
        <v>2495</v>
      </c>
      <c r="BB186" s="2" t="s">
        <v>20</v>
      </c>
      <c r="BD186" s="2" t="s">
        <v>2496</v>
      </c>
      <c r="BE186" s="2" t="s">
        <v>2497</v>
      </c>
      <c r="BF186" s="2" t="s">
        <v>2498</v>
      </c>
    </row>
    <row r="187" spans="1:58" ht="39.75" customHeight="1" x14ac:dyDescent="0.25">
      <c r="A187" s="7" t="s">
        <v>5</v>
      </c>
      <c r="B187" s="1" t="s">
        <v>0</v>
      </c>
      <c r="C187" s="1" t="s">
        <v>1</v>
      </c>
      <c r="D187" s="1" t="s">
        <v>2499</v>
      </c>
      <c r="E187" s="1" t="s">
        <v>2500</v>
      </c>
      <c r="F187" s="1" t="s">
        <v>2501</v>
      </c>
      <c r="H187" s="2" t="s">
        <v>5</v>
      </c>
      <c r="I187" s="2" t="s">
        <v>6</v>
      </c>
      <c r="J187" s="2" t="s">
        <v>5</v>
      </c>
      <c r="K187" s="2" t="s">
        <v>5</v>
      </c>
      <c r="L187" s="2" t="s">
        <v>7</v>
      </c>
      <c r="M187" s="1" t="s">
        <v>2502</v>
      </c>
      <c r="N187" s="1" t="s">
        <v>2503</v>
      </c>
      <c r="O187" s="2" t="s">
        <v>708</v>
      </c>
      <c r="P187" s="1" t="s">
        <v>2170</v>
      </c>
      <c r="Q187" s="2" t="s">
        <v>60</v>
      </c>
      <c r="R187" s="2" t="s">
        <v>61</v>
      </c>
      <c r="T187" s="2" t="s">
        <v>13</v>
      </c>
      <c r="U187" s="3">
        <v>6</v>
      </c>
      <c r="V187" s="3">
        <v>6</v>
      </c>
      <c r="W187" s="4" t="s">
        <v>2504</v>
      </c>
      <c r="X187" s="4" t="s">
        <v>2504</v>
      </c>
      <c r="Y187" s="4" t="s">
        <v>1393</v>
      </c>
      <c r="Z187" s="4" t="s">
        <v>1393</v>
      </c>
      <c r="AA187" s="3">
        <v>706</v>
      </c>
      <c r="AB187" s="3">
        <v>661</v>
      </c>
      <c r="AC187" s="3">
        <v>686</v>
      </c>
      <c r="AD187" s="3">
        <v>5</v>
      </c>
      <c r="AE187" s="9">
        <v>5</v>
      </c>
      <c r="AF187" s="9">
        <v>19</v>
      </c>
      <c r="AG187" s="9">
        <v>19</v>
      </c>
      <c r="AH187" s="3">
        <v>6</v>
      </c>
      <c r="AI187" s="3">
        <v>6</v>
      </c>
      <c r="AJ187" s="3">
        <v>6</v>
      </c>
      <c r="AK187" s="3">
        <v>6</v>
      </c>
      <c r="AL187" s="3">
        <v>10</v>
      </c>
      <c r="AM187" s="3">
        <v>10</v>
      </c>
      <c r="AN187" s="3">
        <v>2</v>
      </c>
      <c r="AO187" s="3">
        <v>2</v>
      </c>
      <c r="AP187" s="3">
        <v>0</v>
      </c>
      <c r="AQ187" s="3">
        <v>0</v>
      </c>
      <c r="AR187" s="2" t="s">
        <v>5</v>
      </c>
      <c r="AS187" s="2" t="s">
        <v>5</v>
      </c>
      <c r="AU187" s="5" t="str">
        <f>HYPERLINK("https://creighton-primo.hosted.exlibrisgroup.com/primo-explore/search?tab=default_tab&amp;search_scope=EVERYTHING&amp;vid=01CRU&amp;lang=en_US&amp;offset=0&amp;query=any,contains,991000947109702656","Catalog Record")</f>
        <v>Catalog Record</v>
      </c>
      <c r="AV187" s="5" t="str">
        <f>HYPERLINK("http://www.worldcat.org/oclc/14587082","WorldCat Record")</f>
        <v>WorldCat Record</v>
      </c>
      <c r="AW187" s="2" t="s">
        <v>2505</v>
      </c>
      <c r="AX187" s="2" t="s">
        <v>2506</v>
      </c>
      <c r="AY187" s="2" t="s">
        <v>2507</v>
      </c>
      <c r="AZ187" s="2" t="s">
        <v>2507</v>
      </c>
      <c r="BA187" s="2" t="s">
        <v>2508</v>
      </c>
      <c r="BB187" s="2" t="s">
        <v>20</v>
      </c>
      <c r="BD187" s="2" t="s">
        <v>2509</v>
      </c>
      <c r="BE187" s="2" t="s">
        <v>2510</v>
      </c>
      <c r="BF187" s="2" t="s">
        <v>2511</v>
      </c>
    </row>
    <row r="188" spans="1:58" ht="39.75" customHeight="1" x14ac:dyDescent="0.25">
      <c r="A188" s="7" t="s">
        <v>5</v>
      </c>
      <c r="B188" s="1" t="s">
        <v>0</v>
      </c>
      <c r="C188" s="1" t="s">
        <v>1</v>
      </c>
      <c r="D188" s="1" t="s">
        <v>2512</v>
      </c>
      <c r="E188" s="1" t="s">
        <v>2513</v>
      </c>
      <c r="F188" s="1" t="s">
        <v>2514</v>
      </c>
      <c r="H188" s="2" t="s">
        <v>5</v>
      </c>
      <c r="I188" s="2" t="s">
        <v>6</v>
      </c>
      <c r="J188" s="2" t="s">
        <v>5</v>
      </c>
      <c r="K188" s="2" t="s">
        <v>5</v>
      </c>
      <c r="L188" s="2" t="s">
        <v>7</v>
      </c>
      <c r="M188" s="1" t="s">
        <v>2515</v>
      </c>
      <c r="N188" s="1" t="s">
        <v>2516</v>
      </c>
      <c r="O188" s="2" t="s">
        <v>468</v>
      </c>
      <c r="Q188" s="2" t="s">
        <v>11</v>
      </c>
      <c r="R188" s="2" t="s">
        <v>28</v>
      </c>
      <c r="S188" s="1" t="s">
        <v>2517</v>
      </c>
      <c r="T188" s="2" t="s">
        <v>13</v>
      </c>
      <c r="U188" s="3">
        <v>2</v>
      </c>
      <c r="V188" s="3">
        <v>2</v>
      </c>
      <c r="W188" s="4" t="s">
        <v>2518</v>
      </c>
      <c r="X188" s="4" t="s">
        <v>2518</v>
      </c>
      <c r="Y188" s="4" t="s">
        <v>2519</v>
      </c>
      <c r="Z188" s="4" t="s">
        <v>2519</v>
      </c>
      <c r="AA188" s="3">
        <v>258</v>
      </c>
      <c r="AB188" s="3">
        <v>130</v>
      </c>
      <c r="AC188" s="3">
        <v>132</v>
      </c>
      <c r="AD188" s="3">
        <v>2</v>
      </c>
      <c r="AE188" s="9">
        <v>2</v>
      </c>
      <c r="AF188" s="9">
        <v>8</v>
      </c>
      <c r="AG188" s="9">
        <v>8</v>
      </c>
      <c r="AH188" s="3">
        <v>3</v>
      </c>
      <c r="AI188" s="3">
        <v>3</v>
      </c>
      <c r="AJ188" s="3">
        <v>2</v>
      </c>
      <c r="AK188" s="3">
        <v>2</v>
      </c>
      <c r="AL188" s="3">
        <v>4</v>
      </c>
      <c r="AM188" s="3">
        <v>4</v>
      </c>
      <c r="AN188" s="3">
        <v>1</v>
      </c>
      <c r="AO188" s="3">
        <v>1</v>
      </c>
      <c r="AP188" s="3">
        <v>0</v>
      </c>
      <c r="AQ188" s="3">
        <v>0</v>
      </c>
      <c r="AR188" s="2" t="s">
        <v>5</v>
      </c>
      <c r="AS188" s="2" t="s">
        <v>46</v>
      </c>
      <c r="AT188" s="5" t="str">
        <f>HYPERLINK("http://catalog.hathitrust.org/Record/001203994","HathiTrust Record")</f>
        <v>HathiTrust Record</v>
      </c>
      <c r="AU188" s="5" t="str">
        <f>HYPERLINK("https://creighton-primo.hosted.exlibrisgroup.com/primo-explore/search?tab=default_tab&amp;search_scope=EVERYTHING&amp;vid=01CRU&amp;lang=en_US&amp;offset=0&amp;query=any,contains,991003544999702656","Catalog Record")</f>
        <v>Catalog Record</v>
      </c>
      <c r="AV188" s="5" t="str">
        <f>HYPERLINK("http://www.worldcat.org/oclc/1111066","WorldCat Record")</f>
        <v>WorldCat Record</v>
      </c>
      <c r="AW188" s="2" t="s">
        <v>2520</v>
      </c>
      <c r="AX188" s="2" t="s">
        <v>2521</v>
      </c>
      <c r="AY188" s="2" t="s">
        <v>2522</v>
      </c>
      <c r="AZ188" s="2" t="s">
        <v>2522</v>
      </c>
      <c r="BA188" s="2" t="s">
        <v>2523</v>
      </c>
      <c r="BB188" s="2" t="s">
        <v>20</v>
      </c>
      <c r="BE188" s="2" t="s">
        <v>2524</v>
      </c>
      <c r="BF188" s="2" t="s">
        <v>2525</v>
      </c>
    </row>
    <row r="189" spans="1:58" ht="39.75" customHeight="1" x14ac:dyDescent="0.25">
      <c r="A189" s="7" t="s">
        <v>5</v>
      </c>
      <c r="B189" s="1" t="s">
        <v>0</v>
      </c>
      <c r="C189" s="1" t="s">
        <v>1</v>
      </c>
      <c r="D189" s="1" t="s">
        <v>2526</v>
      </c>
      <c r="E189" s="1" t="s">
        <v>2527</v>
      </c>
      <c r="F189" s="1" t="s">
        <v>2528</v>
      </c>
      <c r="H189" s="2" t="s">
        <v>5</v>
      </c>
      <c r="I189" s="2" t="s">
        <v>6</v>
      </c>
      <c r="J189" s="2" t="s">
        <v>5</v>
      </c>
      <c r="K189" s="2" t="s">
        <v>5</v>
      </c>
      <c r="L189" s="2" t="s">
        <v>7</v>
      </c>
      <c r="M189" s="1" t="s">
        <v>2529</v>
      </c>
      <c r="N189" s="1" t="s">
        <v>2530</v>
      </c>
      <c r="O189" s="2" t="s">
        <v>569</v>
      </c>
      <c r="Q189" s="2" t="s">
        <v>60</v>
      </c>
      <c r="R189" s="2" t="s">
        <v>61</v>
      </c>
      <c r="S189" s="1" t="s">
        <v>2531</v>
      </c>
      <c r="T189" s="2" t="s">
        <v>13</v>
      </c>
      <c r="U189" s="3">
        <v>3</v>
      </c>
      <c r="V189" s="3">
        <v>3</v>
      </c>
      <c r="W189" s="4" t="s">
        <v>2532</v>
      </c>
      <c r="X189" s="4" t="s">
        <v>2532</v>
      </c>
      <c r="Y189" s="4" t="s">
        <v>2533</v>
      </c>
      <c r="Z189" s="4" t="s">
        <v>2533</v>
      </c>
      <c r="AA189" s="3">
        <v>300</v>
      </c>
      <c r="AB189" s="3">
        <v>259</v>
      </c>
      <c r="AC189" s="3">
        <v>259</v>
      </c>
      <c r="AD189" s="3">
        <v>2</v>
      </c>
      <c r="AE189" s="9">
        <v>2</v>
      </c>
      <c r="AF189" s="9">
        <v>12</v>
      </c>
      <c r="AG189" s="9">
        <v>12</v>
      </c>
      <c r="AH189" s="3">
        <v>4</v>
      </c>
      <c r="AI189" s="3">
        <v>4</v>
      </c>
      <c r="AJ189" s="3">
        <v>2</v>
      </c>
      <c r="AK189" s="3">
        <v>2</v>
      </c>
      <c r="AL189" s="3">
        <v>9</v>
      </c>
      <c r="AM189" s="3">
        <v>9</v>
      </c>
      <c r="AN189" s="3">
        <v>1</v>
      </c>
      <c r="AO189" s="3">
        <v>1</v>
      </c>
      <c r="AP189" s="3">
        <v>0</v>
      </c>
      <c r="AQ189" s="3">
        <v>0</v>
      </c>
      <c r="AR189" s="2" t="s">
        <v>5</v>
      </c>
      <c r="AS189" s="2" t="s">
        <v>5</v>
      </c>
      <c r="AU189" s="5" t="str">
        <f>HYPERLINK("https://creighton-primo.hosted.exlibrisgroup.com/primo-explore/search?tab=default_tab&amp;search_scope=EVERYTHING&amp;vid=01CRU&amp;lang=en_US&amp;offset=0&amp;query=any,contains,991002851229702656","Catalog Record")</f>
        <v>Catalog Record</v>
      </c>
      <c r="AV189" s="5" t="str">
        <f>HYPERLINK("http://www.worldcat.org/oclc/37567332","WorldCat Record")</f>
        <v>WorldCat Record</v>
      </c>
      <c r="AW189" s="2" t="s">
        <v>2534</v>
      </c>
      <c r="AX189" s="2" t="s">
        <v>2535</v>
      </c>
      <c r="AY189" s="2" t="s">
        <v>2536</v>
      </c>
      <c r="AZ189" s="2" t="s">
        <v>2536</v>
      </c>
      <c r="BA189" s="2" t="s">
        <v>2537</v>
      </c>
      <c r="BB189" s="2" t="s">
        <v>20</v>
      </c>
      <c r="BD189" s="2" t="s">
        <v>2538</v>
      </c>
      <c r="BE189" s="2" t="s">
        <v>2539</v>
      </c>
      <c r="BF189" s="2" t="s">
        <v>2540</v>
      </c>
    </row>
    <row r="190" spans="1:58" ht="39.75" customHeight="1" x14ac:dyDescent="0.25">
      <c r="A190" s="7" t="s">
        <v>5</v>
      </c>
      <c r="B190" s="1" t="s">
        <v>0</v>
      </c>
      <c r="C190" s="1" t="s">
        <v>1</v>
      </c>
      <c r="D190" s="1" t="s">
        <v>2541</v>
      </c>
      <c r="E190" s="1" t="s">
        <v>2542</v>
      </c>
      <c r="F190" s="1" t="s">
        <v>2543</v>
      </c>
      <c r="H190" s="2" t="s">
        <v>5</v>
      </c>
      <c r="I190" s="2" t="s">
        <v>6</v>
      </c>
      <c r="J190" s="2" t="s">
        <v>5</v>
      </c>
      <c r="K190" s="2" t="s">
        <v>5</v>
      </c>
      <c r="L190" s="2" t="s">
        <v>7</v>
      </c>
      <c r="M190" s="1" t="s">
        <v>2544</v>
      </c>
      <c r="N190" s="1" t="s">
        <v>2545</v>
      </c>
      <c r="O190" s="2" t="s">
        <v>995</v>
      </c>
      <c r="Q190" s="2" t="s">
        <v>60</v>
      </c>
      <c r="R190" s="2" t="s">
        <v>193</v>
      </c>
      <c r="T190" s="2" t="s">
        <v>13</v>
      </c>
      <c r="U190" s="3">
        <v>3</v>
      </c>
      <c r="V190" s="3">
        <v>3</v>
      </c>
      <c r="W190" s="4" t="s">
        <v>2478</v>
      </c>
      <c r="X190" s="4" t="s">
        <v>2478</v>
      </c>
      <c r="Y190" s="4" t="s">
        <v>1393</v>
      </c>
      <c r="Z190" s="4" t="s">
        <v>1393</v>
      </c>
      <c r="AA190" s="3">
        <v>524</v>
      </c>
      <c r="AB190" s="3">
        <v>353</v>
      </c>
      <c r="AC190" s="3">
        <v>358</v>
      </c>
      <c r="AD190" s="3">
        <v>3</v>
      </c>
      <c r="AE190" s="9">
        <v>3</v>
      </c>
      <c r="AF190" s="9">
        <v>16</v>
      </c>
      <c r="AG190" s="9">
        <v>16</v>
      </c>
      <c r="AH190" s="3">
        <v>2</v>
      </c>
      <c r="AI190" s="3">
        <v>2</v>
      </c>
      <c r="AJ190" s="3">
        <v>6</v>
      </c>
      <c r="AK190" s="3">
        <v>6</v>
      </c>
      <c r="AL190" s="3">
        <v>11</v>
      </c>
      <c r="AM190" s="3">
        <v>11</v>
      </c>
      <c r="AN190" s="3">
        <v>2</v>
      </c>
      <c r="AO190" s="3">
        <v>2</v>
      </c>
      <c r="AP190" s="3">
        <v>0</v>
      </c>
      <c r="AQ190" s="3">
        <v>0</v>
      </c>
      <c r="AR190" s="2" t="s">
        <v>5</v>
      </c>
      <c r="AS190" s="2" t="s">
        <v>5</v>
      </c>
      <c r="AU190" s="5" t="str">
        <f>HYPERLINK("https://creighton-primo.hosted.exlibrisgroup.com/primo-explore/search?tab=default_tab&amp;search_scope=EVERYTHING&amp;vid=01CRU&amp;lang=en_US&amp;offset=0&amp;query=any,contains,991005129539702656","Catalog Record")</f>
        <v>Catalog Record</v>
      </c>
      <c r="AV190" s="5" t="str">
        <f>HYPERLINK("http://www.worldcat.org/oclc/7557423","WorldCat Record")</f>
        <v>WorldCat Record</v>
      </c>
      <c r="AW190" s="2" t="s">
        <v>2546</v>
      </c>
      <c r="AX190" s="2" t="s">
        <v>2547</v>
      </c>
      <c r="AY190" s="2" t="s">
        <v>2548</v>
      </c>
      <c r="AZ190" s="2" t="s">
        <v>2548</v>
      </c>
      <c r="BA190" s="2" t="s">
        <v>2549</v>
      </c>
      <c r="BB190" s="2" t="s">
        <v>20</v>
      </c>
      <c r="BD190" s="2" t="s">
        <v>2550</v>
      </c>
      <c r="BE190" s="2" t="s">
        <v>2551</v>
      </c>
      <c r="BF190" s="2" t="s">
        <v>2552</v>
      </c>
    </row>
    <row r="191" spans="1:58" ht="39.75" customHeight="1" x14ac:dyDescent="0.25">
      <c r="A191" s="7" t="s">
        <v>5</v>
      </c>
      <c r="B191" s="1" t="s">
        <v>0</v>
      </c>
      <c r="C191" s="1" t="s">
        <v>1</v>
      </c>
      <c r="D191" s="1" t="s">
        <v>2553</v>
      </c>
      <c r="E191" s="1" t="s">
        <v>2554</v>
      </c>
      <c r="F191" s="1" t="s">
        <v>2555</v>
      </c>
      <c r="H191" s="2" t="s">
        <v>5</v>
      </c>
      <c r="I191" s="2" t="s">
        <v>6</v>
      </c>
      <c r="J191" s="2" t="s">
        <v>5</v>
      </c>
      <c r="K191" s="2" t="s">
        <v>5</v>
      </c>
      <c r="L191" s="2" t="s">
        <v>7</v>
      </c>
      <c r="M191" s="1" t="s">
        <v>2556</v>
      </c>
      <c r="N191" s="1" t="s">
        <v>2557</v>
      </c>
      <c r="O191" s="2" t="s">
        <v>995</v>
      </c>
      <c r="Q191" s="2" t="s">
        <v>60</v>
      </c>
      <c r="R191" s="2" t="s">
        <v>871</v>
      </c>
      <c r="T191" s="2" t="s">
        <v>13</v>
      </c>
      <c r="U191" s="3">
        <v>10</v>
      </c>
      <c r="V191" s="3">
        <v>10</v>
      </c>
      <c r="W191" s="4" t="s">
        <v>2558</v>
      </c>
      <c r="X191" s="4" t="s">
        <v>2558</v>
      </c>
      <c r="Y191" s="4" t="s">
        <v>1393</v>
      </c>
      <c r="Z191" s="4" t="s">
        <v>1393</v>
      </c>
      <c r="AA191" s="3">
        <v>585</v>
      </c>
      <c r="AB191" s="3">
        <v>471</v>
      </c>
      <c r="AC191" s="3">
        <v>475</v>
      </c>
      <c r="AD191" s="3">
        <v>5</v>
      </c>
      <c r="AE191" s="9">
        <v>5</v>
      </c>
      <c r="AF191" s="9">
        <v>28</v>
      </c>
      <c r="AG191" s="9">
        <v>28</v>
      </c>
      <c r="AH191" s="3">
        <v>9</v>
      </c>
      <c r="AI191" s="3">
        <v>9</v>
      </c>
      <c r="AJ191" s="3">
        <v>6</v>
      </c>
      <c r="AK191" s="3">
        <v>6</v>
      </c>
      <c r="AL191" s="3">
        <v>16</v>
      </c>
      <c r="AM191" s="3">
        <v>16</v>
      </c>
      <c r="AN191" s="3">
        <v>4</v>
      </c>
      <c r="AO191" s="3">
        <v>4</v>
      </c>
      <c r="AP191" s="3">
        <v>0</v>
      </c>
      <c r="AQ191" s="3">
        <v>0</v>
      </c>
      <c r="AR191" s="2" t="s">
        <v>5</v>
      </c>
      <c r="AS191" s="2" t="s">
        <v>46</v>
      </c>
      <c r="AT191" s="5" t="str">
        <f>HYPERLINK("http://catalog.hathitrust.org/Record/000139038","HathiTrust Record")</f>
        <v>HathiTrust Record</v>
      </c>
      <c r="AU191" s="5" t="str">
        <f>HYPERLINK("https://creighton-primo.hosted.exlibrisgroup.com/primo-explore/search?tab=default_tab&amp;search_scope=EVERYTHING&amp;vid=01CRU&amp;lang=en_US&amp;offset=0&amp;query=any,contains,991005055579702656","Catalog Record")</f>
        <v>Catalog Record</v>
      </c>
      <c r="AV191" s="5" t="str">
        <f>HYPERLINK("http://www.worldcat.org/oclc/6891273","WorldCat Record")</f>
        <v>WorldCat Record</v>
      </c>
      <c r="AW191" s="2" t="s">
        <v>2559</v>
      </c>
      <c r="AX191" s="2" t="s">
        <v>2560</v>
      </c>
      <c r="AY191" s="2" t="s">
        <v>2561</v>
      </c>
      <c r="AZ191" s="2" t="s">
        <v>2561</v>
      </c>
      <c r="BA191" s="2" t="s">
        <v>2562</v>
      </c>
      <c r="BB191" s="2" t="s">
        <v>20</v>
      </c>
      <c r="BD191" s="2" t="s">
        <v>2563</v>
      </c>
      <c r="BE191" s="2" t="s">
        <v>2564</v>
      </c>
      <c r="BF191" s="2" t="s">
        <v>2565</v>
      </c>
    </row>
    <row r="192" spans="1:58" ht="39.75" customHeight="1" x14ac:dyDescent="0.25">
      <c r="A192" s="7" t="s">
        <v>5</v>
      </c>
      <c r="B192" s="1" t="s">
        <v>0</v>
      </c>
      <c r="C192" s="1" t="s">
        <v>1</v>
      </c>
      <c r="D192" s="1" t="s">
        <v>2566</v>
      </c>
      <c r="E192" s="1" t="s">
        <v>2567</v>
      </c>
      <c r="F192" s="1" t="s">
        <v>2568</v>
      </c>
      <c r="H192" s="2" t="s">
        <v>5</v>
      </c>
      <c r="I192" s="2" t="s">
        <v>6</v>
      </c>
      <c r="J192" s="2" t="s">
        <v>5</v>
      </c>
      <c r="K192" s="2" t="s">
        <v>5</v>
      </c>
      <c r="L192" s="2" t="s">
        <v>7</v>
      </c>
      <c r="M192" s="1" t="s">
        <v>2569</v>
      </c>
      <c r="N192" s="1" t="s">
        <v>2570</v>
      </c>
      <c r="O192" s="2" t="s">
        <v>736</v>
      </c>
      <c r="Q192" s="2" t="s">
        <v>60</v>
      </c>
      <c r="R192" s="2" t="s">
        <v>61</v>
      </c>
      <c r="S192" s="1" t="s">
        <v>2571</v>
      </c>
      <c r="T192" s="2" t="s">
        <v>13</v>
      </c>
      <c r="U192" s="3">
        <v>6</v>
      </c>
      <c r="V192" s="3">
        <v>6</v>
      </c>
      <c r="W192" s="4" t="s">
        <v>2572</v>
      </c>
      <c r="X192" s="4" t="s">
        <v>2572</v>
      </c>
      <c r="Y192" s="4" t="s">
        <v>2573</v>
      </c>
      <c r="Z192" s="4" t="s">
        <v>2573</v>
      </c>
      <c r="AA192" s="3">
        <v>116</v>
      </c>
      <c r="AB192" s="3">
        <v>65</v>
      </c>
      <c r="AC192" s="3">
        <v>66</v>
      </c>
      <c r="AD192" s="3">
        <v>1</v>
      </c>
      <c r="AE192" s="9">
        <v>1</v>
      </c>
      <c r="AF192" s="9">
        <v>5</v>
      </c>
      <c r="AG192" s="9">
        <v>5</v>
      </c>
      <c r="AH192" s="3">
        <v>1</v>
      </c>
      <c r="AI192" s="3">
        <v>1</v>
      </c>
      <c r="AJ192" s="3">
        <v>2</v>
      </c>
      <c r="AK192" s="3">
        <v>2</v>
      </c>
      <c r="AL192" s="3">
        <v>3</v>
      </c>
      <c r="AM192" s="3">
        <v>3</v>
      </c>
      <c r="AN192" s="3">
        <v>0</v>
      </c>
      <c r="AO192" s="3">
        <v>0</v>
      </c>
      <c r="AP192" s="3">
        <v>0</v>
      </c>
      <c r="AQ192" s="3">
        <v>0</v>
      </c>
      <c r="AR192" s="2" t="s">
        <v>5</v>
      </c>
      <c r="AS192" s="2" t="s">
        <v>5</v>
      </c>
      <c r="AU192" s="5" t="str">
        <f>HYPERLINK("https://creighton-primo.hosted.exlibrisgroup.com/primo-explore/search?tab=default_tab&amp;search_scope=EVERYTHING&amp;vid=01CRU&amp;lang=en_US&amp;offset=0&amp;query=any,contains,991001769129702656","Catalog Record")</f>
        <v>Catalog Record</v>
      </c>
      <c r="AV192" s="5" t="str">
        <f>HYPERLINK("http://www.worldcat.org/oclc/22345787","WorldCat Record")</f>
        <v>WorldCat Record</v>
      </c>
      <c r="AW192" s="2" t="s">
        <v>2574</v>
      </c>
      <c r="AX192" s="2" t="s">
        <v>2575</v>
      </c>
      <c r="AY192" s="2" t="s">
        <v>2576</v>
      </c>
      <c r="AZ192" s="2" t="s">
        <v>2576</v>
      </c>
      <c r="BA192" s="2" t="s">
        <v>2577</v>
      </c>
      <c r="BB192" s="2" t="s">
        <v>20</v>
      </c>
      <c r="BD192" s="2" t="s">
        <v>2578</v>
      </c>
      <c r="BE192" s="2" t="s">
        <v>2579</v>
      </c>
      <c r="BF192" s="2" t="s">
        <v>2580</v>
      </c>
    </row>
    <row r="193" spans="1:58" ht="39.75" customHeight="1" x14ac:dyDescent="0.25">
      <c r="A193" s="7" t="s">
        <v>5</v>
      </c>
      <c r="B193" s="1" t="s">
        <v>0</v>
      </c>
      <c r="C193" s="1" t="s">
        <v>1</v>
      </c>
      <c r="D193" s="1" t="s">
        <v>2581</v>
      </c>
      <c r="E193" s="1" t="s">
        <v>2582</v>
      </c>
      <c r="F193" s="1" t="s">
        <v>2583</v>
      </c>
      <c r="H193" s="2" t="s">
        <v>5</v>
      </c>
      <c r="I193" s="2" t="s">
        <v>6</v>
      </c>
      <c r="J193" s="2" t="s">
        <v>5</v>
      </c>
      <c r="K193" s="2" t="s">
        <v>5</v>
      </c>
      <c r="L193" s="2" t="s">
        <v>7</v>
      </c>
      <c r="M193" s="1" t="s">
        <v>2584</v>
      </c>
      <c r="N193" s="1" t="s">
        <v>2585</v>
      </c>
      <c r="O193" s="2" t="s">
        <v>736</v>
      </c>
      <c r="Q193" s="2" t="s">
        <v>60</v>
      </c>
      <c r="R193" s="2" t="s">
        <v>193</v>
      </c>
      <c r="T193" s="2" t="s">
        <v>13</v>
      </c>
      <c r="U193" s="3">
        <v>6</v>
      </c>
      <c r="V193" s="3">
        <v>6</v>
      </c>
      <c r="W193" s="4" t="s">
        <v>2572</v>
      </c>
      <c r="X193" s="4" t="s">
        <v>2572</v>
      </c>
      <c r="Y193" s="4" t="s">
        <v>2586</v>
      </c>
      <c r="Z193" s="4" t="s">
        <v>2586</v>
      </c>
      <c r="AA193" s="3">
        <v>95</v>
      </c>
      <c r="AB193" s="3">
        <v>41</v>
      </c>
      <c r="AC193" s="3">
        <v>225</v>
      </c>
      <c r="AD193" s="3">
        <v>2</v>
      </c>
      <c r="AE193" s="9">
        <v>3</v>
      </c>
      <c r="AF193" s="9">
        <v>2</v>
      </c>
      <c r="AG193" s="9">
        <v>17</v>
      </c>
      <c r="AH193" s="3">
        <v>1</v>
      </c>
      <c r="AI193" s="3">
        <v>6</v>
      </c>
      <c r="AJ193" s="3">
        <v>1</v>
      </c>
      <c r="AK193" s="3">
        <v>6</v>
      </c>
      <c r="AL193" s="3">
        <v>0</v>
      </c>
      <c r="AM193" s="3">
        <v>9</v>
      </c>
      <c r="AN193" s="3">
        <v>1</v>
      </c>
      <c r="AO193" s="3">
        <v>2</v>
      </c>
      <c r="AP193" s="3">
        <v>0</v>
      </c>
      <c r="AQ193" s="3">
        <v>0</v>
      </c>
      <c r="AR193" s="2" t="s">
        <v>5</v>
      </c>
      <c r="AS193" s="2" t="s">
        <v>46</v>
      </c>
      <c r="AT193" s="5" t="str">
        <f>HYPERLINK("http://catalog.hathitrust.org/Record/002476856","HathiTrust Record")</f>
        <v>HathiTrust Record</v>
      </c>
      <c r="AU193" s="5" t="str">
        <f>HYPERLINK("https://creighton-primo.hosted.exlibrisgroup.com/primo-explore/search?tab=default_tab&amp;search_scope=EVERYTHING&amp;vid=01CRU&amp;lang=en_US&amp;offset=0&amp;query=any,contains,991001661009702656","Catalog Record")</f>
        <v>Catalog Record</v>
      </c>
      <c r="AV193" s="5" t="str">
        <f>HYPERLINK("http://www.worldcat.org/oclc/26811122","WorldCat Record")</f>
        <v>WorldCat Record</v>
      </c>
      <c r="AW193" s="2" t="s">
        <v>2587</v>
      </c>
      <c r="AX193" s="2" t="s">
        <v>2588</v>
      </c>
      <c r="AY193" s="2" t="s">
        <v>2589</v>
      </c>
      <c r="AZ193" s="2" t="s">
        <v>2589</v>
      </c>
      <c r="BA193" s="2" t="s">
        <v>2590</v>
      </c>
      <c r="BB193" s="2" t="s">
        <v>20</v>
      </c>
      <c r="BD193" s="2" t="s">
        <v>2591</v>
      </c>
      <c r="BE193" s="2" t="s">
        <v>2592</v>
      </c>
      <c r="BF193" s="2" t="s">
        <v>2593</v>
      </c>
    </row>
    <row r="194" spans="1:58" ht="39.75" customHeight="1" x14ac:dyDescent="0.25">
      <c r="A194" s="7" t="s">
        <v>5</v>
      </c>
      <c r="B194" s="1" t="s">
        <v>0</v>
      </c>
      <c r="C194" s="1" t="s">
        <v>1</v>
      </c>
      <c r="D194" s="1" t="s">
        <v>2594</v>
      </c>
      <c r="E194" s="1" t="s">
        <v>2595</v>
      </c>
      <c r="F194" s="1" t="s">
        <v>2596</v>
      </c>
      <c r="H194" s="2" t="s">
        <v>5</v>
      </c>
      <c r="I194" s="2" t="s">
        <v>6</v>
      </c>
      <c r="J194" s="2" t="s">
        <v>5</v>
      </c>
      <c r="K194" s="2" t="s">
        <v>5</v>
      </c>
      <c r="L194" s="2" t="s">
        <v>7</v>
      </c>
      <c r="M194" s="1" t="s">
        <v>2597</v>
      </c>
      <c r="N194" s="1" t="s">
        <v>2598</v>
      </c>
      <c r="O194" s="2" t="s">
        <v>192</v>
      </c>
      <c r="Q194" s="2" t="s">
        <v>11</v>
      </c>
      <c r="R194" s="2" t="s">
        <v>28</v>
      </c>
      <c r="T194" s="2" t="s">
        <v>13</v>
      </c>
      <c r="U194" s="3">
        <v>2</v>
      </c>
      <c r="V194" s="3">
        <v>2</v>
      </c>
      <c r="W194" s="4" t="s">
        <v>1746</v>
      </c>
      <c r="X194" s="4" t="s">
        <v>1746</v>
      </c>
      <c r="Y194" s="4" t="s">
        <v>2436</v>
      </c>
      <c r="Z194" s="4" t="s">
        <v>2436</v>
      </c>
      <c r="AA194" s="3">
        <v>78</v>
      </c>
      <c r="AB194" s="3">
        <v>55</v>
      </c>
      <c r="AC194" s="3">
        <v>69</v>
      </c>
      <c r="AD194" s="3">
        <v>1</v>
      </c>
      <c r="AE194" s="9">
        <v>2</v>
      </c>
      <c r="AF194" s="9">
        <v>3</v>
      </c>
      <c r="AG194" s="9">
        <v>4</v>
      </c>
      <c r="AH194" s="3">
        <v>0</v>
      </c>
      <c r="AI194" s="3">
        <v>0</v>
      </c>
      <c r="AJ194" s="3">
        <v>0</v>
      </c>
      <c r="AK194" s="3">
        <v>0</v>
      </c>
      <c r="AL194" s="3">
        <v>3</v>
      </c>
      <c r="AM194" s="3">
        <v>3</v>
      </c>
      <c r="AN194" s="3">
        <v>0</v>
      </c>
      <c r="AO194" s="3">
        <v>1</v>
      </c>
      <c r="AP194" s="3">
        <v>0</v>
      </c>
      <c r="AQ194" s="3">
        <v>0</v>
      </c>
      <c r="AR194" s="2" t="s">
        <v>5</v>
      </c>
      <c r="AS194" s="2" t="s">
        <v>46</v>
      </c>
      <c r="AT194" s="5" t="str">
        <f>HYPERLINK("http://catalog.hathitrust.org/Record/006644486","HathiTrust Record")</f>
        <v>HathiTrust Record</v>
      </c>
      <c r="AU194" s="5" t="str">
        <f>HYPERLINK("https://creighton-primo.hosted.exlibrisgroup.com/primo-explore/search?tab=default_tab&amp;search_scope=EVERYTHING&amp;vid=01CRU&amp;lang=en_US&amp;offset=0&amp;query=any,contains,991003407269702656","Catalog Record")</f>
        <v>Catalog Record</v>
      </c>
      <c r="AV194" s="5" t="str">
        <f>HYPERLINK("http://www.worldcat.org/oclc/947099","WorldCat Record")</f>
        <v>WorldCat Record</v>
      </c>
      <c r="AW194" s="2" t="s">
        <v>2599</v>
      </c>
      <c r="AX194" s="2" t="s">
        <v>2600</v>
      </c>
      <c r="AY194" s="2" t="s">
        <v>2601</v>
      </c>
      <c r="AZ194" s="2" t="s">
        <v>2601</v>
      </c>
      <c r="BA194" s="2" t="s">
        <v>2602</v>
      </c>
      <c r="BB194" s="2" t="s">
        <v>20</v>
      </c>
      <c r="BE194" s="2" t="s">
        <v>2603</v>
      </c>
      <c r="BF194" s="2" t="s">
        <v>2604</v>
      </c>
    </row>
    <row r="195" spans="1:58" ht="39.75" customHeight="1" x14ac:dyDescent="0.25">
      <c r="A195" s="7" t="s">
        <v>5</v>
      </c>
      <c r="B195" s="1" t="s">
        <v>0</v>
      </c>
      <c r="C195" s="1" t="s">
        <v>1</v>
      </c>
      <c r="D195" s="1" t="s">
        <v>2605</v>
      </c>
      <c r="E195" s="1" t="s">
        <v>2606</v>
      </c>
      <c r="F195" s="1" t="s">
        <v>2607</v>
      </c>
      <c r="H195" s="2" t="s">
        <v>5</v>
      </c>
      <c r="I195" s="2" t="s">
        <v>6</v>
      </c>
      <c r="J195" s="2" t="s">
        <v>5</v>
      </c>
      <c r="K195" s="2" t="s">
        <v>5</v>
      </c>
      <c r="L195" s="2" t="s">
        <v>7</v>
      </c>
      <c r="M195" s="1" t="s">
        <v>2608</v>
      </c>
      <c r="N195" s="1" t="s">
        <v>2609</v>
      </c>
      <c r="O195" s="2" t="s">
        <v>2610</v>
      </c>
      <c r="Q195" s="2" t="s">
        <v>60</v>
      </c>
      <c r="R195" s="2" t="s">
        <v>61</v>
      </c>
      <c r="T195" s="2" t="s">
        <v>13</v>
      </c>
      <c r="U195" s="3">
        <v>3</v>
      </c>
      <c r="V195" s="3">
        <v>3</v>
      </c>
      <c r="W195" s="4" t="s">
        <v>2611</v>
      </c>
      <c r="X195" s="4" t="s">
        <v>2611</v>
      </c>
      <c r="Y195" s="4" t="s">
        <v>2612</v>
      </c>
      <c r="Z195" s="4" t="s">
        <v>2612</v>
      </c>
      <c r="AA195" s="3">
        <v>567</v>
      </c>
      <c r="AB195" s="3">
        <v>499</v>
      </c>
      <c r="AC195" s="3">
        <v>530</v>
      </c>
      <c r="AD195" s="3">
        <v>5</v>
      </c>
      <c r="AE195" s="9">
        <v>5</v>
      </c>
      <c r="AF195" s="9">
        <v>9</v>
      </c>
      <c r="AG195" s="9">
        <v>9</v>
      </c>
      <c r="AH195" s="3">
        <v>2</v>
      </c>
      <c r="AI195" s="3">
        <v>2</v>
      </c>
      <c r="AJ195" s="3">
        <v>3</v>
      </c>
      <c r="AK195" s="3">
        <v>3</v>
      </c>
      <c r="AL195" s="3">
        <v>3</v>
      </c>
      <c r="AM195" s="3">
        <v>3</v>
      </c>
      <c r="AN195" s="3">
        <v>2</v>
      </c>
      <c r="AO195" s="3">
        <v>2</v>
      </c>
      <c r="AP195" s="3">
        <v>0</v>
      </c>
      <c r="AQ195" s="3">
        <v>0</v>
      </c>
      <c r="AR195" s="2" t="s">
        <v>5</v>
      </c>
      <c r="AS195" s="2" t="s">
        <v>46</v>
      </c>
      <c r="AT195" s="5" t="str">
        <f>HYPERLINK("http://catalog.hathitrust.org/Record/009920916","HathiTrust Record")</f>
        <v>HathiTrust Record</v>
      </c>
      <c r="AU195" s="5" t="str">
        <f>HYPERLINK("https://creighton-primo.hosted.exlibrisgroup.com/primo-explore/search?tab=default_tab&amp;search_scope=EVERYTHING&amp;vid=01CRU&amp;lang=en_US&amp;offset=0&amp;query=any,contains,991001439619702656","Catalog Record")</f>
        <v>Catalog Record</v>
      </c>
      <c r="AV195" s="5" t="str">
        <f>HYPERLINK("http://www.worldcat.org/oclc/19222542","WorldCat Record")</f>
        <v>WorldCat Record</v>
      </c>
      <c r="AW195" s="2" t="s">
        <v>2613</v>
      </c>
      <c r="AX195" s="2" t="s">
        <v>2614</v>
      </c>
      <c r="AY195" s="2" t="s">
        <v>2615</v>
      </c>
      <c r="AZ195" s="2" t="s">
        <v>2615</v>
      </c>
      <c r="BA195" s="2" t="s">
        <v>2616</v>
      </c>
      <c r="BB195" s="2" t="s">
        <v>20</v>
      </c>
      <c r="BD195" s="2" t="s">
        <v>2617</v>
      </c>
      <c r="BE195" s="2" t="s">
        <v>2618</v>
      </c>
      <c r="BF195" s="2" t="s">
        <v>2619</v>
      </c>
    </row>
    <row r="196" spans="1:58" ht="39.75" customHeight="1" x14ac:dyDescent="0.25">
      <c r="A196" s="7" t="s">
        <v>5</v>
      </c>
      <c r="B196" s="1" t="s">
        <v>0</v>
      </c>
      <c r="C196" s="1" t="s">
        <v>1</v>
      </c>
      <c r="D196" s="1" t="s">
        <v>2620</v>
      </c>
      <c r="E196" s="1" t="s">
        <v>2621</v>
      </c>
      <c r="F196" s="1" t="s">
        <v>2622</v>
      </c>
      <c r="H196" s="2" t="s">
        <v>5</v>
      </c>
      <c r="I196" s="2" t="s">
        <v>6</v>
      </c>
      <c r="J196" s="2" t="s">
        <v>5</v>
      </c>
      <c r="K196" s="2" t="s">
        <v>5</v>
      </c>
      <c r="L196" s="2" t="s">
        <v>7</v>
      </c>
      <c r="M196" s="1" t="s">
        <v>2623</v>
      </c>
      <c r="N196" s="1" t="s">
        <v>2624</v>
      </c>
      <c r="O196" s="2" t="s">
        <v>162</v>
      </c>
      <c r="Q196" s="2" t="s">
        <v>11</v>
      </c>
      <c r="R196" s="2" t="s">
        <v>277</v>
      </c>
      <c r="S196" s="1" t="s">
        <v>2625</v>
      </c>
      <c r="T196" s="2" t="s">
        <v>13</v>
      </c>
      <c r="U196" s="3">
        <v>1</v>
      </c>
      <c r="V196" s="3">
        <v>1</v>
      </c>
      <c r="W196" s="4" t="s">
        <v>2626</v>
      </c>
      <c r="X196" s="4" t="s">
        <v>2626</v>
      </c>
      <c r="Y196" s="4" t="s">
        <v>2627</v>
      </c>
      <c r="Z196" s="4" t="s">
        <v>2627</v>
      </c>
      <c r="AA196" s="3">
        <v>43</v>
      </c>
      <c r="AB196" s="3">
        <v>35</v>
      </c>
      <c r="AC196" s="3">
        <v>683</v>
      </c>
      <c r="AD196" s="3">
        <v>1</v>
      </c>
      <c r="AE196" s="9">
        <v>5</v>
      </c>
      <c r="AF196" s="9">
        <v>3</v>
      </c>
      <c r="AG196" s="9">
        <v>36</v>
      </c>
      <c r="AH196" s="3">
        <v>1</v>
      </c>
      <c r="AI196" s="3">
        <v>14</v>
      </c>
      <c r="AJ196" s="3">
        <v>1</v>
      </c>
      <c r="AK196" s="3">
        <v>8</v>
      </c>
      <c r="AL196" s="3">
        <v>2</v>
      </c>
      <c r="AM196" s="3">
        <v>19</v>
      </c>
      <c r="AN196" s="3">
        <v>0</v>
      </c>
      <c r="AO196" s="3">
        <v>4</v>
      </c>
      <c r="AP196" s="3">
        <v>0</v>
      </c>
      <c r="AQ196" s="3">
        <v>0</v>
      </c>
      <c r="AR196" s="2" t="s">
        <v>5</v>
      </c>
      <c r="AS196" s="2" t="s">
        <v>5</v>
      </c>
      <c r="AU196" s="5" t="str">
        <f>HYPERLINK("https://creighton-primo.hosted.exlibrisgroup.com/primo-explore/search?tab=default_tab&amp;search_scope=EVERYTHING&amp;vid=01CRU&amp;lang=en_US&amp;offset=0&amp;query=any,contains,991004454769702656","Catalog Record")</f>
        <v>Catalog Record</v>
      </c>
      <c r="AV196" s="5" t="str">
        <f>HYPERLINK("http://www.worldcat.org/oclc/3518477","WorldCat Record")</f>
        <v>WorldCat Record</v>
      </c>
      <c r="AW196" s="2" t="s">
        <v>2628</v>
      </c>
      <c r="AX196" s="2" t="s">
        <v>2629</v>
      </c>
      <c r="AY196" s="2" t="s">
        <v>2630</v>
      </c>
      <c r="AZ196" s="2" t="s">
        <v>2630</v>
      </c>
      <c r="BA196" s="2" t="s">
        <v>2631</v>
      </c>
      <c r="BB196" s="2" t="s">
        <v>20</v>
      </c>
      <c r="BE196" s="2" t="s">
        <v>2632</v>
      </c>
      <c r="BF196" s="2" t="s">
        <v>2633</v>
      </c>
    </row>
    <row r="197" spans="1:58" ht="39.75" customHeight="1" x14ac:dyDescent="0.25">
      <c r="A197" s="7" t="s">
        <v>5</v>
      </c>
      <c r="B197" s="1" t="s">
        <v>0</v>
      </c>
      <c r="C197" s="1" t="s">
        <v>1</v>
      </c>
      <c r="D197" s="1" t="s">
        <v>2634</v>
      </c>
      <c r="E197" s="1" t="s">
        <v>2635</v>
      </c>
      <c r="F197" s="1" t="s">
        <v>2636</v>
      </c>
      <c r="H197" s="2" t="s">
        <v>5</v>
      </c>
      <c r="I197" s="2" t="s">
        <v>6</v>
      </c>
      <c r="J197" s="2" t="s">
        <v>5</v>
      </c>
      <c r="K197" s="2" t="s">
        <v>5</v>
      </c>
      <c r="L197" s="2" t="s">
        <v>7</v>
      </c>
      <c r="M197" s="1" t="s">
        <v>2637</v>
      </c>
      <c r="N197" s="1" t="s">
        <v>2638</v>
      </c>
      <c r="O197" s="2" t="s">
        <v>886</v>
      </c>
      <c r="Q197" s="2" t="s">
        <v>11</v>
      </c>
      <c r="R197" s="2" t="s">
        <v>12</v>
      </c>
      <c r="S197" s="1" t="s">
        <v>2639</v>
      </c>
      <c r="T197" s="2" t="s">
        <v>13</v>
      </c>
      <c r="U197" s="3">
        <v>2</v>
      </c>
      <c r="V197" s="3">
        <v>2</v>
      </c>
      <c r="W197" s="4" t="s">
        <v>2640</v>
      </c>
      <c r="X197" s="4" t="s">
        <v>2640</v>
      </c>
      <c r="Y197" s="4" t="s">
        <v>2436</v>
      </c>
      <c r="Z197" s="4" t="s">
        <v>2436</v>
      </c>
      <c r="AA197" s="3">
        <v>145</v>
      </c>
      <c r="AB197" s="3">
        <v>91</v>
      </c>
      <c r="AC197" s="3">
        <v>92</v>
      </c>
      <c r="AD197" s="3">
        <v>2</v>
      </c>
      <c r="AE197" s="9">
        <v>2</v>
      </c>
      <c r="AF197" s="9">
        <v>6</v>
      </c>
      <c r="AG197" s="9">
        <v>6</v>
      </c>
      <c r="AH197" s="3">
        <v>1</v>
      </c>
      <c r="AI197" s="3">
        <v>1</v>
      </c>
      <c r="AJ197" s="3">
        <v>1</v>
      </c>
      <c r="AK197" s="3">
        <v>1</v>
      </c>
      <c r="AL197" s="3">
        <v>4</v>
      </c>
      <c r="AM197" s="3">
        <v>4</v>
      </c>
      <c r="AN197" s="3">
        <v>1</v>
      </c>
      <c r="AO197" s="3">
        <v>1</v>
      </c>
      <c r="AP197" s="3">
        <v>0</v>
      </c>
      <c r="AQ197" s="3">
        <v>0</v>
      </c>
      <c r="AR197" s="2" t="s">
        <v>5</v>
      </c>
      <c r="AS197" s="2" t="s">
        <v>46</v>
      </c>
      <c r="AT197" s="5" t="str">
        <f>HYPERLINK("http://catalog.hathitrust.org/Record/000718096","HathiTrust Record")</f>
        <v>HathiTrust Record</v>
      </c>
      <c r="AU197" s="5" t="str">
        <f>HYPERLINK("https://creighton-primo.hosted.exlibrisgroup.com/primo-explore/search?tab=default_tab&amp;search_scope=EVERYTHING&amp;vid=01CRU&amp;lang=en_US&amp;offset=0&amp;query=any,contains,991003703819702656","Catalog Record")</f>
        <v>Catalog Record</v>
      </c>
      <c r="AV197" s="5" t="str">
        <f>HYPERLINK("http://www.worldcat.org/oclc/1340298","WorldCat Record")</f>
        <v>WorldCat Record</v>
      </c>
      <c r="AW197" s="2" t="s">
        <v>2641</v>
      </c>
      <c r="AX197" s="2" t="s">
        <v>2642</v>
      </c>
      <c r="AY197" s="2" t="s">
        <v>2643</v>
      </c>
      <c r="AZ197" s="2" t="s">
        <v>2643</v>
      </c>
      <c r="BA197" s="2" t="s">
        <v>2644</v>
      </c>
      <c r="BB197" s="2" t="s">
        <v>20</v>
      </c>
      <c r="BE197" s="2" t="s">
        <v>2645</v>
      </c>
      <c r="BF197" s="2" t="s">
        <v>2646</v>
      </c>
    </row>
    <row r="198" spans="1:58" ht="39.75" customHeight="1" x14ac:dyDescent="0.25">
      <c r="A198" s="7" t="s">
        <v>5</v>
      </c>
      <c r="B198" s="1" t="s">
        <v>0</v>
      </c>
      <c r="C198" s="1" t="s">
        <v>1</v>
      </c>
      <c r="D198" s="1" t="s">
        <v>2647</v>
      </c>
      <c r="E198" s="1" t="s">
        <v>2648</v>
      </c>
      <c r="F198" s="1" t="s">
        <v>2649</v>
      </c>
      <c r="H198" s="2" t="s">
        <v>5</v>
      </c>
      <c r="I198" s="2" t="s">
        <v>6</v>
      </c>
      <c r="J198" s="2" t="s">
        <v>5</v>
      </c>
      <c r="K198" s="2" t="s">
        <v>5</v>
      </c>
      <c r="L198" s="2" t="s">
        <v>7</v>
      </c>
      <c r="M198" s="1" t="s">
        <v>2650</v>
      </c>
      <c r="N198" s="1" t="s">
        <v>2651</v>
      </c>
      <c r="O198" s="2" t="s">
        <v>886</v>
      </c>
      <c r="Q198" s="2" t="s">
        <v>60</v>
      </c>
      <c r="R198" s="2" t="s">
        <v>422</v>
      </c>
      <c r="T198" s="2" t="s">
        <v>13</v>
      </c>
      <c r="U198" s="3">
        <v>3</v>
      </c>
      <c r="V198" s="3">
        <v>3</v>
      </c>
      <c r="W198" s="4" t="s">
        <v>2652</v>
      </c>
      <c r="X198" s="4" t="s">
        <v>2652</v>
      </c>
      <c r="Y198" s="4" t="s">
        <v>2653</v>
      </c>
      <c r="Z198" s="4" t="s">
        <v>2653</v>
      </c>
      <c r="AA198" s="3">
        <v>718</v>
      </c>
      <c r="AB198" s="3">
        <v>601</v>
      </c>
      <c r="AC198" s="3">
        <v>612</v>
      </c>
      <c r="AD198" s="3">
        <v>5</v>
      </c>
      <c r="AE198" s="9">
        <v>5</v>
      </c>
      <c r="AF198" s="9">
        <v>32</v>
      </c>
      <c r="AG198" s="9">
        <v>32</v>
      </c>
      <c r="AH198" s="3">
        <v>10</v>
      </c>
      <c r="AI198" s="3">
        <v>10</v>
      </c>
      <c r="AJ198" s="3">
        <v>7</v>
      </c>
      <c r="AK198" s="3">
        <v>7</v>
      </c>
      <c r="AL198" s="3">
        <v>17</v>
      </c>
      <c r="AM198" s="3">
        <v>17</v>
      </c>
      <c r="AN198" s="3">
        <v>4</v>
      </c>
      <c r="AO198" s="3">
        <v>4</v>
      </c>
      <c r="AP198" s="3">
        <v>0</v>
      </c>
      <c r="AQ198" s="3">
        <v>0</v>
      </c>
      <c r="AR198" s="2" t="s">
        <v>5</v>
      </c>
      <c r="AS198" s="2" t="s">
        <v>46</v>
      </c>
      <c r="AT198" s="5" t="str">
        <f>HYPERLINK("http://catalog.hathitrust.org/Record/000009482","HathiTrust Record")</f>
        <v>HathiTrust Record</v>
      </c>
      <c r="AU198" s="5" t="str">
        <f>HYPERLINK("https://creighton-primo.hosted.exlibrisgroup.com/primo-explore/search?tab=default_tab&amp;search_scope=EVERYTHING&amp;vid=01CRU&amp;lang=en_US&amp;offset=0&amp;query=any,contains,991003129509702656","Catalog Record")</f>
        <v>Catalog Record</v>
      </c>
      <c r="AV198" s="5" t="str">
        <f>HYPERLINK("http://www.worldcat.org/oclc/672957","WorldCat Record")</f>
        <v>WorldCat Record</v>
      </c>
      <c r="AW198" s="2" t="s">
        <v>2654</v>
      </c>
      <c r="AX198" s="2" t="s">
        <v>2655</v>
      </c>
      <c r="AY198" s="2" t="s">
        <v>2656</v>
      </c>
      <c r="AZ198" s="2" t="s">
        <v>2656</v>
      </c>
      <c r="BA198" s="2" t="s">
        <v>2657</v>
      </c>
      <c r="BB198" s="2" t="s">
        <v>20</v>
      </c>
      <c r="BD198" s="2" t="s">
        <v>2658</v>
      </c>
      <c r="BE198" s="2" t="s">
        <v>2659</v>
      </c>
      <c r="BF198" s="2" t="s">
        <v>2660</v>
      </c>
    </row>
    <row r="199" spans="1:58" ht="39.75" customHeight="1" x14ac:dyDescent="0.25">
      <c r="A199" s="7" t="s">
        <v>5</v>
      </c>
      <c r="B199" s="1" t="s">
        <v>0</v>
      </c>
      <c r="C199" s="1" t="s">
        <v>1</v>
      </c>
      <c r="D199" s="1" t="s">
        <v>2661</v>
      </c>
      <c r="E199" s="1" t="s">
        <v>2662</v>
      </c>
      <c r="F199" s="1" t="s">
        <v>2663</v>
      </c>
      <c r="H199" s="2" t="s">
        <v>5</v>
      </c>
      <c r="I199" s="2" t="s">
        <v>6</v>
      </c>
      <c r="J199" s="2" t="s">
        <v>5</v>
      </c>
      <c r="K199" s="2" t="s">
        <v>5</v>
      </c>
      <c r="L199" s="2" t="s">
        <v>7</v>
      </c>
      <c r="M199" s="1" t="s">
        <v>2664</v>
      </c>
      <c r="N199" s="1" t="s">
        <v>2665</v>
      </c>
      <c r="O199" s="2" t="s">
        <v>108</v>
      </c>
      <c r="P199" s="1" t="s">
        <v>2666</v>
      </c>
      <c r="Q199" s="2" t="s">
        <v>60</v>
      </c>
      <c r="R199" s="2" t="s">
        <v>422</v>
      </c>
      <c r="T199" s="2" t="s">
        <v>13</v>
      </c>
      <c r="U199" s="3">
        <v>6</v>
      </c>
      <c r="V199" s="3">
        <v>6</v>
      </c>
      <c r="W199" s="4" t="s">
        <v>2640</v>
      </c>
      <c r="X199" s="4" t="s">
        <v>2640</v>
      </c>
      <c r="Y199" s="4" t="s">
        <v>2667</v>
      </c>
      <c r="Z199" s="4" t="s">
        <v>2667</v>
      </c>
      <c r="AA199" s="3">
        <v>357</v>
      </c>
      <c r="AB199" s="3">
        <v>321</v>
      </c>
      <c r="AC199" s="3">
        <v>1343</v>
      </c>
      <c r="AD199" s="3">
        <v>3</v>
      </c>
      <c r="AE199" s="9">
        <v>10</v>
      </c>
      <c r="AF199" s="9">
        <v>15</v>
      </c>
      <c r="AG199" s="9">
        <v>50</v>
      </c>
      <c r="AH199" s="3">
        <v>7</v>
      </c>
      <c r="AI199" s="3">
        <v>22</v>
      </c>
      <c r="AJ199" s="3">
        <v>4</v>
      </c>
      <c r="AK199" s="3">
        <v>10</v>
      </c>
      <c r="AL199" s="3">
        <v>8</v>
      </c>
      <c r="AM199" s="3">
        <v>23</v>
      </c>
      <c r="AN199" s="3">
        <v>1</v>
      </c>
      <c r="AO199" s="3">
        <v>7</v>
      </c>
      <c r="AP199" s="3">
        <v>0</v>
      </c>
      <c r="AQ199" s="3">
        <v>0</v>
      </c>
      <c r="AR199" s="2" t="s">
        <v>5</v>
      </c>
      <c r="AS199" s="2" t="s">
        <v>46</v>
      </c>
      <c r="AT199" s="5" t="str">
        <f>HYPERLINK("http://catalog.hathitrust.org/Record/001205037","HathiTrust Record")</f>
        <v>HathiTrust Record</v>
      </c>
      <c r="AU199" s="5" t="str">
        <f>HYPERLINK("https://creighton-primo.hosted.exlibrisgroup.com/primo-explore/search?tab=default_tab&amp;search_scope=EVERYTHING&amp;vid=01CRU&amp;lang=en_US&amp;offset=0&amp;query=any,contains,991002207679702656","Catalog Record")</f>
        <v>Catalog Record</v>
      </c>
      <c r="AV199" s="5" t="str">
        <f>HYPERLINK("http://www.worldcat.org/oclc/286634","WorldCat Record")</f>
        <v>WorldCat Record</v>
      </c>
      <c r="AW199" s="2" t="s">
        <v>2668</v>
      </c>
      <c r="AX199" s="2" t="s">
        <v>2669</v>
      </c>
      <c r="AY199" s="2" t="s">
        <v>2670</v>
      </c>
      <c r="AZ199" s="2" t="s">
        <v>2670</v>
      </c>
      <c r="BA199" s="2" t="s">
        <v>2671</v>
      </c>
      <c r="BB199" s="2" t="s">
        <v>20</v>
      </c>
      <c r="BD199" s="2" t="s">
        <v>2672</v>
      </c>
      <c r="BE199" s="2" t="s">
        <v>2673</v>
      </c>
      <c r="BF199" s="2" t="s">
        <v>2674</v>
      </c>
    </row>
    <row r="200" spans="1:58" ht="39.75" customHeight="1" x14ac:dyDescent="0.25">
      <c r="A200" s="7" t="s">
        <v>5</v>
      </c>
      <c r="B200" s="1" t="s">
        <v>0</v>
      </c>
      <c r="C200" s="1" t="s">
        <v>1</v>
      </c>
      <c r="D200" s="1" t="s">
        <v>2675</v>
      </c>
      <c r="E200" s="1" t="s">
        <v>2676</v>
      </c>
      <c r="F200" s="1" t="s">
        <v>2677</v>
      </c>
      <c r="H200" s="2" t="s">
        <v>5</v>
      </c>
      <c r="I200" s="2" t="s">
        <v>6</v>
      </c>
      <c r="J200" s="2" t="s">
        <v>5</v>
      </c>
      <c r="K200" s="2" t="s">
        <v>5</v>
      </c>
      <c r="L200" s="2" t="s">
        <v>7</v>
      </c>
      <c r="M200" s="1" t="s">
        <v>2678</v>
      </c>
      <c r="N200" s="1" t="s">
        <v>2679</v>
      </c>
      <c r="O200" s="2" t="s">
        <v>192</v>
      </c>
      <c r="Q200" s="2" t="s">
        <v>60</v>
      </c>
      <c r="R200" s="2" t="s">
        <v>422</v>
      </c>
      <c r="S200" s="1" t="s">
        <v>2680</v>
      </c>
      <c r="T200" s="2" t="s">
        <v>13</v>
      </c>
      <c r="U200" s="3">
        <v>4</v>
      </c>
      <c r="V200" s="3">
        <v>4</v>
      </c>
      <c r="W200" s="4" t="s">
        <v>2681</v>
      </c>
      <c r="X200" s="4" t="s">
        <v>2681</v>
      </c>
      <c r="Y200" s="4" t="s">
        <v>2682</v>
      </c>
      <c r="Z200" s="4" t="s">
        <v>2682</v>
      </c>
      <c r="AA200" s="3">
        <v>2127</v>
      </c>
      <c r="AB200" s="3">
        <v>1893</v>
      </c>
      <c r="AC200" s="3">
        <v>1903</v>
      </c>
      <c r="AD200" s="3">
        <v>14</v>
      </c>
      <c r="AE200" s="9">
        <v>14</v>
      </c>
      <c r="AF200" s="9">
        <v>52</v>
      </c>
      <c r="AG200" s="9">
        <v>52</v>
      </c>
      <c r="AH200" s="3">
        <v>23</v>
      </c>
      <c r="AI200" s="3">
        <v>23</v>
      </c>
      <c r="AJ200" s="3">
        <v>10</v>
      </c>
      <c r="AK200" s="3">
        <v>10</v>
      </c>
      <c r="AL200" s="3">
        <v>21</v>
      </c>
      <c r="AM200" s="3">
        <v>21</v>
      </c>
      <c r="AN200" s="3">
        <v>10</v>
      </c>
      <c r="AO200" s="3">
        <v>10</v>
      </c>
      <c r="AP200" s="3">
        <v>0</v>
      </c>
      <c r="AQ200" s="3">
        <v>0</v>
      </c>
      <c r="AR200" s="2" t="s">
        <v>5</v>
      </c>
      <c r="AS200" s="2" t="s">
        <v>5</v>
      </c>
      <c r="AT200" s="5" t="str">
        <f>HYPERLINK("http://catalog.hathitrust.org/Record/001015316","HathiTrust Record")</f>
        <v>HathiTrust Record</v>
      </c>
      <c r="AU200" s="5" t="str">
        <f>HYPERLINK("https://creighton-primo.hosted.exlibrisgroup.com/primo-explore/search?tab=default_tab&amp;search_scope=EVERYTHING&amp;vid=01CRU&amp;lang=en_US&amp;offset=0&amp;query=any,contains,991002418119702656","Catalog Record")</f>
        <v>Catalog Record</v>
      </c>
      <c r="AV200" s="5" t="str">
        <f>HYPERLINK("http://www.worldcat.org/oclc/342099","WorldCat Record")</f>
        <v>WorldCat Record</v>
      </c>
      <c r="AW200" s="2" t="s">
        <v>2683</v>
      </c>
      <c r="AX200" s="2" t="s">
        <v>2684</v>
      </c>
      <c r="AY200" s="2" t="s">
        <v>2685</v>
      </c>
      <c r="AZ200" s="2" t="s">
        <v>2685</v>
      </c>
      <c r="BA200" s="2" t="s">
        <v>2686</v>
      </c>
      <c r="BB200" s="2" t="s">
        <v>20</v>
      </c>
      <c r="BE200" s="2" t="s">
        <v>2687</v>
      </c>
      <c r="BF200" s="2" t="s">
        <v>2688</v>
      </c>
    </row>
    <row r="201" spans="1:58" ht="39.75" customHeight="1" x14ac:dyDescent="0.25">
      <c r="A201" s="7" t="s">
        <v>5</v>
      </c>
      <c r="B201" s="1" t="s">
        <v>0</v>
      </c>
      <c r="C201" s="1" t="s">
        <v>1</v>
      </c>
      <c r="D201" s="1" t="s">
        <v>2689</v>
      </c>
      <c r="E201" s="1" t="s">
        <v>2690</v>
      </c>
      <c r="F201" s="1" t="s">
        <v>2691</v>
      </c>
      <c r="H201" s="2" t="s">
        <v>5</v>
      </c>
      <c r="I201" s="2" t="s">
        <v>6</v>
      </c>
      <c r="J201" s="2" t="s">
        <v>5</v>
      </c>
      <c r="K201" s="2" t="s">
        <v>5</v>
      </c>
      <c r="L201" s="2" t="s">
        <v>7</v>
      </c>
      <c r="M201" s="1" t="s">
        <v>2692</v>
      </c>
      <c r="N201" s="1" t="s">
        <v>2693</v>
      </c>
      <c r="O201" s="2" t="s">
        <v>248</v>
      </c>
      <c r="Q201" s="2" t="s">
        <v>60</v>
      </c>
      <c r="R201" s="2" t="s">
        <v>193</v>
      </c>
      <c r="T201" s="2" t="s">
        <v>13</v>
      </c>
      <c r="U201" s="3">
        <v>4</v>
      </c>
      <c r="V201" s="3">
        <v>4</v>
      </c>
      <c r="W201" s="4" t="s">
        <v>2694</v>
      </c>
      <c r="X201" s="4" t="s">
        <v>2694</v>
      </c>
      <c r="Y201" s="4" t="s">
        <v>1720</v>
      </c>
      <c r="Z201" s="4" t="s">
        <v>1720</v>
      </c>
      <c r="AA201" s="3">
        <v>1079</v>
      </c>
      <c r="AB201" s="3">
        <v>875</v>
      </c>
      <c r="AC201" s="3">
        <v>961</v>
      </c>
      <c r="AD201" s="3">
        <v>6</v>
      </c>
      <c r="AE201" s="9">
        <v>6</v>
      </c>
      <c r="AF201" s="9">
        <v>29</v>
      </c>
      <c r="AG201" s="9">
        <v>31</v>
      </c>
      <c r="AH201" s="3">
        <v>10</v>
      </c>
      <c r="AI201" s="3">
        <v>12</v>
      </c>
      <c r="AJ201" s="3">
        <v>6</v>
      </c>
      <c r="AK201" s="3">
        <v>6</v>
      </c>
      <c r="AL201" s="3">
        <v>13</v>
      </c>
      <c r="AM201" s="3">
        <v>13</v>
      </c>
      <c r="AN201" s="3">
        <v>5</v>
      </c>
      <c r="AO201" s="3">
        <v>5</v>
      </c>
      <c r="AP201" s="3">
        <v>0</v>
      </c>
      <c r="AQ201" s="3">
        <v>0</v>
      </c>
      <c r="AR201" s="2" t="s">
        <v>5</v>
      </c>
      <c r="AS201" s="2" t="s">
        <v>46</v>
      </c>
      <c r="AT201" s="5" t="str">
        <f>HYPERLINK("http://catalog.hathitrust.org/Record/001015317","HathiTrust Record")</f>
        <v>HathiTrust Record</v>
      </c>
      <c r="AU201" s="5" t="str">
        <f>HYPERLINK("https://creighton-primo.hosted.exlibrisgroup.com/primo-explore/search?tab=default_tab&amp;search_scope=EVERYTHING&amp;vid=01CRU&amp;lang=en_US&amp;offset=0&amp;query=any,contains,991001099849702656","Catalog Record")</f>
        <v>Catalog Record</v>
      </c>
      <c r="AV201" s="5" t="str">
        <f>HYPERLINK("http://www.worldcat.org/oclc/183466","WorldCat Record")</f>
        <v>WorldCat Record</v>
      </c>
      <c r="AW201" s="2" t="s">
        <v>2695</v>
      </c>
      <c r="AX201" s="2" t="s">
        <v>2696</v>
      </c>
      <c r="AY201" s="2" t="s">
        <v>2697</v>
      </c>
      <c r="AZ201" s="2" t="s">
        <v>2697</v>
      </c>
      <c r="BA201" s="2" t="s">
        <v>2698</v>
      </c>
      <c r="BB201" s="2" t="s">
        <v>20</v>
      </c>
      <c r="BD201" s="2" t="s">
        <v>2699</v>
      </c>
      <c r="BE201" s="2" t="s">
        <v>2700</v>
      </c>
      <c r="BF201" s="2" t="s">
        <v>2701</v>
      </c>
    </row>
    <row r="202" spans="1:58" ht="39.75" customHeight="1" x14ac:dyDescent="0.25">
      <c r="A202" s="7" t="s">
        <v>5</v>
      </c>
      <c r="B202" s="1" t="s">
        <v>0</v>
      </c>
      <c r="C202" s="1" t="s">
        <v>1</v>
      </c>
      <c r="D202" s="1" t="s">
        <v>2702</v>
      </c>
      <c r="E202" s="1" t="s">
        <v>2703</v>
      </c>
      <c r="F202" s="1" t="s">
        <v>2663</v>
      </c>
      <c r="H202" s="2" t="s">
        <v>5</v>
      </c>
      <c r="I202" s="2" t="s">
        <v>6</v>
      </c>
      <c r="J202" s="2" t="s">
        <v>5</v>
      </c>
      <c r="K202" s="2" t="s">
        <v>5</v>
      </c>
      <c r="L202" s="2" t="s">
        <v>7</v>
      </c>
      <c r="M202" s="1" t="s">
        <v>2704</v>
      </c>
      <c r="N202" s="1" t="s">
        <v>2705</v>
      </c>
      <c r="O202" s="2" t="s">
        <v>248</v>
      </c>
      <c r="Q202" s="2" t="s">
        <v>60</v>
      </c>
      <c r="R202" s="2" t="s">
        <v>61</v>
      </c>
      <c r="S202" s="1" t="s">
        <v>2706</v>
      </c>
      <c r="T202" s="2" t="s">
        <v>13</v>
      </c>
      <c r="U202" s="3">
        <v>2</v>
      </c>
      <c r="V202" s="3">
        <v>2</v>
      </c>
      <c r="W202" s="4" t="s">
        <v>737</v>
      </c>
      <c r="X202" s="4" t="s">
        <v>737</v>
      </c>
      <c r="Y202" s="4" t="s">
        <v>2707</v>
      </c>
      <c r="Z202" s="4" t="s">
        <v>2707</v>
      </c>
      <c r="AA202" s="3">
        <v>253</v>
      </c>
      <c r="AB202" s="3">
        <v>233</v>
      </c>
      <c r="AC202" s="3">
        <v>504</v>
      </c>
      <c r="AD202" s="3">
        <v>2</v>
      </c>
      <c r="AE202" s="9">
        <v>4</v>
      </c>
      <c r="AF202" s="9">
        <v>7</v>
      </c>
      <c r="AG202" s="9">
        <v>13</v>
      </c>
      <c r="AH202" s="3">
        <v>3</v>
      </c>
      <c r="AI202" s="3">
        <v>5</v>
      </c>
      <c r="AJ202" s="3">
        <v>1</v>
      </c>
      <c r="AK202" s="3">
        <v>1</v>
      </c>
      <c r="AL202" s="3">
        <v>3</v>
      </c>
      <c r="AM202" s="3">
        <v>7</v>
      </c>
      <c r="AN202" s="3">
        <v>1</v>
      </c>
      <c r="AO202" s="3">
        <v>3</v>
      </c>
      <c r="AP202" s="3">
        <v>0</v>
      </c>
      <c r="AQ202" s="3">
        <v>0</v>
      </c>
      <c r="AR202" s="2" t="s">
        <v>5</v>
      </c>
      <c r="AS202" s="2" t="s">
        <v>46</v>
      </c>
      <c r="AT202" s="5" t="str">
        <f>HYPERLINK("http://catalog.hathitrust.org/Record/009917889","HathiTrust Record")</f>
        <v>HathiTrust Record</v>
      </c>
      <c r="AU202" s="5" t="str">
        <f>HYPERLINK("https://creighton-primo.hosted.exlibrisgroup.com/primo-explore/search?tab=default_tab&amp;search_scope=EVERYTHING&amp;vid=01CRU&amp;lang=en_US&amp;offset=0&amp;query=any,contains,991003169309702656","Catalog Record")</f>
        <v>Catalog Record</v>
      </c>
      <c r="AV202" s="5" t="str">
        <f>HYPERLINK("http://www.worldcat.org/oclc/706182","WorldCat Record")</f>
        <v>WorldCat Record</v>
      </c>
      <c r="AW202" s="2" t="s">
        <v>2708</v>
      </c>
      <c r="AX202" s="2" t="s">
        <v>2709</v>
      </c>
      <c r="AY202" s="2" t="s">
        <v>2710</v>
      </c>
      <c r="AZ202" s="2" t="s">
        <v>2710</v>
      </c>
      <c r="BA202" s="2" t="s">
        <v>2711</v>
      </c>
      <c r="BB202" s="2" t="s">
        <v>20</v>
      </c>
      <c r="BD202" s="2" t="s">
        <v>2712</v>
      </c>
      <c r="BE202" s="2" t="s">
        <v>2713</v>
      </c>
      <c r="BF202" s="2" t="s">
        <v>2714</v>
      </c>
    </row>
    <row r="203" spans="1:58" ht="39.75" customHeight="1" x14ac:dyDescent="0.25">
      <c r="A203" s="7" t="s">
        <v>5</v>
      </c>
      <c r="B203" s="1" t="s">
        <v>0</v>
      </c>
      <c r="C203" s="1" t="s">
        <v>1</v>
      </c>
      <c r="D203" s="1" t="s">
        <v>2715</v>
      </c>
      <c r="E203" s="1" t="s">
        <v>2716</v>
      </c>
      <c r="F203" s="1" t="s">
        <v>2717</v>
      </c>
      <c r="H203" s="2" t="s">
        <v>5</v>
      </c>
      <c r="I203" s="2" t="s">
        <v>6</v>
      </c>
      <c r="J203" s="2" t="s">
        <v>5</v>
      </c>
      <c r="K203" s="2" t="s">
        <v>5</v>
      </c>
      <c r="L203" s="2" t="s">
        <v>7</v>
      </c>
      <c r="M203" s="1" t="s">
        <v>2718</v>
      </c>
      <c r="N203" s="1" t="s">
        <v>2719</v>
      </c>
      <c r="O203" s="2" t="s">
        <v>1390</v>
      </c>
      <c r="P203" s="1" t="s">
        <v>2170</v>
      </c>
      <c r="Q203" s="2" t="s">
        <v>60</v>
      </c>
      <c r="R203" s="2" t="s">
        <v>61</v>
      </c>
      <c r="T203" s="2" t="s">
        <v>13</v>
      </c>
      <c r="U203" s="3">
        <v>6</v>
      </c>
      <c r="V203" s="3">
        <v>6</v>
      </c>
      <c r="W203" s="4" t="s">
        <v>2694</v>
      </c>
      <c r="X203" s="4" t="s">
        <v>2694</v>
      </c>
      <c r="Y203" s="4" t="s">
        <v>2653</v>
      </c>
      <c r="Z203" s="4" t="s">
        <v>2653</v>
      </c>
      <c r="AA203" s="3">
        <v>1556</v>
      </c>
      <c r="AB203" s="3">
        <v>1447</v>
      </c>
      <c r="AC203" s="3">
        <v>1695</v>
      </c>
      <c r="AD203" s="3">
        <v>13</v>
      </c>
      <c r="AE203" s="9">
        <v>13</v>
      </c>
      <c r="AF203" s="9">
        <v>47</v>
      </c>
      <c r="AG203" s="9">
        <v>51</v>
      </c>
      <c r="AH203" s="3">
        <v>17</v>
      </c>
      <c r="AI203" s="3">
        <v>18</v>
      </c>
      <c r="AJ203" s="3">
        <v>9</v>
      </c>
      <c r="AK203" s="3">
        <v>11</v>
      </c>
      <c r="AL203" s="3">
        <v>23</v>
      </c>
      <c r="AM203" s="3">
        <v>25</v>
      </c>
      <c r="AN203" s="3">
        <v>9</v>
      </c>
      <c r="AO203" s="3">
        <v>9</v>
      </c>
      <c r="AP203" s="3">
        <v>0</v>
      </c>
      <c r="AQ203" s="3">
        <v>0</v>
      </c>
      <c r="AR203" s="2" t="s">
        <v>5</v>
      </c>
      <c r="AS203" s="2" t="s">
        <v>46</v>
      </c>
      <c r="AT203" s="5" t="str">
        <f>HYPERLINK("http://catalog.hathitrust.org/Record/000256397","HathiTrust Record")</f>
        <v>HathiTrust Record</v>
      </c>
      <c r="AU203" s="5" t="str">
        <f>HYPERLINK("https://creighton-primo.hosted.exlibrisgroup.com/primo-explore/search?tab=default_tab&amp;search_scope=EVERYTHING&amp;vid=01CRU&amp;lang=en_US&amp;offset=0&amp;query=any,contains,991004658859702656","Catalog Record")</f>
        <v>Catalog Record</v>
      </c>
      <c r="AV203" s="5" t="str">
        <f>HYPERLINK("http://www.worldcat.org/oclc/4496148","WorldCat Record")</f>
        <v>WorldCat Record</v>
      </c>
      <c r="AW203" s="2" t="s">
        <v>2720</v>
      </c>
      <c r="AX203" s="2" t="s">
        <v>2721</v>
      </c>
      <c r="AY203" s="2" t="s">
        <v>2722</v>
      </c>
      <c r="AZ203" s="2" t="s">
        <v>2722</v>
      </c>
      <c r="BA203" s="2" t="s">
        <v>2723</v>
      </c>
      <c r="BB203" s="2" t="s">
        <v>20</v>
      </c>
      <c r="BD203" s="2" t="s">
        <v>2724</v>
      </c>
      <c r="BE203" s="2" t="s">
        <v>2725</v>
      </c>
      <c r="BF203" s="2" t="s">
        <v>2726</v>
      </c>
    </row>
    <row r="204" spans="1:58" ht="39.75" customHeight="1" x14ac:dyDescent="0.25">
      <c r="A204" s="7" t="s">
        <v>5</v>
      </c>
      <c r="B204" s="1" t="s">
        <v>0</v>
      </c>
      <c r="C204" s="1" t="s">
        <v>1</v>
      </c>
      <c r="D204" s="1" t="s">
        <v>2727</v>
      </c>
      <c r="E204" s="1" t="s">
        <v>2728</v>
      </c>
      <c r="F204" s="1" t="s">
        <v>2729</v>
      </c>
      <c r="H204" s="2" t="s">
        <v>5</v>
      </c>
      <c r="I204" s="2" t="s">
        <v>6</v>
      </c>
      <c r="J204" s="2" t="s">
        <v>5</v>
      </c>
      <c r="K204" s="2" t="s">
        <v>5</v>
      </c>
      <c r="L204" s="2" t="s">
        <v>7</v>
      </c>
      <c r="M204" s="1" t="s">
        <v>2730</v>
      </c>
      <c r="N204" s="1" t="s">
        <v>2731</v>
      </c>
      <c r="O204" s="2" t="s">
        <v>108</v>
      </c>
      <c r="Q204" s="2" t="s">
        <v>60</v>
      </c>
      <c r="R204" s="2" t="s">
        <v>61</v>
      </c>
      <c r="T204" s="2" t="s">
        <v>13</v>
      </c>
      <c r="U204" s="3">
        <v>4</v>
      </c>
      <c r="V204" s="3">
        <v>4</v>
      </c>
      <c r="W204" s="4" t="s">
        <v>2732</v>
      </c>
      <c r="X204" s="4" t="s">
        <v>2732</v>
      </c>
      <c r="Y204" s="4" t="s">
        <v>556</v>
      </c>
      <c r="Z204" s="4" t="s">
        <v>556</v>
      </c>
      <c r="AA204" s="3">
        <v>206</v>
      </c>
      <c r="AB204" s="3">
        <v>191</v>
      </c>
      <c r="AC204" s="3">
        <v>1007</v>
      </c>
      <c r="AD204" s="3">
        <v>1</v>
      </c>
      <c r="AE204" s="9">
        <v>6</v>
      </c>
      <c r="AF204" s="9">
        <v>5</v>
      </c>
      <c r="AG204" s="9">
        <v>42</v>
      </c>
      <c r="AH204" s="3">
        <v>1</v>
      </c>
      <c r="AI204" s="3">
        <v>18</v>
      </c>
      <c r="AJ204" s="3">
        <v>2</v>
      </c>
      <c r="AK204" s="3">
        <v>10</v>
      </c>
      <c r="AL204" s="3">
        <v>3</v>
      </c>
      <c r="AM204" s="3">
        <v>22</v>
      </c>
      <c r="AN204" s="3">
        <v>0</v>
      </c>
      <c r="AO204" s="3">
        <v>4</v>
      </c>
      <c r="AP204" s="3">
        <v>0</v>
      </c>
      <c r="AQ204" s="3">
        <v>0</v>
      </c>
      <c r="AR204" s="2" t="s">
        <v>5</v>
      </c>
      <c r="AS204" s="2" t="s">
        <v>46</v>
      </c>
      <c r="AT204" s="5" t="str">
        <f>HYPERLINK("http://catalog.hathitrust.org/Record/007572987","HathiTrust Record")</f>
        <v>HathiTrust Record</v>
      </c>
      <c r="AU204" s="5" t="str">
        <f>HYPERLINK("https://creighton-primo.hosted.exlibrisgroup.com/primo-explore/search?tab=default_tab&amp;search_scope=EVERYTHING&amp;vid=01CRU&amp;lang=en_US&amp;offset=0&amp;query=any,contains,991002941539702656","Catalog Record")</f>
        <v>Catalog Record</v>
      </c>
      <c r="AV204" s="5" t="str">
        <f>HYPERLINK("http://www.worldcat.org/oclc/535294","WorldCat Record")</f>
        <v>WorldCat Record</v>
      </c>
      <c r="AW204" s="2" t="s">
        <v>2733</v>
      </c>
      <c r="AX204" s="2" t="s">
        <v>2734</v>
      </c>
      <c r="AY204" s="2" t="s">
        <v>2735</v>
      </c>
      <c r="AZ204" s="2" t="s">
        <v>2735</v>
      </c>
      <c r="BA204" s="2" t="s">
        <v>2736</v>
      </c>
      <c r="BB204" s="2" t="s">
        <v>20</v>
      </c>
      <c r="BD204" s="2" t="s">
        <v>2737</v>
      </c>
      <c r="BE204" s="2" t="s">
        <v>2738</v>
      </c>
      <c r="BF204" s="2" t="s">
        <v>2739</v>
      </c>
    </row>
    <row r="205" spans="1:58" ht="39.75" customHeight="1" x14ac:dyDescent="0.25">
      <c r="A205" s="7" t="s">
        <v>5</v>
      </c>
      <c r="B205" s="1" t="s">
        <v>0</v>
      </c>
      <c r="C205" s="1" t="s">
        <v>1</v>
      </c>
      <c r="D205" s="1" t="s">
        <v>2740</v>
      </c>
      <c r="E205" s="1" t="s">
        <v>2741</v>
      </c>
      <c r="F205" s="1" t="s">
        <v>2742</v>
      </c>
      <c r="H205" s="2" t="s">
        <v>5</v>
      </c>
      <c r="I205" s="2" t="s">
        <v>6</v>
      </c>
      <c r="J205" s="2" t="s">
        <v>5</v>
      </c>
      <c r="K205" s="2" t="s">
        <v>5</v>
      </c>
      <c r="L205" s="2" t="s">
        <v>7</v>
      </c>
      <c r="M205" s="1" t="s">
        <v>2743</v>
      </c>
      <c r="N205" s="1" t="s">
        <v>2744</v>
      </c>
      <c r="O205" s="2" t="s">
        <v>261</v>
      </c>
      <c r="Q205" s="2" t="s">
        <v>60</v>
      </c>
      <c r="R205" s="2" t="s">
        <v>61</v>
      </c>
      <c r="T205" s="2" t="s">
        <v>13</v>
      </c>
      <c r="U205" s="3">
        <v>5</v>
      </c>
      <c r="V205" s="3">
        <v>5</v>
      </c>
      <c r="W205" s="4" t="s">
        <v>2745</v>
      </c>
      <c r="X205" s="4" t="s">
        <v>2745</v>
      </c>
      <c r="Y205" s="4" t="s">
        <v>2653</v>
      </c>
      <c r="Z205" s="4" t="s">
        <v>2653</v>
      </c>
      <c r="AA205" s="3">
        <v>937</v>
      </c>
      <c r="AB205" s="3">
        <v>882</v>
      </c>
      <c r="AC205" s="3">
        <v>923</v>
      </c>
      <c r="AD205" s="3">
        <v>6</v>
      </c>
      <c r="AE205" s="9">
        <v>6</v>
      </c>
      <c r="AF205" s="9">
        <v>29</v>
      </c>
      <c r="AG205" s="9">
        <v>31</v>
      </c>
      <c r="AH205" s="3">
        <v>12</v>
      </c>
      <c r="AI205" s="3">
        <v>13</v>
      </c>
      <c r="AJ205" s="3">
        <v>8</v>
      </c>
      <c r="AK205" s="3">
        <v>8</v>
      </c>
      <c r="AL205" s="3">
        <v>10</v>
      </c>
      <c r="AM205" s="3">
        <v>12</v>
      </c>
      <c r="AN205" s="3">
        <v>4</v>
      </c>
      <c r="AO205" s="3">
        <v>4</v>
      </c>
      <c r="AP205" s="3">
        <v>0</v>
      </c>
      <c r="AQ205" s="3">
        <v>0</v>
      </c>
      <c r="AR205" s="2" t="s">
        <v>5</v>
      </c>
      <c r="AS205" s="2" t="s">
        <v>5</v>
      </c>
      <c r="AU205" s="5" t="str">
        <f>HYPERLINK("https://creighton-primo.hosted.exlibrisgroup.com/primo-explore/search?tab=default_tab&amp;search_scope=EVERYTHING&amp;vid=01CRU&amp;lang=en_US&amp;offset=0&amp;query=any,contains,991005211019702656","Catalog Record")</f>
        <v>Catalog Record</v>
      </c>
      <c r="AV205" s="5" t="str">
        <f>HYPERLINK("http://www.worldcat.org/oclc/8168979","WorldCat Record")</f>
        <v>WorldCat Record</v>
      </c>
      <c r="AW205" s="2" t="s">
        <v>2746</v>
      </c>
      <c r="AX205" s="2" t="s">
        <v>2747</v>
      </c>
      <c r="AY205" s="2" t="s">
        <v>2748</v>
      </c>
      <c r="AZ205" s="2" t="s">
        <v>2748</v>
      </c>
      <c r="BA205" s="2" t="s">
        <v>2749</v>
      </c>
      <c r="BB205" s="2" t="s">
        <v>20</v>
      </c>
      <c r="BD205" s="2" t="s">
        <v>2750</v>
      </c>
      <c r="BE205" s="2" t="s">
        <v>2751</v>
      </c>
      <c r="BF205" s="2" t="s">
        <v>2752</v>
      </c>
    </row>
    <row r="206" spans="1:58" ht="39.75" customHeight="1" x14ac:dyDescent="0.25">
      <c r="A206" s="7" t="s">
        <v>5</v>
      </c>
      <c r="B206" s="1" t="s">
        <v>0</v>
      </c>
      <c r="C206" s="1" t="s">
        <v>1</v>
      </c>
      <c r="D206" s="1" t="s">
        <v>2753</v>
      </c>
      <c r="E206" s="1" t="s">
        <v>2754</v>
      </c>
      <c r="F206" s="1" t="s">
        <v>2755</v>
      </c>
      <c r="H206" s="2" t="s">
        <v>5</v>
      </c>
      <c r="I206" s="2" t="s">
        <v>6</v>
      </c>
      <c r="J206" s="2" t="s">
        <v>5</v>
      </c>
      <c r="K206" s="2" t="s">
        <v>5</v>
      </c>
      <c r="L206" s="2" t="s">
        <v>7</v>
      </c>
      <c r="M206" s="1" t="s">
        <v>2756</v>
      </c>
      <c r="N206" s="1" t="s">
        <v>2757</v>
      </c>
      <c r="O206" s="2" t="s">
        <v>76</v>
      </c>
      <c r="Q206" s="2" t="s">
        <v>60</v>
      </c>
      <c r="R206" s="2" t="s">
        <v>2758</v>
      </c>
      <c r="T206" s="2" t="s">
        <v>13</v>
      </c>
      <c r="U206" s="3">
        <v>1</v>
      </c>
      <c r="V206" s="3">
        <v>1</v>
      </c>
      <c r="W206" s="4" t="s">
        <v>2759</v>
      </c>
      <c r="X206" s="4" t="s">
        <v>2759</v>
      </c>
      <c r="Y206" s="4" t="s">
        <v>556</v>
      </c>
      <c r="Z206" s="4" t="s">
        <v>556</v>
      </c>
      <c r="AA206" s="3">
        <v>1003</v>
      </c>
      <c r="AB206" s="3">
        <v>911</v>
      </c>
      <c r="AC206" s="3">
        <v>1076</v>
      </c>
      <c r="AD206" s="3">
        <v>5</v>
      </c>
      <c r="AE206" s="9">
        <v>7</v>
      </c>
      <c r="AF206" s="9">
        <v>36</v>
      </c>
      <c r="AG206" s="9">
        <v>43</v>
      </c>
      <c r="AH206" s="3">
        <v>15</v>
      </c>
      <c r="AI206" s="3">
        <v>18</v>
      </c>
      <c r="AJ206" s="3">
        <v>8</v>
      </c>
      <c r="AK206" s="3">
        <v>10</v>
      </c>
      <c r="AL206" s="3">
        <v>19</v>
      </c>
      <c r="AM206" s="3">
        <v>21</v>
      </c>
      <c r="AN206" s="3">
        <v>3</v>
      </c>
      <c r="AO206" s="3">
        <v>5</v>
      </c>
      <c r="AP206" s="3">
        <v>0</v>
      </c>
      <c r="AQ206" s="3">
        <v>0</v>
      </c>
      <c r="AR206" s="2" t="s">
        <v>5</v>
      </c>
      <c r="AS206" s="2" t="s">
        <v>5</v>
      </c>
      <c r="AU206" s="5" t="str">
        <f>HYPERLINK("https://creighton-primo.hosted.exlibrisgroup.com/primo-explore/search?tab=default_tab&amp;search_scope=EVERYTHING&amp;vid=01CRU&amp;lang=en_US&amp;offset=0&amp;query=any,contains,991002420889702656","Catalog Record")</f>
        <v>Catalog Record</v>
      </c>
      <c r="AV206" s="5" t="str">
        <f>HYPERLINK("http://www.worldcat.org/oclc/342770","WorldCat Record")</f>
        <v>WorldCat Record</v>
      </c>
      <c r="AW206" s="2" t="s">
        <v>2760</v>
      </c>
      <c r="AX206" s="2" t="s">
        <v>2761</v>
      </c>
      <c r="AY206" s="2" t="s">
        <v>2762</v>
      </c>
      <c r="AZ206" s="2" t="s">
        <v>2762</v>
      </c>
      <c r="BA206" s="2" t="s">
        <v>2763</v>
      </c>
      <c r="BB206" s="2" t="s">
        <v>20</v>
      </c>
      <c r="BE206" s="2" t="s">
        <v>2764</v>
      </c>
      <c r="BF206" s="2" t="s">
        <v>2765</v>
      </c>
    </row>
    <row r="207" spans="1:58" ht="39.75" customHeight="1" x14ac:dyDescent="0.25">
      <c r="A207" s="7" t="s">
        <v>5</v>
      </c>
      <c r="B207" s="1" t="s">
        <v>0</v>
      </c>
      <c r="C207" s="1" t="s">
        <v>1</v>
      </c>
      <c r="D207" s="1" t="s">
        <v>2766</v>
      </c>
      <c r="E207" s="1" t="s">
        <v>2767</v>
      </c>
      <c r="F207" s="1" t="s">
        <v>2768</v>
      </c>
      <c r="H207" s="2" t="s">
        <v>5</v>
      </c>
      <c r="I207" s="2" t="s">
        <v>6</v>
      </c>
      <c r="J207" s="2" t="s">
        <v>5</v>
      </c>
      <c r="K207" s="2" t="s">
        <v>5</v>
      </c>
      <c r="L207" s="2" t="s">
        <v>7</v>
      </c>
      <c r="M207" s="1" t="s">
        <v>2769</v>
      </c>
      <c r="N207" s="1" t="s">
        <v>2770</v>
      </c>
      <c r="O207" s="2" t="s">
        <v>121</v>
      </c>
      <c r="Q207" s="2" t="s">
        <v>60</v>
      </c>
      <c r="R207" s="2" t="s">
        <v>61</v>
      </c>
      <c r="S207" s="1" t="s">
        <v>2771</v>
      </c>
      <c r="T207" s="2" t="s">
        <v>13</v>
      </c>
      <c r="U207" s="3">
        <v>1</v>
      </c>
      <c r="V207" s="3">
        <v>1</v>
      </c>
      <c r="W207" s="4" t="s">
        <v>2681</v>
      </c>
      <c r="X207" s="4" t="s">
        <v>2681</v>
      </c>
      <c r="Y207" s="4" t="s">
        <v>2772</v>
      </c>
      <c r="Z207" s="4" t="s">
        <v>2772</v>
      </c>
      <c r="AA207" s="3">
        <v>902</v>
      </c>
      <c r="AB207" s="3">
        <v>840</v>
      </c>
      <c r="AC207" s="3">
        <v>879</v>
      </c>
      <c r="AD207" s="3">
        <v>3</v>
      </c>
      <c r="AE207" s="9">
        <v>3</v>
      </c>
      <c r="AF207" s="9">
        <v>24</v>
      </c>
      <c r="AG207" s="9">
        <v>24</v>
      </c>
      <c r="AH207" s="3">
        <v>9</v>
      </c>
      <c r="AI207" s="3">
        <v>9</v>
      </c>
      <c r="AJ207" s="3">
        <v>7</v>
      </c>
      <c r="AK207" s="3">
        <v>7</v>
      </c>
      <c r="AL207" s="3">
        <v>12</v>
      </c>
      <c r="AM207" s="3">
        <v>12</v>
      </c>
      <c r="AN207" s="3">
        <v>2</v>
      </c>
      <c r="AO207" s="3">
        <v>2</v>
      </c>
      <c r="AP207" s="3">
        <v>0</v>
      </c>
      <c r="AQ207" s="3">
        <v>0</v>
      </c>
      <c r="AR207" s="2" t="s">
        <v>5</v>
      </c>
      <c r="AS207" s="2" t="s">
        <v>46</v>
      </c>
      <c r="AT207" s="5" t="str">
        <f>HYPERLINK("http://catalog.hathitrust.org/Record/001205062","HathiTrust Record")</f>
        <v>HathiTrust Record</v>
      </c>
      <c r="AU207" s="5" t="str">
        <f>HYPERLINK("https://creighton-primo.hosted.exlibrisgroup.com/primo-explore/search?tab=default_tab&amp;search_scope=EVERYTHING&amp;vid=01CRU&amp;lang=en_US&amp;offset=0&amp;query=any,contains,991000040749702656","Catalog Record")</f>
        <v>Catalog Record</v>
      </c>
      <c r="AV207" s="5" t="str">
        <f>HYPERLINK("http://www.worldcat.org/oclc/21735","WorldCat Record")</f>
        <v>WorldCat Record</v>
      </c>
      <c r="AW207" s="2" t="s">
        <v>2773</v>
      </c>
      <c r="AX207" s="2" t="s">
        <v>2774</v>
      </c>
      <c r="AY207" s="2" t="s">
        <v>2775</v>
      </c>
      <c r="AZ207" s="2" t="s">
        <v>2775</v>
      </c>
      <c r="BA207" s="2" t="s">
        <v>2776</v>
      </c>
      <c r="BB207" s="2" t="s">
        <v>20</v>
      </c>
      <c r="BD207" s="2" t="s">
        <v>2777</v>
      </c>
      <c r="BE207" s="2" t="s">
        <v>2778</v>
      </c>
      <c r="BF207" s="2" t="s">
        <v>2779</v>
      </c>
    </row>
    <row r="208" spans="1:58" ht="39.75" customHeight="1" x14ac:dyDescent="0.25">
      <c r="A208" s="7" t="s">
        <v>5</v>
      </c>
      <c r="B208" s="1" t="s">
        <v>0</v>
      </c>
      <c r="C208" s="1" t="s">
        <v>1</v>
      </c>
      <c r="D208" s="1" t="s">
        <v>2780</v>
      </c>
      <c r="E208" s="1" t="s">
        <v>2781</v>
      </c>
      <c r="F208" s="1" t="s">
        <v>2782</v>
      </c>
      <c r="H208" s="2" t="s">
        <v>5</v>
      </c>
      <c r="I208" s="2" t="s">
        <v>6</v>
      </c>
      <c r="J208" s="2" t="s">
        <v>5</v>
      </c>
      <c r="K208" s="2" t="s">
        <v>5</v>
      </c>
      <c r="L208" s="2" t="s">
        <v>7</v>
      </c>
      <c r="M208" s="1" t="s">
        <v>2783</v>
      </c>
      <c r="N208" s="1" t="s">
        <v>2784</v>
      </c>
      <c r="O208" s="2" t="s">
        <v>584</v>
      </c>
      <c r="Q208" s="2" t="s">
        <v>60</v>
      </c>
      <c r="R208" s="2" t="s">
        <v>61</v>
      </c>
      <c r="S208" s="1" t="s">
        <v>2785</v>
      </c>
      <c r="T208" s="2" t="s">
        <v>13</v>
      </c>
      <c r="U208" s="3">
        <v>6</v>
      </c>
      <c r="V208" s="3">
        <v>6</v>
      </c>
      <c r="W208" s="4" t="s">
        <v>2640</v>
      </c>
      <c r="X208" s="4" t="s">
        <v>2640</v>
      </c>
      <c r="Y208" s="4" t="s">
        <v>1680</v>
      </c>
      <c r="Z208" s="4" t="s">
        <v>1680</v>
      </c>
      <c r="AA208" s="3">
        <v>224</v>
      </c>
      <c r="AB208" s="3">
        <v>217</v>
      </c>
      <c r="AC208" s="3">
        <v>544</v>
      </c>
      <c r="AD208" s="3">
        <v>2</v>
      </c>
      <c r="AE208" s="9">
        <v>2</v>
      </c>
      <c r="AF208" s="9">
        <v>8</v>
      </c>
      <c r="AG208" s="9">
        <v>24</v>
      </c>
      <c r="AH208" s="3">
        <v>1</v>
      </c>
      <c r="AI208" s="3">
        <v>11</v>
      </c>
      <c r="AJ208" s="3">
        <v>1</v>
      </c>
      <c r="AK208" s="3">
        <v>4</v>
      </c>
      <c r="AL208" s="3">
        <v>6</v>
      </c>
      <c r="AM208" s="3">
        <v>15</v>
      </c>
      <c r="AN208" s="3">
        <v>1</v>
      </c>
      <c r="AO208" s="3">
        <v>1</v>
      </c>
      <c r="AP208" s="3">
        <v>0</v>
      </c>
      <c r="AQ208" s="3">
        <v>0</v>
      </c>
      <c r="AR208" s="2" t="s">
        <v>5</v>
      </c>
      <c r="AS208" s="2" t="s">
        <v>5</v>
      </c>
      <c r="AT208" s="5" t="str">
        <f>HYPERLINK("http://catalog.hathitrust.org/Record/102033865","HathiTrust Record")</f>
        <v>HathiTrust Record</v>
      </c>
      <c r="AU208" s="5" t="str">
        <f>HYPERLINK("https://creighton-primo.hosted.exlibrisgroup.com/primo-explore/search?tab=default_tab&amp;search_scope=EVERYTHING&amp;vid=01CRU&amp;lang=en_US&amp;offset=0&amp;query=any,contains,991004154979702656","Catalog Record")</f>
        <v>Catalog Record</v>
      </c>
      <c r="AV208" s="5" t="str">
        <f>HYPERLINK("http://www.worldcat.org/oclc/2538156","WorldCat Record")</f>
        <v>WorldCat Record</v>
      </c>
      <c r="AW208" s="2" t="s">
        <v>2786</v>
      </c>
      <c r="AX208" s="2" t="s">
        <v>2787</v>
      </c>
      <c r="AY208" s="2" t="s">
        <v>2788</v>
      </c>
      <c r="AZ208" s="2" t="s">
        <v>2788</v>
      </c>
      <c r="BA208" s="2" t="s">
        <v>2789</v>
      </c>
      <c r="BB208" s="2" t="s">
        <v>20</v>
      </c>
      <c r="BE208" s="2" t="s">
        <v>2790</v>
      </c>
      <c r="BF208" s="2" t="s">
        <v>2791</v>
      </c>
    </row>
    <row r="209" spans="1:58" ht="39.75" customHeight="1" x14ac:dyDescent="0.25">
      <c r="A209" s="7" t="s">
        <v>5</v>
      </c>
      <c r="B209" s="1" t="s">
        <v>0</v>
      </c>
      <c r="C209" s="1" t="s">
        <v>1</v>
      </c>
      <c r="D209" s="1" t="s">
        <v>2792</v>
      </c>
      <c r="E209" s="1" t="s">
        <v>2793</v>
      </c>
      <c r="F209" s="1" t="s">
        <v>2794</v>
      </c>
      <c r="H209" s="2" t="s">
        <v>5</v>
      </c>
      <c r="I209" s="2" t="s">
        <v>6</v>
      </c>
      <c r="J209" s="2" t="s">
        <v>5</v>
      </c>
      <c r="K209" s="2" t="s">
        <v>5</v>
      </c>
      <c r="L209" s="2" t="s">
        <v>7</v>
      </c>
      <c r="M209" s="1" t="s">
        <v>2795</v>
      </c>
      <c r="N209" s="1" t="s">
        <v>2796</v>
      </c>
      <c r="O209" s="2" t="s">
        <v>508</v>
      </c>
      <c r="Q209" s="2" t="s">
        <v>60</v>
      </c>
      <c r="R209" s="2" t="s">
        <v>43</v>
      </c>
      <c r="T209" s="2" t="s">
        <v>13</v>
      </c>
      <c r="U209" s="3">
        <v>1</v>
      </c>
      <c r="V209" s="3">
        <v>1</v>
      </c>
      <c r="W209" s="4" t="s">
        <v>2797</v>
      </c>
      <c r="X209" s="4" t="s">
        <v>2797</v>
      </c>
      <c r="Y209" s="4" t="s">
        <v>2797</v>
      </c>
      <c r="Z209" s="4" t="s">
        <v>2797</v>
      </c>
      <c r="AA209" s="3">
        <v>190</v>
      </c>
      <c r="AB209" s="3">
        <v>159</v>
      </c>
      <c r="AC209" s="3">
        <v>164</v>
      </c>
      <c r="AD209" s="3">
        <v>3</v>
      </c>
      <c r="AE209" s="9">
        <v>3</v>
      </c>
      <c r="AF209" s="9">
        <v>11</v>
      </c>
      <c r="AG209" s="9">
        <v>11</v>
      </c>
      <c r="AH209" s="3">
        <v>2</v>
      </c>
      <c r="AI209" s="3">
        <v>2</v>
      </c>
      <c r="AJ209" s="3">
        <v>4</v>
      </c>
      <c r="AK209" s="3">
        <v>4</v>
      </c>
      <c r="AL209" s="3">
        <v>6</v>
      </c>
      <c r="AM209" s="3">
        <v>6</v>
      </c>
      <c r="AN209" s="3">
        <v>2</v>
      </c>
      <c r="AO209" s="3">
        <v>2</v>
      </c>
      <c r="AP209" s="3">
        <v>0</v>
      </c>
      <c r="AQ209" s="3">
        <v>0</v>
      </c>
      <c r="AR209" s="2" t="s">
        <v>5</v>
      </c>
      <c r="AS209" s="2" t="s">
        <v>46</v>
      </c>
      <c r="AT209" s="5" t="str">
        <f>HYPERLINK("http://catalog.hathitrust.org/Record/004140164","HathiTrust Record")</f>
        <v>HathiTrust Record</v>
      </c>
      <c r="AU209" s="5" t="str">
        <f>HYPERLINK("https://creighton-primo.hosted.exlibrisgroup.com/primo-explore/search?tab=default_tab&amp;search_scope=EVERYTHING&amp;vid=01CRU&amp;lang=en_US&amp;offset=0&amp;query=any,contains,991004342379702656","Catalog Record")</f>
        <v>Catalog Record</v>
      </c>
      <c r="AV209" s="5" t="str">
        <f>HYPERLINK("http://www.worldcat.org/oclc/44681860","WorldCat Record")</f>
        <v>WorldCat Record</v>
      </c>
      <c r="AW209" s="2" t="s">
        <v>2798</v>
      </c>
      <c r="AX209" s="2" t="s">
        <v>2799</v>
      </c>
      <c r="AY209" s="2" t="s">
        <v>2800</v>
      </c>
      <c r="AZ209" s="2" t="s">
        <v>2800</v>
      </c>
      <c r="BA209" s="2" t="s">
        <v>2801</v>
      </c>
      <c r="BB209" s="2" t="s">
        <v>20</v>
      </c>
      <c r="BD209" s="2" t="s">
        <v>2802</v>
      </c>
      <c r="BE209" s="2" t="s">
        <v>2803</v>
      </c>
      <c r="BF209" s="2" t="s">
        <v>2804</v>
      </c>
    </row>
    <row r="210" spans="1:58" ht="39.75" customHeight="1" x14ac:dyDescent="0.25">
      <c r="A210" s="7" t="s">
        <v>5</v>
      </c>
      <c r="B210" s="1" t="s">
        <v>0</v>
      </c>
      <c r="C210" s="1" t="s">
        <v>1</v>
      </c>
      <c r="D210" s="1" t="s">
        <v>2805</v>
      </c>
      <c r="E210" s="1" t="s">
        <v>2806</v>
      </c>
      <c r="F210" s="1" t="s">
        <v>2807</v>
      </c>
      <c r="H210" s="2" t="s">
        <v>5</v>
      </c>
      <c r="I210" s="2" t="s">
        <v>6</v>
      </c>
      <c r="J210" s="2" t="s">
        <v>5</v>
      </c>
      <c r="K210" s="2" t="s">
        <v>5</v>
      </c>
      <c r="L210" s="2" t="s">
        <v>7</v>
      </c>
      <c r="M210" s="1" t="s">
        <v>2421</v>
      </c>
      <c r="N210" s="1" t="s">
        <v>351</v>
      </c>
      <c r="O210" s="2" t="s">
        <v>162</v>
      </c>
      <c r="Q210" s="2" t="s">
        <v>60</v>
      </c>
      <c r="R210" s="2" t="s">
        <v>61</v>
      </c>
      <c r="S210" s="1" t="s">
        <v>2808</v>
      </c>
      <c r="T210" s="2" t="s">
        <v>13</v>
      </c>
      <c r="U210" s="3">
        <v>3</v>
      </c>
      <c r="V210" s="3">
        <v>3</v>
      </c>
      <c r="W210" s="4" t="s">
        <v>2532</v>
      </c>
      <c r="X210" s="4" t="s">
        <v>2532</v>
      </c>
      <c r="Y210" s="4" t="s">
        <v>2809</v>
      </c>
      <c r="Z210" s="4" t="s">
        <v>2809</v>
      </c>
      <c r="AA210" s="3">
        <v>790</v>
      </c>
      <c r="AB210" s="3">
        <v>707</v>
      </c>
      <c r="AC210" s="3">
        <v>1022</v>
      </c>
      <c r="AD210" s="3">
        <v>5</v>
      </c>
      <c r="AE210" s="9">
        <v>7</v>
      </c>
      <c r="AF210" s="9">
        <v>30</v>
      </c>
      <c r="AG210" s="9">
        <v>41</v>
      </c>
      <c r="AH210" s="3">
        <v>14</v>
      </c>
      <c r="AI210" s="3">
        <v>18</v>
      </c>
      <c r="AJ210" s="3">
        <v>4</v>
      </c>
      <c r="AK210" s="3">
        <v>7</v>
      </c>
      <c r="AL210" s="3">
        <v>17</v>
      </c>
      <c r="AM210" s="3">
        <v>21</v>
      </c>
      <c r="AN210" s="3">
        <v>4</v>
      </c>
      <c r="AO210" s="3">
        <v>6</v>
      </c>
      <c r="AP210" s="3">
        <v>0</v>
      </c>
      <c r="AQ210" s="3">
        <v>0</v>
      </c>
      <c r="AR210" s="2" t="s">
        <v>5</v>
      </c>
      <c r="AS210" s="2" t="s">
        <v>46</v>
      </c>
      <c r="AT210" s="5" t="str">
        <f>HYPERLINK("http://catalog.hathitrust.org/Record/001205767","HathiTrust Record")</f>
        <v>HathiTrust Record</v>
      </c>
      <c r="AU210" s="5" t="str">
        <f>HYPERLINK("https://creighton-primo.hosted.exlibrisgroup.com/primo-explore/search?tab=default_tab&amp;search_scope=EVERYTHING&amp;vid=01CRU&amp;lang=en_US&amp;offset=0&amp;query=any,contains,991000577839702656","Catalog Record")</f>
        <v>Catalog Record</v>
      </c>
      <c r="AV210" s="5" t="str">
        <f>HYPERLINK("http://www.worldcat.org/oclc/95125","WorldCat Record")</f>
        <v>WorldCat Record</v>
      </c>
      <c r="AW210" s="2" t="s">
        <v>2810</v>
      </c>
      <c r="AX210" s="2" t="s">
        <v>2811</v>
      </c>
      <c r="AY210" s="2" t="s">
        <v>2812</v>
      </c>
      <c r="AZ210" s="2" t="s">
        <v>2812</v>
      </c>
      <c r="BA210" s="2" t="s">
        <v>2813</v>
      </c>
      <c r="BB210" s="2" t="s">
        <v>20</v>
      </c>
      <c r="BE210" s="2" t="s">
        <v>2814</v>
      </c>
      <c r="BF210" s="2" t="s">
        <v>2815</v>
      </c>
    </row>
    <row r="211" spans="1:58" ht="39.75" customHeight="1" x14ac:dyDescent="0.25">
      <c r="A211" s="7" t="s">
        <v>5</v>
      </c>
      <c r="B211" s="1" t="s">
        <v>0</v>
      </c>
      <c r="C211" s="1" t="s">
        <v>1</v>
      </c>
      <c r="D211" s="1" t="s">
        <v>2816</v>
      </c>
      <c r="E211" s="1" t="s">
        <v>2817</v>
      </c>
      <c r="F211" s="1" t="s">
        <v>2818</v>
      </c>
      <c r="H211" s="2" t="s">
        <v>5</v>
      </c>
      <c r="I211" s="2" t="s">
        <v>6</v>
      </c>
      <c r="J211" s="2" t="s">
        <v>5</v>
      </c>
      <c r="K211" s="2" t="s">
        <v>5</v>
      </c>
      <c r="L211" s="2" t="s">
        <v>7</v>
      </c>
      <c r="M211" s="1" t="s">
        <v>2819</v>
      </c>
      <c r="N211" s="1" t="s">
        <v>2820</v>
      </c>
      <c r="O211" s="2" t="s">
        <v>886</v>
      </c>
      <c r="Q211" s="2" t="s">
        <v>60</v>
      </c>
      <c r="R211" s="2" t="s">
        <v>61</v>
      </c>
      <c r="S211" s="1" t="s">
        <v>2771</v>
      </c>
      <c r="T211" s="2" t="s">
        <v>13</v>
      </c>
      <c r="U211" s="3">
        <v>2</v>
      </c>
      <c r="V211" s="3">
        <v>2</v>
      </c>
      <c r="W211" s="4" t="s">
        <v>2821</v>
      </c>
      <c r="X211" s="4" t="s">
        <v>2821</v>
      </c>
      <c r="Y211" s="4" t="s">
        <v>2822</v>
      </c>
      <c r="Z211" s="4" t="s">
        <v>2822</v>
      </c>
      <c r="AA211" s="3">
        <v>920</v>
      </c>
      <c r="AB211" s="3">
        <v>853</v>
      </c>
      <c r="AC211" s="3">
        <v>865</v>
      </c>
      <c r="AD211" s="3">
        <v>5</v>
      </c>
      <c r="AE211" s="9">
        <v>5</v>
      </c>
      <c r="AF211" s="9">
        <v>29</v>
      </c>
      <c r="AG211" s="9">
        <v>29</v>
      </c>
      <c r="AH211" s="3">
        <v>14</v>
      </c>
      <c r="AI211" s="3">
        <v>14</v>
      </c>
      <c r="AJ211" s="3">
        <v>6</v>
      </c>
      <c r="AK211" s="3">
        <v>6</v>
      </c>
      <c r="AL211" s="3">
        <v>13</v>
      </c>
      <c r="AM211" s="3">
        <v>13</v>
      </c>
      <c r="AN211" s="3">
        <v>3</v>
      </c>
      <c r="AO211" s="3">
        <v>3</v>
      </c>
      <c r="AP211" s="3">
        <v>0</v>
      </c>
      <c r="AQ211" s="3">
        <v>0</v>
      </c>
      <c r="AR211" s="2" t="s">
        <v>5</v>
      </c>
      <c r="AS211" s="2" t="s">
        <v>46</v>
      </c>
      <c r="AT211" s="5" t="str">
        <f>HYPERLINK("http://catalog.hathitrust.org/Record/001003955","HathiTrust Record")</f>
        <v>HathiTrust Record</v>
      </c>
      <c r="AU211" s="5" t="str">
        <f>HYPERLINK("https://creighton-primo.hosted.exlibrisgroup.com/primo-explore/search?tab=default_tab&amp;search_scope=EVERYTHING&amp;vid=01CRU&amp;lang=en_US&amp;offset=0&amp;query=any,contains,991003366829702656","Catalog Record")</f>
        <v>Catalog Record</v>
      </c>
      <c r="AV211" s="5" t="str">
        <f>HYPERLINK("http://www.worldcat.org/oclc/902480","WorldCat Record")</f>
        <v>WorldCat Record</v>
      </c>
      <c r="AW211" s="2" t="s">
        <v>2823</v>
      </c>
      <c r="AX211" s="2" t="s">
        <v>2824</v>
      </c>
      <c r="AY211" s="2" t="s">
        <v>2825</v>
      </c>
      <c r="AZ211" s="2" t="s">
        <v>2825</v>
      </c>
      <c r="BA211" s="2" t="s">
        <v>2826</v>
      </c>
      <c r="BB211" s="2" t="s">
        <v>20</v>
      </c>
      <c r="BD211" s="2" t="s">
        <v>2827</v>
      </c>
      <c r="BE211" s="2" t="s">
        <v>2828</v>
      </c>
      <c r="BF211" s="2" t="s">
        <v>2829</v>
      </c>
    </row>
    <row r="212" spans="1:58" ht="39.75" customHeight="1" x14ac:dyDescent="0.25">
      <c r="A212" s="7" t="s">
        <v>5</v>
      </c>
      <c r="B212" s="1" t="s">
        <v>0</v>
      </c>
      <c r="C212" s="1" t="s">
        <v>1</v>
      </c>
      <c r="D212" s="1" t="s">
        <v>2830</v>
      </c>
      <c r="E212" s="1" t="s">
        <v>2831</v>
      </c>
      <c r="F212" s="1" t="s">
        <v>2832</v>
      </c>
      <c r="H212" s="2" t="s">
        <v>5</v>
      </c>
      <c r="I212" s="2" t="s">
        <v>6</v>
      </c>
      <c r="J212" s="2" t="s">
        <v>5</v>
      </c>
      <c r="K212" s="2" t="s">
        <v>5</v>
      </c>
      <c r="L212" s="2" t="s">
        <v>7</v>
      </c>
      <c r="M212" s="1" t="s">
        <v>2833</v>
      </c>
      <c r="N212" s="1" t="s">
        <v>2834</v>
      </c>
      <c r="O212" s="2" t="s">
        <v>27</v>
      </c>
      <c r="Q212" s="2" t="s">
        <v>60</v>
      </c>
      <c r="R212" s="2" t="s">
        <v>1873</v>
      </c>
      <c r="T212" s="2" t="s">
        <v>13</v>
      </c>
      <c r="U212" s="3">
        <v>2</v>
      </c>
      <c r="V212" s="3">
        <v>2</v>
      </c>
      <c r="W212" s="4" t="s">
        <v>2835</v>
      </c>
      <c r="X212" s="4" t="s">
        <v>2835</v>
      </c>
      <c r="Y212" s="4" t="s">
        <v>1352</v>
      </c>
      <c r="Z212" s="4" t="s">
        <v>1352</v>
      </c>
      <c r="AA212" s="3">
        <v>463</v>
      </c>
      <c r="AB212" s="3">
        <v>393</v>
      </c>
      <c r="AC212" s="3">
        <v>395</v>
      </c>
      <c r="AD212" s="3">
        <v>4</v>
      </c>
      <c r="AE212" s="9">
        <v>4</v>
      </c>
      <c r="AF212" s="9">
        <v>25</v>
      </c>
      <c r="AG212" s="9">
        <v>25</v>
      </c>
      <c r="AH212" s="3">
        <v>9</v>
      </c>
      <c r="AI212" s="3">
        <v>9</v>
      </c>
      <c r="AJ212" s="3">
        <v>9</v>
      </c>
      <c r="AK212" s="3">
        <v>9</v>
      </c>
      <c r="AL212" s="3">
        <v>14</v>
      </c>
      <c r="AM212" s="3">
        <v>14</v>
      </c>
      <c r="AN212" s="3">
        <v>3</v>
      </c>
      <c r="AO212" s="3">
        <v>3</v>
      </c>
      <c r="AP212" s="3">
        <v>0</v>
      </c>
      <c r="AQ212" s="3">
        <v>0</v>
      </c>
      <c r="AR212" s="2" t="s">
        <v>5</v>
      </c>
      <c r="AS212" s="2" t="s">
        <v>46</v>
      </c>
      <c r="AT212" s="5" t="str">
        <f>HYPERLINK("http://catalog.hathitrust.org/Record/002633186","HathiTrust Record")</f>
        <v>HathiTrust Record</v>
      </c>
      <c r="AU212" s="5" t="str">
        <f>HYPERLINK("https://creighton-primo.hosted.exlibrisgroup.com/primo-explore/search?tab=default_tab&amp;search_scope=EVERYTHING&amp;vid=01CRU&amp;lang=en_US&amp;offset=0&amp;query=any,contains,991002059149702656","Catalog Record")</f>
        <v>Catalog Record</v>
      </c>
      <c r="AV212" s="5" t="str">
        <f>HYPERLINK("http://www.worldcat.org/oclc/26353994","WorldCat Record")</f>
        <v>WorldCat Record</v>
      </c>
      <c r="AW212" s="2" t="s">
        <v>2836</v>
      </c>
      <c r="AX212" s="2" t="s">
        <v>2837</v>
      </c>
      <c r="AY212" s="2" t="s">
        <v>2838</v>
      </c>
      <c r="AZ212" s="2" t="s">
        <v>2838</v>
      </c>
      <c r="BA212" s="2" t="s">
        <v>2839</v>
      </c>
      <c r="BB212" s="2" t="s">
        <v>20</v>
      </c>
      <c r="BD212" s="2" t="s">
        <v>2840</v>
      </c>
      <c r="BE212" s="2" t="s">
        <v>2841</v>
      </c>
      <c r="BF212" s="2" t="s">
        <v>2842</v>
      </c>
    </row>
    <row r="213" spans="1:58" ht="39.75" customHeight="1" x14ac:dyDescent="0.25">
      <c r="A213" s="7" t="s">
        <v>5</v>
      </c>
      <c r="B213" s="1" t="s">
        <v>0</v>
      </c>
      <c r="C213" s="1" t="s">
        <v>1</v>
      </c>
      <c r="D213" s="1" t="s">
        <v>2843</v>
      </c>
      <c r="E213" s="1" t="s">
        <v>2844</v>
      </c>
      <c r="F213" s="1" t="s">
        <v>2845</v>
      </c>
      <c r="H213" s="2" t="s">
        <v>5</v>
      </c>
      <c r="I213" s="2" t="s">
        <v>6</v>
      </c>
      <c r="J213" s="2" t="s">
        <v>5</v>
      </c>
      <c r="K213" s="2" t="s">
        <v>5</v>
      </c>
      <c r="L213" s="2" t="s">
        <v>7</v>
      </c>
      <c r="M213" s="1" t="s">
        <v>2846</v>
      </c>
      <c r="N213" s="1" t="s">
        <v>2847</v>
      </c>
      <c r="O213" s="2" t="s">
        <v>791</v>
      </c>
      <c r="P213" s="1" t="s">
        <v>1377</v>
      </c>
      <c r="Q213" s="2" t="s">
        <v>60</v>
      </c>
      <c r="R213" s="2" t="s">
        <v>61</v>
      </c>
      <c r="T213" s="2" t="s">
        <v>13</v>
      </c>
      <c r="U213" s="3">
        <v>4</v>
      </c>
      <c r="V213" s="3">
        <v>4</v>
      </c>
      <c r="W213" s="4" t="s">
        <v>2478</v>
      </c>
      <c r="X213" s="4" t="s">
        <v>2478</v>
      </c>
      <c r="Y213" s="4" t="s">
        <v>2264</v>
      </c>
      <c r="Z213" s="4" t="s">
        <v>2264</v>
      </c>
      <c r="AA213" s="3">
        <v>630</v>
      </c>
      <c r="AB213" s="3">
        <v>601</v>
      </c>
      <c r="AC213" s="3">
        <v>738</v>
      </c>
      <c r="AD213" s="3">
        <v>1</v>
      </c>
      <c r="AE213" s="9">
        <v>3</v>
      </c>
      <c r="AF213" s="9">
        <v>13</v>
      </c>
      <c r="AG213" s="9">
        <v>19</v>
      </c>
      <c r="AH213" s="3">
        <v>2</v>
      </c>
      <c r="AI213" s="3">
        <v>5</v>
      </c>
      <c r="AJ213" s="3">
        <v>5</v>
      </c>
      <c r="AK213" s="3">
        <v>6</v>
      </c>
      <c r="AL213" s="3">
        <v>9</v>
      </c>
      <c r="AM213" s="3">
        <v>10</v>
      </c>
      <c r="AN213" s="3">
        <v>0</v>
      </c>
      <c r="AO213" s="3">
        <v>2</v>
      </c>
      <c r="AP213" s="3">
        <v>0</v>
      </c>
      <c r="AQ213" s="3">
        <v>0</v>
      </c>
      <c r="AR213" s="2" t="s">
        <v>5</v>
      </c>
      <c r="AS213" s="2" t="s">
        <v>5</v>
      </c>
      <c r="AU213" s="5" t="str">
        <f>HYPERLINK("https://creighton-primo.hosted.exlibrisgroup.com/primo-explore/search?tab=default_tab&amp;search_scope=EVERYTHING&amp;vid=01CRU&amp;lang=en_US&amp;offset=0&amp;query=any,contains,991003897619702656","Catalog Record")</f>
        <v>Catalog Record</v>
      </c>
      <c r="AV213" s="5" t="str">
        <f>HYPERLINK("http://www.worldcat.org/oclc/1815078","WorldCat Record")</f>
        <v>WorldCat Record</v>
      </c>
      <c r="AW213" s="2" t="s">
        <v>2848</v>
      </c>
      <c r="AX213" s="2" t="s">
        <v>2849</v>
      </c>
      <c r="AY213" s="2" t="s">
        <v>2850</v>
      </c>
      <c r="AZ213" s="2" t="s">
        <v>2850</v>
      </c>
      <c r="BA213" s="2" t="s">
        <v>2851</v>
      </c>
      <c r="BB213" s="2" t="s">
        <v>20</v>
      </c>
      <c r="BD213" s="2" t="s">
        <v>2852</v>
      </c>
      <c r="BE213" s="2" t="s">
        <v>2853</v>
      </c>
      <c r="BF213" s="2" t="s">
        <v>2854</v>
      </c>
    </row>
    <row r="214" spans="1:58" ht="39.75" customHeight="1" x14ac:dyDescent="0.25">
      <c r="A214" s="7" t="s">
        <v>5</v>
      </c>
      <c r="B214" s="1" t="s">
        <v>0</v>
      </c>
      <c r="C214" s="1" t="s">
        <v>1</v>
      </c>
      <c r="D214" s="1" t="s">
        <v>2855</v>
      </c>
      <c r="E214" s="1" t="s">
        <v>2856</v>
      </c>
      <c r="F214" s="1" t="s">
        <v>2857</v>
      </c>
      <c r="H214" s="2" t="s">
        <v>5</v>
      </c>
      <c r="I214" s="2" t="s">
        <v>6</v>
      </c>
      <c r="J214" s="2" t="s">
        <v>5</v>
      </c>
      <c r="K214" s="2" t="s">
        <v>5</v>
      </c>
      <c r="L214" s="2" t="s">
        <v>7</v>
      </c>
      <c r="M214" s="1" t="s">
        <v>1486</v>
      </c>
      <c r="N214" s="1" t="s">
        <v>2858</v>
      </c>
      <c r="O214" s="2" t="s">
        <v>2859</v>
      </c>
      <c r="Q214" s="2" t="s">
        <v>60</v>
      </c>
      <c r="R214" s="2" t="s">
        <v>61</v>
      </c>
      <c r="T214" s="2" t="s">
        <v>13</v>
      </c>
      <c r="U214" s="3">
        <v>2</v>
      </c>
      <c r="V214" s="3">
        <v>2</v>
      </c>
      <c r="W214" s="4" t="s">
        <v>2835</v>
      </c>
      <c r="X214" s="4" t="s">
        <v>2835</v>
      </c>
      <c r="Y214" s="4" t="s">
        <v>2653</v>
      </c>
      <c r="Z214" s="4" t="s">
        <v>2653</v>
      </c>
      <c r="AA214" s="3">
        <v>349</v>
      </c>
      <c r="AB214" s="3">
        <v>340</v>
      </c>
      <c r="AC214" s="3">
        <v>465</v>
      </c>
      <c r="AD214" s="3">
        <v>1</v>
      </c>
      <c r="AE214" s="9">
        <v>2</v>
      </c>
      <c r="AF214" s="9">
        <v>10</v>
      </c>
      <c r="AG214" s="9">
        <v>14</v>
      </c>
      <c r="AH214" s="3">
        <v>5</v>
      </c>
      <c r="AI214" s="3">
        <v>6</v>
      </c>
      <c r="AJ214" s="3">
        <v>3</v>
      </c>
      <c r="AK214" s="3">
        <v>5</v>
      </c>
      <c r="AL214" s="3">
        <v>4</v>
      </c>
      <c r="AM214" s="3">
        <v>6</v>
      </c>
      <c r="AN214" s="3">
        <v>0</v>
      </c>
      <c r="AO214" s="3">
        <v>1</v>
      </c>
      <c r="AP214" s="3">
        <v>0</v>
      </c>
      <c r="AQ214" s="3">
        <v>0</v>
      </c>
      <c r="AR214" s="2" t="s">
        <v>5</v>
      </c>
      <c r="AS214" s="2" t="s">
        <v>5</v>
      </c>
      <c r="AU214" s="5" t="str">
        <f>HYPERLINK("https://creighton-primo.hosted.exlibrisgroup.com/primo-explore/search?tab=default_tab&amp;search_scope=EVERYTHING&amp;vid=01CRU&amp;lang=en_US&amp;offset=0&amp;query=any,contains,991000361579702656","Catalog Record")</f>
        <v>Catalog Record</v>
      </c>
      <c r="AV214" s="5" t="str">
        <f>HYPERLINK("http://www.worldcat.org/oclc/10372432","WorldCat Record")</f>
        <v>WorldCat Record</v>
      </c>
      <c r="AW214" s="2" t="s">
        <v>2860</v>
      </c>
      <c r="AX214" s="2" t="s">
        <v>2861</v>
      </c>
      <c r="AY214" s="2" t="s">
        <v>2862</v>
      </c>
      <c r="AZ214" s="2" t="s">
        <v>2862</v>
      </c>
      <c r="BA214" s="2" t="s">
        <v>2863</v>
      </c>
      <c r="BB214" s="2" t="s">
        <v>20</v>
      </c>
      <c r="BD214" s="2" t="s">
        <v>2864</v>
      </c>
      <c r="BE214" s="2" t="s">
        <v>2865</v>
      </c>
      <c r="BF214" s="2" t="s">
        <v>2866</v>
      </c>
    </row>
    <row r="215" spans="1:58" ht="39.75" customHeight="1" x14ac:dyDescent="0.25">
      <c r="A215" s="7" t="s">
        <v>5</v>
      </c>
      <c r="B215" s="1" t="s">
        <v>0</v>
      </c>
      <c r="C215" s="1" t="s">
        <v>1</v>
      </c>
      <c r="D215" s="1" t="s">
        <v>2867</v>
      </c>
      <c r="E215" s="1" t="s">
        <v>2868</v>
      </c>
      <c r="F215" s="1" t="s">
        <v>2869</v>
      </c>
      <c r="H215" s="2" t="s">
        <v>5</v>
      </c>
      <c r="I215" s="2" t="s">
        <v>6</v>
      </c>
      <c r="J215" s="2" t="s">
        <v>5</v>
      </c>
      <c r="K215" s="2" t="s">
        <v>5</v>
      </c>
      <c r="L215" s="2" t="s">
        <v>7</v>
      </c>
      <c r="M215" s="1" t="s">
        <v>2870</v>
      </c>
      <c r="N215" s="1" t="s">
        <v>2871</v>
      </c>
      <c r="O215" s="2" t="s">
        <v>108</v>
      </c>
      <c r="Q215" s="2" t="s">
        <v>11</v>
      </c>
      <c r="R215" s="2" t="s">
        <v>234</v>
      </c>
      <c r="S215" s="1" t="s">
        <v>2872</v>
      </c>
      <c r="T215" s="2" t="s">
        <v>13</v>
      </c>
      <c r="U215" s="3">
        <v>1</v>
      </c>
      <c r="V215" s="3">
        <v>1</v>
      </c>
      <c r="W215" s="4" t="s">
        <v>2873</v>
      </c>
      <c r="X215" s="4" t="s">
        <v>2873</v>
      </c>
      <c r="Y215" s="4" t="s">
        <v>2809</v>
      </c>
      <c r="Z215" s="4" t="s">
        <v>2809</v>
      </c>
      <c r="AA215" s="3">
        <v>222</v>
      </c>
      <c r="AB215" s="3">
        <v>153</v>
      </c>
      <c r="AC215" s="3">
        <v>156</v>
      </c>
      <c r="AD215" s="3">
        <v>1</v>
      </c>
      <c r="AE215" s="9">
        <v>1</v>
      </c>
      <c r="AF215" s="9">
        <v>8</v>
      </c>
      <c r="AG215" s="9">
        <v>8</v>
      </c>
      <c r="AH215" s="3">
        <v>2</v>
      </c>
      <c r="AI215" s="3">
        <v>2</v>
      </c>
      <c r="AJ215" s="3">
        <v>3</v>
      </c>
      <c r="AK215" s="3">
        <v>3</v>
      </c>
      <c r="AL215" s="3">
        <v>4</v>
      </c>
      <c r="AM215" s="3">
        <v>4</v>
      </c>
      <c r="AN215" s="3">
        <v>0</v>
      </c>
      <c r="AO215" s="3">
        <v>0</v>
      </c>
      <c r="AP215" s="3">
        <v>0</v>
      </c>
      <c r="AQ215" s="3">
        <v>0</v>
      </c>
      <c r="AR215" s="2" t="s">
        <v>5</v>
      </c>
      <c r="AS215" s="2" t="s">
        <v>46</v>
      </c>
      <c r="AT215" s="5" t="str">
        <f>HYPERLINK("http://catalog.hathitrust.org/Record/001206712","HathiTrust Record")</f>
        <v>HathiTrust Record</v>
      </c>
      <c r="AU215" s="5" t="str">
        <f>HYPERLINK("https://creighton-primo.hosted.exlibrisgroup.com/primo-explore/search?tab=default_tab&amp;search_scope=EVERYTHING&amp;vid=01CRU&amp;lang=en_US&amp;offset=0&amp;query=any,contains,991003139849702656","Catalog Record")</f>
        <v>Catalog Record</v>
      </c>
      <c r="AV215" s="5" t="str">
        <f>HYPERLINK("http://www.worldcat.org/oclc/681673","WorldCat Record")</f>
        <v>WorldCat Record</v>
      </c>
      <c r="AW215" s="2" t="s">
        <v>2874</v>
      </c>
      <c r="AX215" s="2" t="s">
        <v>2875</v>
      </c>
      <c r="AY215" s="2" t="s">
        <v>2876</v>
      </c>
      <c r="AZ215" s="2" t="s">
        <v>2876</v>
      </c>
      <c r="BA215" s="2" t="s">
        <v>2877</v>
      </c>
      <c r="BB215" s="2" t="s">
        <v>20</v>
      </c>
      <c r="BE215" s="2" t="s">
        <v>2878</v>
      </c>
      <c r="BF215" s="2" t="s">
        <v>2879</v>
      </c>
    </row>
    <row r="216" spans="1:58" ht="39.75" customHeight="1" x14ac:dyDescent="0.25">
      <c r="A216" s="7" t="s">
        <v>5</v>
      </c>
      <c r="B216" s="1" t="s">
        <v>0</v>
      </c>
      <c r="C216" s="1" t="s">
        <v>1</v>
      </c>
      <c r="D216" s="1" t="s">
        <v>2880</v>
      </c>
      <c r="E216" s="1" t="s">
        <v>2881</v>
      </c>
      <c r="F216" s="1" t="s">
        <v>2882</v>
      </c>
      <c r="H216" s="2" t="s">
        <v>5</v>
      </c>
      <c r="I216" s="2" t="s">
        <v>6</v>
      </c>
      <c r="J216" s="2" t="s">
        <v>5</v>
      </c>
      <c r="K216" s="2" t="s">
        <v>5</v>
      </c>
      <c r="L216" s="2" t="s">
        <v>7</v>
      </c>
      <c r="M216" s="1" t="s">
        <v>2883</v>
      </c>
      <c r="N216" s="1" t="s">
        <v>2884</v>
      </c>
      <c r="O216" s="2" t="s">
        <v>2885</v>
      </c>
      <c r="Q216" s="2" t="s">
        <v>11</v>
      </c>
      <c r="R216" s="2" t="s">
        <v>234</v>
      </c>
      <c r="T216" s="2" t="s">
        <v>13</v>
      </c>
      <c r="U216" s="3">
        <v>2</v>
      </c>
      <c r="V216" s="3">
        <v>2</v>
      </c>
      <c r="W216" s="4" t="s">
        <v>2886</v>
      </c>
      <c r="X216" s="4" t="s">
        <v>2886</v>
      </c>
      <c r="Y216" s="4" t="s">
        <v>627</v>
      </c>
      <c r="Z216" s="4" t="s">
        <v>627</v>
      </c>
      <c r="AA216" s="3">
        <v>120</v>
      </c>
      <c r="AB216" s="3">
        <v>86</v>
      </c>
      <c r="AC216" s="3">
        <v>103</v>
      </c>
      <c r="AD216" s="3">
        <v>2</v>
      </c>
      <c r="AE216" s="9">
        <v>2</v>
      </c>
      <c r="AF216" s="9">
        <v>2</v>
      </c>
      <c r="AG216" s="9">
        <v>2</v>
      </c>
      <c r="AH216" s="3">
        <v>1</v>
      </c>
      <c r="AI216" s="3">
        <v>1</v>
      </c>
      <c r="AJ216" s="3">
        <v>0</v>
      </c>
      <c r="AK216" s="3">
        <v>0</v>
      </c>
      <c r="AL216" s="3">
        <v>0</v>
      </c>
      <c r="AM216" s="3">
        <v>0</v>
      </c>
      <c r="AN216" s="3">
        <v>1</v>
      </c>
      <c r="AO216" s="3">
        <v>1</v>
      </c>
      <c r="AP216" s="3">
        <v>0</v>
      </c>
      <c r="AQ216" s="3">
        <v>0</v>
      </c>
      <c r="AR216" s="2" t="s">
        <v>46</v>
      </c>
      <c r="AS216" s="2" t="s">
        <v>5</v>
      </c>
      <c r="AT216" s="5" t="str">
        <f>HYPERLINK("http://catalog.hathitrust.org/Record/007029742","HathiTrust Record")</f>
        <v>HathiTrust Record</v>
      </c>
      <c r="AU216" s="5" t="str">
        <f>HYPERLINK("https://creighton-primo.hosted.exlibrisgroup.com/primo-explore/search?tab=default_tab&amp;search_scope=EVERYTHING&amp;vid=01CRU&amp;lang=en_US&amp;offset=0&amp;query=any,contains,991003750559702656","Catalog Record")</f>
        <v>Catalog Record</v>
      </c>
      <c r="AV216" s="5" t="str">
        <f>HYPERLINK("http://www.worldcat.org/oclc/1426377","WorldCat Record")</f>
        <v>WorldCat Record</v>
      </c>
      <c r="AW216" s="2" t="s">
        <v>2887</v>
      </c>
      <c r="AX216" s="2" t="s">
        <v>2888</v>
      </c>
      <c r="AY216" s="2" t="s">
        <v>2889</v>
      </c>
      <c r="AZ216" s="2" t="s">
        <v>2889</v>
      </c>
      <c r="BA216" s="2" t="s">
        <v>2890</v>
      </c>
      <c r="BB216" s="2" t="s">
        <v>20</v>
      </c>
      <c r="BE216" s="2" t="s">
        <v>2891</v>
      </c>
      <c r="BF216" s="2" t="s">
        <v>2892</v>
      </c>
    </row>
    <row r="217" spans="1:58" ht="39.75" customHeight="1" x14ac:dyDescent="0.25">
      <c r="A217" s="7" t="s">
        <v>5</v>
      </c>
      <c r="B217" s="1" t="s">
        <v>0</v>
      </c>
      <c r="C217" s="1" t="s">
        <v>1</v>
      </c>
      <c r="D217" s="1" t="s">
        <v>2893</v>
      </c>
      <c r="E217" s="1" t="s">
        <v>2894</v>
      </c>
      <c r="F217" s="1" t="s">
        <v>2895</v>
      </c>
      <c r="H217" s="2" t="s">
        <v>5</v>
      </c>
      <c r="I217" s="2" t="s">
        <v>6</v>
      </c>
      <c r="J217" s="2" t="s">
        <v>5</v>
      </c>
      <c r="K217" s="2" t="s">
        <v>5</v>
      </c>
      <c r="L217" s="2" t="s">
        <v>7</v>
      </c>
      <c r="M217" s="1" t="s">
        <v>1217</v>
      </c>
      <c r="N217" s="1" t="s">
        <v>2896</v>
      </c>
      <c r="O217" s="2" t="s">
        <v>468</v>
      </c>
      <c r="Q217" s="2" t="s">
        <v>60</v>
      </c>
      <c r="R217" s="2" t="s">
        <v>61</v>
      </c>
      <c r="T217" s="2" t="s">
        <v>13</v>
      </c>
      <c r="U217" s="3">
        <v>5</v>
      </c>
      <c r="V217" s="3">
        <v>5</v>
      </c>
      <c r="W217" s="4" t="s">
        <v>2897</v>
      </c>
      <c r="X217" s="4" t="s">
        <v>2897</v>
      </c>
      <c r="Y217" s="4" t="s">
        <v>768</v>
      </c>
      <c r="Z217" s="4" t="s">
        <v>768</v>
      </c>
      <c r="AA217" s="3">
        <v>697</v>
      </c>
      <c r="AB217" s="3">
        <v>646</v>
      </c>
      <c r="AC217" s="3">
        <v>657</v>
      </c>
      <c r="AD217" s="3">
        <v>4</v>
      </c>
      <c r="AE217" s="9">
        <v>4</v>
      </c>
      <c r="AF217" s="9">
        <v>28</v>
      </c>
      <c r="AG217" s="9">
        <v>28</v>
      </c>
      <c r="AH217" s="3">
        <v>12</v>
      </c>
      <c r="AI217" s="3">
        <v>12</v>
      </c>
      <c r="AJ217" s="3">
        <v>8</v>
      </c>
      <c r="AK217" s="3">
        <v>8</v>
      </c>
      <c r="AL217" s="3">
        <v>11</v>
      </c>
      <c r="AM217" s="3">
        <v>11</v>
      </c>
      <c r="AN217" s="3">
        <v>3</v>
      </c>
      <c r="AO217" s="3">
        <v>3</v>
      </c>
      <c r="AP217" s="3">
        <v>0</v>
      </c>
      <c r="AQ217" s="3">
        <v>0</v>
      </c>
      <c r="AR217" s="2" t="s">
        <v>5</v>
      </c>
      <c r="AS217" s="2" t="s">
        <v>46</v>
      </c>
      <c r="AT217" s="5" t="str">
        <f>HYPERLINK("http://catalog.hathitrust.org/Record/001439920","HathiTrust Record")</f>
        <v>HathiTrust Record</v>
      </c>
      <c r="AU217" s="5" t="str">
        <f>HYPERLINK("https://creighton-primo.hosted.exlibrisgroup.com/primo-explore/search?tab=default_tab&amp;search_scope=EVERYTHING&amp;vid=01CRU&amp;lang=en_US&amp;offset=0&amp;query=any,contains,991002402089702656","Catalog Record")</f>
        <v>Catalog Record</v>
      </c>
      <c r="AV217" s="5" t="str">
        <f>HYPERLINK("http://www.worldcat.org/oclc/337332","WorldCat Record")</f>
        <v>WorldCat Record</v>
      </c>
      <c r="AW217" s="2" t="s">
        <v>2898</v>
      </c>
      <c r="AX217" s="2" t="s">
        <v>2899</v>
      </c>
      <c r="AY217" s="2" t="s">
        <v>2900</v>
      </c>
      <c r="AZ217" s="2" t="s">
        <v>2900</v>
      </c>
      <c r="BA217" s="2" t="s">
        <v>2901</v>
      </c>
      <c r="BB217" s="2" t="s">
        <v>20</v>
      </c>
      <c r="BE217" s="2" t="s">
        <v>2902</v>
      </c>
      <c r="BF217" s="2" t="s">
        <v>2903</v>
      </c>
    </row>
    <row r="218" spans="1:58" ht="39.75" customHeight="1" x14ac:dyDescent="0.25">
      <c r="A218" s="7" t="s">
        <v>5</v>
      </c>
      <c r="B218" s="1" t="s">
        <v>0</v>
      </c>
      <c r="C218" s="1" t="s">
        <v>1</v>
      </c>
      <c r="D218" s="1" t="s">
        <v>2904</v>
      </c>
      <c r="E218" s="1" t="s">
        <v>2905</v>
      </c>
      <c r="F218" s="1" t="s">
        <v>2906</v>
      </c>
      <c r="H218" s="2" t="s">
        <v>5</v>
      </c>
      <c r="I218" s="2" t="s">
        <v>6</v>
      </c>
      <c r="J218" s="2" t="s">
        <v>5</v>
      </c>
      <c r="K218" s="2" t="s">
        <v>5</v>
      </c>
      <c r="L218" s="2" t="s">
        <v>7</v>
      </c>
      <c r="N218" s="1" t="s">
        <v>2907</v>
      </c>
      <c r="O218" s="2" t="s">
        <v>42</v>
      </c>
      <c r="P218" s="1" t="s">
        <v>2908</v>
      </c>
      <c r="Q218" s="2" t="s">
        <v>11</v>
      </c>
      <c r="R218" s="2" t="s">
        <v>28</v>
      </c>
      <c r="T218" s="2" t="s">
        <v>13</v>
      </c>
      <c r="U218" s="3">
        <v>3</v>
      </c>
      <c r="V218" s="3">
        <v>3</v>
      </c>
      <c r="W218" s="4" t="s">
        <v>1326</v>
      </c>
      <c r="X218" s="4" t="s">
        <v>1326</v>
      </c>
      <c r="Y218" s="4" t="s">
        <v>2909</v>
      </c>
      <c r="Z218" s="4" t="s">
        <v>2909</v>
      </c>
      <c r="AA218" s="3">
        <v>200</v>
      </c>
      <c r="AB218" s="3">
        <v>119</v>
      </c>
      <c r="AC218" s="3">
        <v>124</v>
      </c>
      <c r="AD218" s="3">
        <v>3</v>
      </c>
      <c r="AE218" s="9">
        <v>3</v>
      </c>
      <c r="AF218" s="9">
        <v>7</v>
      </c>
      <c r="AG218" s="9">
        <v>7</v>
      </c>
      <c r="AH218" s="3">
        <v>2</v>
      </c>
      <c r="AI218" s="3">
        <v>2</v>
      </c>
      <c r="AJ218" s="3">
        <v>1</v>
      </c>
      <c r="AK218" s="3">
        <v>1</v>
      </c>
      <c r="AL218" s="3">
        <v>4</v>
      </c>
      <c r="AM218" s="3">
        <v>4</v>
      </c>
      <c r="AN218" s="3">
        <v>2</v>
      </c>
      <c r="AO218" s="3">
        <v>2</v>
      </c>
      <c r="AP218" s="3">
        <v>0</v>
      </c>
      <c r="AQ218" s="3">
        <v>0</v>
      </c>
      <c r="AR218" s="2" t="s">
        <v>5</v>
      </c>
      <c r="AS218" s="2" t="s">
        <v>46</v>
      </c>
      <c r="AT218" s="5" t="str">
        <f>HYPERLINK("http://catalog.hathitrust.org/Record/002230915","HathiTrust Record")</f>
        <v>HathiTrust Record</v>
      </c>
      <c r="AU218" s="5" t="str">
        <f>HYPERLINK("https://creighton-primo.hosted.exlibrisgroup.com/primo-explore/search?tab=default_tab&amp;search_scope=EVERYTHING&amp;vid=01CRU&amp;lang=en_US&amp;offset=0&amp;query=any,contains,991001907019702656","Catalog Record")</f>
        <v>Catalog Record</v>
      </c>
      <c r="AV218" s="5" t="str">
        <f>HYPERLINK("http://www.worldcat.org/oclc/24069979","WorldCat Record")</f>
        <v>WorldCat Record</v>
      </c>
      <c r="AW218" s="2" t="s">
        <v>2910</v>
      </c>
      <c r="AX218" s="2" t="s">
        <v>2911</v>
      </c>
      <c r="AY218" s="2" t="s">
        <v>2912</v>
      </c>
      <c r="AZ218" s="2" t="s">
        <v>2912</v>
      </c>
      <c r="BA218" s="2" t="s">
        <v>2913</v>
      </c>
      <c r="BB218" s="2" t="s">
        <v>20</v>
      </c>
      <c r="BD218" s="2" t="s">
        <v>2914</v>
      </c>
      <c r="BE218" s="2" t="s">
        <v>2915</v>
      </c>
      <c r="BF218" s="2" t="s">
        <v>2916</v>
      </c>
    </row>
    <row r="219" spans="1:58" ht="39.75" customHeight="1" x14ac:dyDescent="0.25">
      <c r="A219" s="7" t="s">
        <v>5</v>
      </c>
      <c r="B219" s="1" t="s">
        <v>0</v>
      </c>
      <c r="C219" s="1" t="s">
        <v>1</v>
      </c>
      <c r="D219" s="1" t="s">
        <v>2917</v>
      </c>
      <c r="E219" s="1" t="s">
        <v>2918</v>
      </c>
      <c r="F219" s="1" t="s">
        <v>2919</v>
      </c>
      <c r="H219" s="2" t="s">
        <v>5</v>
      </c>
      <c r="I219" s="2" t="s">
        <v>6</v>
      </c>
      <c r="J219" s="2" t="s">
        <v>5</v>
      </c>
      <c r="K219" s="2" t="s">
        <v>5</v>
      </c>
      <c r="L219" s="2" t="s">
        <v>7</v>
      </c>
      <c r="M219" s="1" t="s">
        <v>2920</v>
      </c>
      <c r="N219" s="1" t="s">
        <v>161</v>
      </c>
      <c r="O219" s="2" t="s">
        <v>162</v>
      </c>
      <c r="Q219" s="2" t="s">
        <v>60</v>
      </c>
      <c r="R219" s="2" t="s">
        <v>61</v>
      </c>
      <c r="T219" s="2" t="s">
        <v>13</v>
      </c>
      <c r="U219" s="3">
        <v>22</v>
      </c>
      <c r="V219" s="3">
        <v>22</v>
      </c>
      <c r="W219" s="4" t="s">
        <v>2921</v>
      </c>
      <c r="X219" s="4" t="s">
        <v>2921</v>
      </c>
      <c r="Y219" s="4" t="s">
        <v>2922</v>
      </c>
      <c r="Z219" s="4" t="s">
        <v>2922</v>
      </c>
      <c r="AA219" s="3">
        <v>187</v>
      </c>
      <c r="AB219" s="3">
        <v>162</v>
      </c>
      <c r="AC219" s="3">
        <v>162</v>
      </c>
      <c r="AD219" s="3">
        <v>2</v>
      </c>
      <c r="AE219" s="9">
        <v>2</v>
      </c>
      <c r="AF219" s="9">
        <v>6</v>
      </c>
      <c r="AG219" s="9">
        <v>6</v>
      </c>
      <c r="AH219" s="3">
        <v>2</v>
      </c>
      <c r="AI219" s="3">
        <v>2</v>
      </c>
      <c r="AJ219" s="3">
        <v>1</v>
      </c>
      <c r="AK219" s="3">
        <v>1</v>
      </c>
      <c r="AL219" s="3">
        <v>3</v>
      </c>
      <c r="AM219" s="3">
        <v>3</v>
      </c>
      <c r="AN219" s="3">
        <v>1</v>
      </c>
      <c r="AO219" s="3">
        <v>1</v>
      </c>
      <c r="AP219" s="3">
        <v>0</v>
      </c>
      <c r="AQ219" s="3">
        <v>0</v>
      </c>
      <c r="AR219" s="2" t="s">
        <v>5</v>
      </c>
      <c r="AS219" s="2" t="s">
        <v>5</v>
      </c>
      <c r="AU219" s="5" t="str">
        <f>HYPERLINK("https://creighton-primo.hosted.exlibrisgroup.com/primo-explore/search?tab=default_tab&amp;search_scope=EVERYTHING&amp;vid=01CRU&amp;lang=en_US&amp;offset=0&amp;query=any,contains,991000139619702656","Catalog Record")</f>
        <v>Catalog Record</v>
      </c>
      <c r="AV219" s="5" t="str">
        <f>HYPERLINK("http://www.worldcat.org/oclc/57393","WorldCat Record")</f>
        <v>WorldCat Record</v>
      </c>
      <c r="AW219" s="2" t="s">
        <v>2923</v>
      </c>
      <c r="AX219" s="2" t="s">
        <v>2924</v>
      </c>
      <c r="AY219" s="2" t="s">
        <v>2925</v>
      </c>
      <c r="AZ219" s="2" t="s">
        <v>2925</v>
      </c>
      <c r="BA219" s="2" t="s">
        <v>2926</v>
      </c>
      <c r="BB219" s="2" t="s">
        <v>20</v>
      </c>
      <c r="BD219" s="2" t="s">
        <v>2927</v>
      </c>
      <c r="BE219" s="2" t="s">
        <v>2928</v>
      </c>
      <c r="BF219" s="2" t="s">
        <v>2929</v>
      </c>
    </row>
    <row r="220" spans="1:58" ht="39.75" customHeight="1" x14ac:dyDescent="0.25">
      <c r="A220" s="7" t="s">
        <v>5</v>
      </c>
      <c r="B220" s="1" t="s">
        <v>0</v>
      </c>
      <c r="C220" s="1" t="s">
        <v>1</v>
      </c>
      <c r="D220" s="1" t="s">
        <v>2930</v>
      </c>
      <c r="E220" s="1" t="s">
        <v>2931</v>
      </c>
      <c r="F220" s="1" t="s">
        <v>2932</v>
      </c>
      <c r="H220" s="2" t="s">
        <v>5</v>
      </c>
      <c r="I220" s="2" t="s">
        <v>6</v>
      </c>
      <c r="J220" s="2" t="s">
        <v>5</v>
      </c>
      <c r="K220" s="2" t="s">
        <v>5</v>
      </c>
      <c r="L220" s="2" t="s">
        <v>7</v>
      </c>
      <c r="M220" s="1" t="s">
        <v>2933</v>
      </c>
      <c r="N220" s="1" t="s">
        <v>2934</v>
      </c>
      <c r="O220" s="2" t="s">
        <v>322</v>
      </c>
      <c r="Q220" s="2" t="s">
        <v>60</v>
      </c>
      <c r="R220" s="2" t="s">
        <v>61</v>
      </c>
      <c r="T220" s="2" t="s">
        <v>13</v>
      </c>
      <c r="U220" s="3">
        <v>3</v>
      </c>
      <c r="V220" s="3">
        <v>3</v>
      </c>
      <c r="W220" s="4" t="s">
        <v>2935</v>
      </c>
      <c r="X220" s="4" t="s">
        <v>2935</v>
      </c>
      <c r="Y220" s="4" t="s">
        <v>888</v>
      </c>
      <c r="Z220" s="4" t="s">
        <v>888</v>
      </c>
      <c r="AA220" s="3">
        <v>1178</v>
      </c>
      <c r="AB220" s="3">
        <v>1081</v>
      </c>
      <c r="AC220" s="3">
        <v>1194</v>
      </c>
      <c r="AD220" s="3">
        <v>8</v>
      </c>
      <c r="AE220" s="9">
        <v>8</v>
      </c>
      <c r="AF220" s="9">
        <v>44</v>
      </c>
      <c r="AG220" s="9">
        <v>47</v>
      </c>
      <c r="AH220" s="3">
        <v>18</v>
      </c>
      <c r="AI220" s="3">
        <v>20</v>
      </c>
      <c r="AJ220" s="3">
        <v>11</v>
      </c>
      <c r="AK220" s="3">
        <v>11</v>
      </c>
      <c r="AL220" s="3">
        <v>22</v>
      </c>
      <c r="AM220" s="3">
        <v>24</v>
      </c>
      <c r="AN220" s="3">
        <v>6</v>
      </c>
      <c r="AO220" s="3">
        <v>6</v>
      </c>
      <c r="AP220" s="3">
        <v>0</v>
      </c>
      <c r="AQ220" s="3">
        <v>0</v>
      </c>
      <c r="AR220" s="2" t="s">
        <v>5</v>
      </c>
      <c r="AS220" s="2" t="s">
        <v>46</v>
      </c>
      <c r="AT220" s="5" t="str">
        <f>HYPERLINK("http://catalog.hathitrust.org/Record/002732173","HathiTrust Record")</f>
        <v>HathiTrust Record</v>
      </c>
      <c r="AU220" s="5" t="str">
        <f>HYPERLINK("https://creighton-primo.hosted.exlibrisgroup.com/primo-explore/search?tab=default_tab&amp;search_scope=EVERYTHING&amp;vid=01CRU&amp;lang=en_US&amp;offset=0&amp;query=any,contains,991002140239702656","Catalog Record")</f>
        <v>Catalog Record</v>
      </c>
      <c r="AV220" s="5" t="str">
        <f>HYPERLINK("http://www.worldcat.org/oclc/27431332","WorldCat Record")</f>
        <v>WorldCat Record</v>
      </c>
      <c r="AW220" s="2" t="s">
        <v>2936</v>
      </c>
      <c r="AX220" s="2" t="s">
        <v>2937</v>
      </c>
      <c r="AY220" s="2" t="s">
        <v>2938</v>
      </c>
      <c r="AZ220" s="2" t="s">
        <v>2938</v>
      </c>
      <c r="BA220" s="2" t="s">
        <v>2939</v>
      </c>
      <c r="BB220" s="2" t="s">
        <v>20</v>
      </c>
      <c r="BD220" s="2" t="s">
        <v>2940</v>
      </c>
      <c r="BE220" s="2" t="s">
        <v>2941</v>
      </c>
      <c r="BF220" s="2" t="s">
        <v>2942</v>
      </c>
    </row>
    <row r="221" spans="1:58" ht="39.75" customHeight="1" x14ac:dyDescent="0.25">
      <c r="A221" s="7" t="s">
        <v>5</v>
      </c>
      <c r="B221" s="1" t="s">
        <v>0</v>
      </c>
      <c r="C221" s="1" t="s">
        <v>1</v>
      </c>
      <c r="D221" s="1" t="s">
        <v>2943</v>
      </c>
      <c r="E221" s="1" t="s">
        <v>2944</v>
      </c>
      <c r="F221" s="1" t="s">
        <v>2945</v>
      </c>
      <c r="H221" s="2" t="s">
        <v>5</v>
      </c>
      <c r="I221" s="2" t="s">
        <v>6</v>
      </c>
      <c r="J221" s="2" t="s">
        <v>5</v>
      </c>
      <c r="K221" s="2" t="s">
        <v>5</v>
      </c>
      <c r="L221" s="2" t="s">
        <v>7</v>
      </c>
      <c r="M221" s="1" t="s">
        <v>2946</v>
      </c>
      <c r="N221" s="1" t="s">
        <v>2947</v>
      </c>
      <c r="O221" s="2" t="s">
        <v>162</v>
      </c>
      <c r="Q221" s="2" t="s">
        <v>11</v>
      </c>
      <c r="R221" s="2" t="s">
        <v>28</v>
      </c>
      <c r="T221" s="2" t="s">
        <v>13</v>
      </c>
      <c r="U221" s="3">
        <v>1</v>
      </c>
      <c r="V221" s="3">
        <v>1</v>
      </c>
      <c r="W221" s="4" t="s">
        <v>2156</v>
      </c>
      <c r="X221" s="4" t="s">
        <v>2156</v>
      </c>
      <c r="Y221" s="4" t="s">
        <v>2948</v>
      </c>
      <c r="Z221" s="4" t="s">
        <v>2948</v>
      </c>
      <c r="AA221" s="3">
        <v>99</v>
      </c>
      <c r="AB221" s="3">
        <v>71</v>
      </c>
      <c r="AC221" s="3">
        <v>75</v>
      </c>
      <c r="AD221" s="3">
        <v>1</v>
      </c>
      <c r="AE221" s="9">
        <v>1</v>
      </c>
      <c r="AF221" s="9">
        <v>1</v>
      </c>
      <c r="AG221" s="9">
        <v>1</v>
      </c>
      <c r="AH221" s="3">
        <v>0</v>
      </c>
      <c r="AI221" s="3">
        <v>0</v>
      </c>
      <c r="AJ221" s="3">
        <v>1</v>
      </c>
      <c r="AK221" s="3">
        <v>1</v>
      </c>
      <c r="AL221" s="3">
        <v>0</v>
      </c>
      <c r="AM221" s="3">
        <v>0</v>
      </c>
      <c r="AN221" s="3">
        <v>0</v>
      </c>
      <c r="AO221" s="3">
        <v>0</v>
      </c>
      <c r="AP221" s="3">
        <v>0</v>
      </c>
      <c r="AQ221" s="3">
        <v>0</v>
      </c>
      <c r="AR221" s="2" t="s">
        <v>5</v>
      </c>
      <c r="AS221" s="2" t="s">
        <v>46</v>
      </c>
      <c r="AT221" s="5" t="str">
        <f>HYPERLINK("http://catalog.hathitrust.org/Record/001796492","HathiTrust Record")</f>
        <v>HathiTrust Record</v>
      </c>
      <c r="AU221" s="5" t="str">
        <f>HYPERLINK("https://creighton-primo.hosted.exlibrisgroup.com/primo-explore/search?tab=default_tab&amp;search_scope=EVERYTHING&amp;vid=01CRU&amp;lang=en_US&amp;offset=0&amp;query=any,contains,991004283409702656","Catalog Record")</f>
        <v>Catalog Record</v>
      </c>
      <c r="AV221" s="5" t="str">
        <f>HYPERLINK("http://www.worldcat.org/oclc/706249","WorldCat Record")</f>
        <v>WorldCat Record</v>
      </c>
      <c r="AW221" s="2" t="s">
        <v>2949</v>
      </c>
      <c r="AX221" s="2" t="s">
        <v>2950</v>
      </c>
      <c r="AY221" s="2" t="s">
        <v>2951</v>
      </c>
      <c r="AZ221" s="2" t="s">
        <v>2951</v>
      </c>
      <c r="BA221" s="2" t="s">
        <v>2952</v>
      </c>
      <c r="BB221" s="2" t="s">
        <v>20</v>
      </c>
      <c r="BE221" s="2" t="s">
        <v>2953</v>
      </c>
      <c r="BF221" s="2" t="s">
        <v>2954</v>
      </c>
    </row>
    <row r="222" spans="1:58" ht="39.75" customHeight="1" x14ac:dyDescent="0.25">
      <c r="A222" s="7" t="s">
        <v>5</v>
      </c>
      <c r="B222" s="1" t="s">
        <v>0</v>
      </c>
      <c r="C222" s="1" t="s">
        <v>1</v>
      </c>
      <c r="D222" s="1" t="s">
        <v>2955</v>
      </c>
      <c r="E222" s="1" t="s">
        <v>2956</v>
      </c>
      <c r="F222" s="1" t="s">
        <v>2957</v>
      </c>
      <c r="H222" s="2" t="s">
        <v>5</v>
      </c>
      <c r="I222" s="2" t="s">
        <v>6</v>
      </c>
      <c r="J222" s="2" t="s">
        <v>5</v>
      </c>
      <c r="K222" s="2" t="s">
        <v>5</v>
      </c>
      <c r="L222" s="2" t="s">
        <v>7</v>
      </c>
      <c r="M222" s="1" t="s">
        <v>2958</v>
      </c>
      <c r="N222" s="1" t="s">
        <v>2959</v>
      </c>
      <c r="O222" s="2" t="s">
        <v>392</v>
      </c>
      <c r="Q222" s="2" t="s">
        <v>60</v>
      </c>
      <c r="R222" s="2" t="s">
        <v>422</v>
      </c>
      <c r="S222" s="1" t="s">
        <v>2960</v>
      </c>
      <c r="T222" s="2" t="s">
        <v>13</v>
      </c>
      <c r="U222" s="3">
        <v>9</v>
      </c>
      <c r="V222" s="3">
        <v>9</v>
      </c>
      <c r="W222" s="4" t="s">
        <v>2961</v>
      </c>
      <c r="X222" s="4" t="s">
        <v>2961</v>
      </c>
      <c r="Y222" s="4" t="s">
        <v>2586</v>
      </c>
      <c r="Z222" s="4" t="s">
        <v>2586</v>
      </c>
      <c r="AA222" s="3">
        <v>1536</v>
      </c>
      <c r="AB222" s="3">
        <v>1363</v>
      </c>
      <c r="AC222" s="3">
        <v>1377</v>
      </c>
      <c r="AD222" s="3">
        <v>8</v>
      </c>
      <c r="AE222" s="9">
        <v>8</v>
      </c>
      <c r="AF222" s="9">
        <v>49</v>
      </c>
      <c r="AG222" s="9">
        <v>49</v>
      </c>
      <c r="AH222" s="3">
        <v>23</v>
      </c>
      <c r="AI222" s="3">
        <v>23</v>
      </c>
      <c r="AJ222" s="3">
        <v>10</v>
      </c>
      <c r="AK222" s="3">
        <v>10</v>
      </c>
      <c r="AL222" s="3">
        <v>23</v>
      </c>
      <c r="AM222" s="3">
        <v>23</v>
      </c>
      <c r="AN222" s="3">
        <v>6</v>
      </c>
      <c r="AO222" s="3">
        <v>6</v>
      </c>
      <c r="AP222" s="3">
        <v>0</v>
      </c>
      <c r="AQ222" s="3">
        <v>0</v>
      </c>
      <c r="AR222" s="2" t="s">
        <v>5</v>
      </c>
      <c r="AS222" s="2" t="s">
        <v>46</v>
      </c>
      <c r="AT222" s="5" t="str">
        <f>HYPERLINK("http://catalog.hathitrust.org/Record/000008337","HathiTrust Record")</f>
        <v>HathiTrust Record</v>
      </c>
      <c r="AU222" s="5" t="str">
        <f>HYPERLINK("https://creighton-primo.hosted.exlibrisgroup.com/primo-explore/search?tab=default_tab&amp;search_scope=EVERYTHING&amp;vid=01CRU&amp;lang=en_US&amp;offset=0&amp;query=any,contains,991003049829702656","Catalog Record")</f>
        <v>Catalog Record</v>
      </c>
      <c r="AV222" s="5" t="str">
        <f>HYPERLINK("http://www.worldcat.org/oclc/609764","WorldCat Record")</f>
        <v>WorldCat Record</v>
      </c>
      <c r="AW222" s="2" t="s">
        <v>2962</v>
      </c>
      <c r="AX222" s="2" t="s">
        <v>2963</v>
      </c>
      <c r="AY222" s="2" t="s">
        <v>2964</v>
      </c>
      <c r="AZ222" s="2" t="s">
        <v>2964</v>
      </c>
      <c r="BA222" s="2" t="s">
        <v>2965</v>
      </c>
      <c r="BB222" s="2" t="s">
        <v>20</v>
      </c>
      <c r="BD222" s="2" t="s">
        <v>2966</v>
      </c>
      <c r="BE222" s="2" t="s">
        <v>2967</v>
      </c>
      <c r="BF222" s="2" t="s">
        <v>2968</v>
      </c>
    </row>
    <row r="223" spans="1:58" ht="39.75" customHeight="1" x14ac:dyDescent="0.25">
      <c r="A223" s="7" t="s">
        <v>5</v>
      </c>
      <c r="B223" s="1" t="s">
        <v>0</v>
      </c>
      <c r="C223" s="1" t="s">
        <v>1</v>
      </c>
      <c r="D223" s="1" t="s">
        <v>2969</v>
      </c>
      <c r="E223" s="1" t="s">
        <v>2970</v>
      </c>
      <c r="F223" s="1" t="s">
        <v>2971</v>
      </c>
      <c r="H223" s="2" t="s">
        <v>5</v>
      </c>
      <c r="I223" s="2" t="s">
        <v>6</v>
      </c>
      <c r="J223" s="2" t="s">
        <v>5</v>
      </c>
      <c r="K223" s="2" t="s">
        <v>5</v>
      </c>
      <c r="L223" s="2" t="s">
        <v>7</v>
      </c>
      <c r="M223" s="1" t="s">
        <v>2972</v>
      </c>
      <c r="N223" s="1" t="s">
        <v>818</v>
      </c>
      <c r="O223" s="2" t="s">
        <v>108</v>
      </c>
      <c r="Q223" s="2" t="s">
        <v>60</v>
      </c>
      <c r="R223" s="2" t="s">
        <v>61</v>
      </c>
      <c r="S223" s="1" t="s">
        <v>2973</v>
      </c>
      <c r="T223" s="2" t="s">
        <v>13</v>
      </c>
      <c r="U223" s="3">
        <v>5</v>
      </c>
      <c r="V223" s="3">
        <v>5</v>
      </c>
      <c r="W223" s="4" t="s">
        <v>2974</v>
      </c>
      <c r="X223" s="4" t="s">
        <v>2974</v>
      </c>
      <c r="Y223" s="4" t="s">
        <v>2975</v>
      </c>
      <c r="Z223" s="4" t="s">
        <v>2975</v>
      </c>
      <c r="AA223" s="3">
        <v>801</v>
      </c>
      <c r="AB223" s="3">
        <v>735</v>
      </c>
      <c r="AC223" s="3">
        <v>783</v>
      </c>
      <c r="AD223" s="3">
        <v>3</v>
      </c>
      <c r="AE223" s="9">
        <v>3</v>
      </c>
      <c r="AF223" s="9">
        <v>29</v>
      </c>
      <c r="AG223" s="9">
        <v>30</v>
      </c>
      <c r="AH223" s="3">
        <v>13</v>
      </c>
      <c r="AI223" s="3">
        <v>14</v>
      </c>
      <c r="AJ223" s="3">
        <v>7</v>
      </c>
      <c r="AK223" s="3">
        <v>7</v>
      </c>
      <c r="AL223" s="3">
        <v>16</v>
      </c>
      <c r="AM223" s="3">
        <v>17</v>
      </c>
      <c r="AN223" s="3">
        <v>2</v>
      </c>
      <c r="AO223" s="3">
        <v>2</v>
      </c>
      <c r="AP223" s="3">
        <v>0</v>
      </c>
      <c r="AQ223" s="3">
        <v>0</v>
      </c>
      <c r="AR223" s="2" t="s">
        <v>5</v>
      </c>
      <c r="AS223" s="2" t="s">
        <v>46</v>
      </c>
      <c r="AT223" s="5" t="str">
        <f>HYPERLINK("http://catalog.hathitrust.org/Record/001208486","HathiTrust Record")</f>
        <v>HathiTrust Record</v>
      </c>
      <c r="AU223" s="5" t="str">
        <f>HYPERLINK("https://creighton-primo.hosted.exlibrisgroup.com/primo-explore/search?tab=default_tab&amp;search_scope=EVERYTHING&amp;vid=01CRU&amp;lang=en_US&amp;offset=0&amp;query=any,contains,991002971489702656","Catalog Record")</f>
        <v>Catalog Record</v>
      </c>
      <c r="AV223" s="5" t="str">
        <f>HYPERLINK("http://www.worldcat.org/oclc/549401","WorldCat Record")</f>
        <v>WorldCat Record</v>
      </c>
      <c r="AW223" s="2" t="s">
        <v>2976</v>
      </c>
      <c r="AX223" s="2" t="s">
        <v>2977</v>
      </c>
      <c r="AY223" s="2" t="s">
        <v>2978</v>
      </c>
      <c r="AZ223" s="2" t="s">
        <v>2978</v>
      </c>
      <c r="BA223" s="2" t="s">
        <v>2979</v>
      </c>
      <c r="BB223" s="2" t="s">
        <v>20</v>
      </c>
      <c r="BD223" s="2" t="s">
        <v>2980</v>
      </c>
      <c r="BE223" s="2" t="s">
        <v>2981</v>
      </c>
      <c r="BF223" s="2" t="s">
        <v>2982</v>
      </c>
    </row>
    <row r="224" spans="1:58" ht="39.75" customHeight="1" x14ac:dyDescent="0.25">
      <c r="A224" s="7" t="s">
        <v>5</v>
      </c>
      <c r="B224" s="1" t="s">
        <v>0</v>
      </c>
      <c r="C224" s="1" t="s">
        <v>1</v>
      </c>
      <c r="D224" s="1" t="s">
        <v>2983</v>
      </c>
      <c r="E224" s="1" t="s">
        <v>2984</v>
      </c>
      <c r="F224" s="1" t="s">
        <v>2985</v>
      </c>
      <c r="H224" s="2" t="s">
        <v>5</v>
      </c>
      <c r="I224" s="2" t="s">
        <v>6</v>
      </c>
      <c r="J224" s="2" t="s">
        <v>5</v>
      </c>
      <c r="K224" s="2" t="s">
        <v>5</v>
      </c>
      <c r="L224" s="2" t="s">
        <v>7</v>
      </c>
      <c r="M224" s="1" t="s">
        <v>2986</v>
      </c>
      <c r="N224" s="1" t="s">
        <v>2987</v>
      </c>
      <c r="O224" s="2" t="s">
        <v>1515</v>
      </c>
      <c r="Q224" s="2" t="s">
        <v>60</v>
      </c>
      <c r="R224" s="2" t="s">
        <v>61</v>
      </c>
      <c r="S224" s="1" t="s">
        <v>2988</v>
      </c>
      <c r="T224" s="2" t="s">
        <v>13</v>
      </c>
      <c r="U224" s="3">
        <v>7</v>
      </c>
      <c r="V224" s="3">
        <v>7</v>
      </c>
      <c r="W224" s="4" t="s">
        <v>2989</v>
      </c>
      <c r="X224" s="4" t="s">
        <v>2989</v>
      </c>
      <c r="Y224" s="4" t="s">
        <v>2264</v>
      </c>
      <c r="Z224" s="4" t="s">
        <v>2264</v>
      </c>
      <c r="AA224" s="3">
        <v>688</v>
      </c>
      <c r="AB224" s="3">
        <v>581</v>
      </c>
      <c r="AC224" s="3">
        <v>581</v>
      </c>
      <c r="AD224" s="3">
        <v>4</v>
      </c>
      <c r="AE224" s="9">
        <v>4</v>
      </c>
      <c r="AF224" s="9">
        <v>27</v>
      </c>
      <c r="AG224" s="9">
        <v>27</v>
      </c>
      <c r="AH224" s="3">
        <v>12</v>
      </c>
      <c r="AI224" s="3">
        <v>12</v>
      </c>
      <c r="AJ224" s="3">
        <v>7</v>
      </c>
      <c r="AK224" s="3">
        <v>7</v>
      </c>
      <c r="AL224" s="3">
        <v>14</v>
      </c>
      <c r="AM224" s="3">
        <v>14</v>
      </c>
      <c r="AN224" s="3">
        <v>3</v>
      </c>
      <c r="AO224" s="3">
        <v>3</v>
      </c>
      <c r="AP224" s="3">
        <v>0</v>
      </c>
      <c r="AQ224" s="3">
        <v>0</v>
      </c>
      <c r="AR224" s="2" t="s">
        <v>5</v>
      </c>
      <c r="AS224" s="2" t="s">
        <v>5</v>
      </c>
      <c r="AU224" s="5" t="str">
        <f>HYPERLINK("https://creighton-primo.hosted.exlibrisgroup.com/primo-explore/search?tab=default_tab&amp;search_scope=EVERYTHING&amp;vid=01CRU&amp;lang=en_US&amp;offset=0&amp;query=any,contains,991004882939702656","Catalog Record")</f>
        <v>Catalog Record</v>
      </c>
      <c r="AV224" s="5" t="str">
        <f>HYPERLINK("http://www.worldcat.org/oclc/5829988","WorldCat Record")</f>
        <v>WorldCat Record</v>
      </c>
      <c r="AW224" s="2" t="s">
        <v>2990</v>
      </c>
      <c r="AX224" s="2" t="s">
        <v>2991</v>
      </c>
      <c r="AY224" s="2" t="s">
        <v>2992</v>
      </c>
      <c r="AZ224" s="2" t="s">
        <v>2992</v>
      </c>
      <c r="BA224" s="2" t="s">
        <v>2993</v>
      </c>
      <c r="BB224" s="2" t="s">
        <v>20</v>
      </c>
      <c r="BD224" s="2" t="s">
        <v>2994</v>
      </c>
      <c r="BE224" s="2" t="s">
        <v>2995</v>
      </c>
      <c r="BF224" s="2" t="s">
        <v>2996</v>
      </c>
    </row>
    <row r="225" spans="1:58" ht="39.75" customHeight="1" x14ac:dyDescent="0.25">
      <c r="A225" s="7" t="s">
        <v>5</v>
      </c>
      <c r="B225" s="1" t="s">
        <v>0</v>
      </c>
      <c r="C225" s="1" t="s">
        <v>1</v>
      </c>
      <c r="D225" s="1" t="s">
        <v>2997</v>
      </c>
      <c r="E225" s="1" t="s">
        <v>2998</v>
      </c>
      <c r="F225" s="1" t="s">
        <v>2999</v>
      </c>
      <c r="H225" s="2" t="s">
        <v>5</v>
      </c>
      <c r="I225" s="2" t="s">
        <v>6</v>
      </c>
      <c r="J225" s="2" t="s">
        <v>5</v>
      </c>
      <c r="K225" s="2" t="s">
        <v>5</v>
      </c>
      <c r="L225" s="2" t="s">
        <v>7</v>
      </c>
      <c r="M225" s="1" t="s">
        <v>3000</v>
      </c>
      <c r="N225" s="1" t="s">
        <v>3001</v>
      </c>
      <c r="O225" s="2" t="s">
        <v>791</v>
      </c>
      <c r="Q225" s="2" t="s">
        <v>1151</v>
      </c>
      <c r="R225" s="2" t="s">
        <v>3002</v>
      </c>
      <c r="S225" s="1" t="s">
        <v>3003</v>
      </c>
      <c r="T225" s="2" t="s">
        <v>13</v>
      </c>
      <c r="U225" s="3">
        <v>1</v>
      </c>
      <c r="V225" s="3">
        <v>1</v>
      </c>
      <c r="W225" s="4" t="s">
        <v>3004</v>
      </c>
      <c r="X225" s="4" t="s">
        <v>3004</v>
      </c>
      <c r="Y225" s="4" t="s">
        <v>3004</v>
      </c>
      <c r="Z225" s="4" t="s">
        <v>3004</v>
      </c>
      <c r="AA225" s="3">
        <v>4</v>
      </c>
      <c r="AB225" s="3">
        <v>3</v>
      </c>
      <c r="AC225" s="3">
        <v>3</v>
      </c>
      <c r="AD225" s="3">
        <v>1</v>
      </c>
      <c r="AE225" s="9">
        <v>1</v>
      </c>
      <c r="AF225" s="9">
        <v>0</v>
      </c>
      <c r="AG225" s="9">
        <v>0</v>
      </c>
      <c r="AH225" s="3">
        <v>0</v>
      </c>
      <c r="AI225" s="3">
        <v>0</v>
      </c>
      <c r="AJ225" s="3">
        <v>0</v>
      </c>
      <c r="AK225" s="3">
        <v>0</v>
      </c>
      <c r="AL225" s="3">
        <v>0</v>
      </c>
      <c r="AM225" s="3">
        <v>0</v>
      </c>
      <c r="AN225" s="3">
        <v>0</v>
      </c>
      <c r="AO225" s="3">
        <v>0</v>
      </c>
      <c r="AP225" s="3">
        <v>0</v>
      </c>
      <c r="AQ225" s="3">
        <v>0</v>
      </c>
      <c r="AR225" s="2" t="s">
        <v>5</v>
      </c>
      <c r="AS225" s="2" t="s">
        <v>5</v>
      </c>
      <c r="AU225" s="5" t="str">
        <f>HYPERLINK("https://creighton-primo.hosted.exlibrisgroup.com/primo-explore/search?tab=default_tab&amp;search_scope=EVERYTHING&amp;vid=01CRU&amp;lang=en_US&amp;offset=0&amp;query=any,contains,991003699039702656","Catalog Record")</f>
        <v>Catalog Record</v>
      </c>
      <c r="AV225" s="5" t="str">
        <f>HYPERLINK("http://www.worldcat.org/oclc/24843429","WorldCat Record")</f>
        <v>WorldCat Record</v>
      </c>
      <c r="AW225" s="2" t="s">
        <v>3005</v>
      </c>
      <c r="AX225" s="2" t="s">
        <v>3006</v>
      </c>
      <c r="AY225" s="2" t="s">
        <v>3007</v>
      </c>
      <c r="AZ225" s="2" t="s">
        <v>3007</v>
      </c>
      <c r="BA225" s="2" t="s">
        <v>3008</v>
      </c>
      <c r="BB225" s="2" t="s">
        <v>20</v>
      </c>
      <c r="BE225" s="2" t="s">
        <v>3009</v>
      </c>
      <c r="BF225" s="2" t="s">
        <v>3010</v>
      </c>
    </row>
    <row r="226" spans="1:58" ht="39.75" customHeight="1" x14ac:dyDescent="0.25">
      <c r="A226" s="7" t="s">
        <v>5</v>
      </c>
      <c r="B226" s="1" t="s">
        <v>0</v>
      </c>
      <c r="C226" s="1" t="s">
        <v>1</v>
      </c>
      <c r="D226" s="1" t="s">
        <v>3011</v>
      </c>
      <c r="E226" s="1" t="s">
        <v>3012</v>
      </c>
      <c r="F226" s="1" t="s">
        <v>3013</v>
      </c>
      <c r="H226" s="2" t="s">
        <v>5</v>
      </c>
      <c r="I226" s="2" t="s">
        <v>6</v>
      </c>
      <c r="J226" s="2" t="s">
        <v>5</v>
      </c>
      <c r="K226" s="2" t="s">
        <v>5</v>
      </c>
      <c r="L226" s="2" t="s">
        <v>7</v>
      </c>
      <c r="M226" s="1" t="s">
        <v>3014</v>
      </c>
      <c r="N226" s="1" t="s">
        <v>3015</v>
      </c>
      <c r="O226" s="2" t="s">
        <v>91</v>
      </c>
      <c r="Q226" s="2" t="s">
        <v>60</v>
      </c>
      <c r="R226" s="2" t="s">
        <v>61</v>
      </c>
      <c r="S226" s="1" t="s">
        <v>3016</v>
      </c>
      <c r="T226" s="2" t="s">
        <v>13</v>
      </c>
      <c r="U226" s="3">
        <v>1</v>
      </c>
      <c r="V226" s="3">
        <v>1</v>
      </c>
      <c r="W226" s="4" t="s">
        <v>3017</v>
      </c>
      <c r="X226" s="4" t="s">
        <v>3017</v>
      </c>
      <c r="Y226" s="4" t="s">
        <v>3018</v>
      </c>
      <c r="Z226" s="4" t="s">
        <v>3018</v>
      </c>
      <c r="AA226" s="3">
        <v>234</v>
      </c>
      <c r="AB226" s="3">
        <v>188</v>
      </c>
      <c r="AC226" s="3">
        <v>195</v>
      </c>
      <c r="AD226" s="3">
        <v>3</v>
      </c>
      <c r="AE226" s="9">
        <v>3</v>
      </c>
      <c r="AF226" s="9">
        <v>9</v>
      </c>
      <c r="AG226" s="9">
        <v>9</v>
      </c>
      <c r="AH226" s="3">
        <v>0</v>
      </c>
      <c r="AI226" s="3">
        <v>0</v>
      </c>
      <c r="AJ226" s="3">
        <v>3</v>
      </c>
      <c r="AK226" s="3">
        <v>3</v>
      </c>
      <c r="AL226" s="3">
        <v>5</v>
      </c>
      <c r="AM226" s="3">
        <v>5</v>
      </c>
      <c r="AN226" s="3">
        <v>2</v>
      </c>
      <c r="AO226" s="3">
        <v>2</v>
      </c>
      <c r="AP226" s="3">
        <v>0</v>
      </c>
      <c r="AQ226" s="3">
        <v>0</v>
      </c>
      <c r="AR226" s="2" t="s">
        <v>5</v>
      </c>
      <c r="AS226" s="2" t="s">
        <v>46</v>
      </c>
      <c r="AT226" s="5" t="str">
        <f>HYPERLINK("http://catalog.hathitrust.org/Record/002895914","HathiTrust Record")</f>
        <v>HathiTrust Record</v>
      </c>
      <c r="AU226" s="5" t="str">
        <f>HYPERLINK("https://creighton-primo.hosted.exlibrisgroup.com/primo-explore/search?tab=default_tab&amp;search_scope=EVERYTHING&amp;vid=01CRU&amp;lang=en_US&amp;offset=0&amp;query=any,contains,991002283819702656","Catalog Record")</f>
        <v>Catalog Record</v>
      </c>
      <c r="AV226" s="5" t="str">
        <f>HYPERLINK("http://www.worldcat.org/oclc/29600819","WorldCat Record")</f>
        <v>WorldCat Record</v>
      </c>
      <c r="AW226" s="2" t="s">
        <v>3019</v>
      </c>
      <c r="AX226" s="2" t="s">
        <v>3020</v>
      </c>
      <c r="AY226" s="2" t="s">
        <v>3021</v>
      </c>
      <c r="AZ226" s="2" t="s">
        <v>3021</v>
      </c>
      <c r="BA226" s="2" t="s">
        <v>3022</v>
      </c>
      <c r="BB226" s="2" t="s">
        <v>20</v>
      </c>
      <c r="BD226" s="2" t="s">
        <v>3023</v>
      </c>
      <c r="BE226" s="2" t="s">
        <v>3024</v>
      </c>
      <c r="BF226" s="2" t="s">
        <v>3025</v>
      </c>
    </row>
    <row r="227" spans="1:58" ht="39.75" customHeight="1" x14ac:dyDescent="0.25">
      <c r="A227" s="7" t="s">
        <v>5</v>
      </c>
      <c r="B227" s="1" t="s">
        <v>0</v>
      </c>
      <c r="C227" s="1" t="s">
        <v>1</v>
      </c>
      <c r="D227" s="1" t="s">
        <v>3026</v>
      </c>
      <c r="E227" s="1" t="s">
        <v>3027</v>
      </c>
      <c r="F227" s="1" t="s">
        <v>3028</v>
      </c>
      <c r="H227" s="2" t="s">
        <v>5</v>
      </c>
      <c r="I227" s="2" t="s">
        <v>6</v>
      </c>
      <c r="J227" s="2" t="s">
        <v>5</v>
      </c>
      <c r="K227" s="2" t="s">
        <v>5</v>
      </c>
      <c r="L227" s="2" t="s">
        <v>7</v>
      </c>
      <c r="M227" s="1" t="s">
        <v>3029</v>
      </c>
      <c r="N227" s="1" t="s">
        <v>3030</v>
      </c>
      <c r="O227" s="2" t="s">
        <v>108</v>
      </c>
      <c r="Q227" s="2" t="s">
        <v>60</v>
      </c>
      <c r="R227" s="2" t="s">
        <v>262</v>
      </c>
      <c r="S227" s="1" t="s">
        <v>3031</v>
      </c>
      <c r="T227" s="2" t="s">
        <v>13</v>
      </c>
      <c r="U227" s="3">
        <v>1</v>
      </c>
      <c r="V227" s="3">
        <v>1</v>
      </c>
      <c r="W227" s="4" t="s">
        <v>3032</v>
      </c>
      <c r="X227" s="4" t="s">
        <v>3032</v>
      </c>
      <c r="Y227" s="4" t="s">
        <v>3033</v>
      </c>
      <c r="Z227" s="4" t="s">
        <v>3033</v>
      </c>
      <c r="AA227" s="3">
        <v>526</v>
      </c>
      <c r="AB227" s="3">
        <v>498</v>
      </c>
      <c r="AC227" s="3">
        <v>838</v>
      </c>
      <c r="AD227" s="3">
        <v>4</v>
      </c>
      <c r="AE227" s="9">
        <v>7</v>
      </c>
      <c r="AF227" s="9">
        <v>21</v>
      </c>
      <c r="AG227" s="9">
        <v>37</v>
      </c>
      <c r="AH227" s="3">
        <v>7</v>
      </c>
      <c r="AI227" s="3">
        <v>13</v>
      </c>
      <c r="AJ227" s="3">
        <v>6</v>
      </c>
      <c r="AK227" s="3">
        <v>9</v>
      </c>
      <c r="AL227" s="3">
        <v>10</v>
      </c>
      <c r="AM227" s="3">
        <v>17</v>
      </c>
      <c r="AN227" s="3">
        <v>3</v>
      </c>
      <c r="AO227" s="3">
        <v>6</v>
      </c>
      <c r="AP227" s="3">
        <v>0</v>
      </c>
      <c r="AQ227" s="3">
        <v>0</v>
      </c>
      <c r="AR227" s="2" t="s">
        <v>5</v>
      </c>
      <c r="AS227" s="2" t="s">
        <v>46</v>
      </c>
      <c r="AT227" s="5" t="str">
        <f>HYPERLINK("http://catalog.hathitrust.org/Record/001225288","HathiTrust Record")</f>
        <v>HathiTrust Record</v>
      </c>
      <c r="AU227" s="5" t="str">
        <f>HYPERLINK("https://creighton-primo.hosted.exlibrisgroup.com/primo-explore/search?tab=default_tab&amp;search_scope=EVERYTHING&amp;vid=01CRU&amp;lang=en_US&amp;offset=0&amp;query=any,contains,991002333919702656","Catalog Record")</f>
        <v>Catalog Record</v>
      </c>
      <c r="AV227" s="5" t="str">
        <f>HYPERLINK("http://www.worldcat.org/oclc/322693","WorldCat Record")</f>
        <v>WorldCat Record</v>
      </c>
      <c r="AW227" s="2" t="s">
        <v>3034</v>
      </c>
      <c r="AX227" s="2" t="s">
        <v>3035</v>
      </c>
      <c r="AY227" s="2" t="s">
        <v>3036</v>
      </c>
      <c r="AZ227" s="2" t="s">
        <v>3036</v>
      </c>
      <c r="BA227" s="2" t="s">
        <v>3037</v>
      </c>
      <c r="BB227" s="2" t="s">
        <v>20</v>
      </c>
      <c r="BD227" s="2" t="s">
        <v>3038</v>
      </c>
      <c r="BE227" s="2" t="s">
        <v>3039</v>
      </c>
      <c r="BF227" s="2" t="s">
        <v>3040</v>
      </c>
    </row>
    <row r="228" spans="1:58" ht="39.75" customHeight="1" x14ac:dyDescent="0.25">
      <c r="A228" s="7" t="s">
        <v>5</v>
      </c>
      <c r="B228" s="1" t="s">
        <v>0</v>
      </c>
      <c r="C228" s="1" t="s">
        <v>1</v>
      </c>
      <c r="D228" s="1" t="s">
        <v>3041</v>
      </c>
      <c r="E228" s="1" t="s">
        <v>3042</v>
      </c>
      <c r="F228" s="1" t="s">
        <v>3043</v>
      </c>
      <c r="H228" s="2" t="s">
        <v>5</v>
      </c>
      <c r="I228" s="2" t="s">
        <v>6</v>
      </c>
      <c r="J228" s="2" t="s">
        <v>5</v>
      </c>
      <c r="K228" s="2" t="s">
        <v>5</v>
      </c>
      <c r="L228" s="2" t="s">
        <v>7</v>
      </c>
      <c r="M228" s="1" t="s">
        <v>3044</v>
      </c>
      <c r="N228" s="1" t="s">
        <v>3045</v>
      </c>
      <c r="O228" s="2" t="s">
        <v>3046</v>
      </c>
      <c r="Q228" s="2" t="s">
        <v>60</v>
      </c>
      <c r="R228" s="2" t="s">
        <v>61</v>
      </c>
      <c r="S228" s="1" t="s">
        <v>3047</v>
      </c>
      <c r="T228" s="2" t="s">
        <v>13</v>
      </c>
      <c r="U228" s="3">
        <v>2</v>
      </c>
      <c r="V228" s="3">
        <v>2</v>
      </c>
      <c r="W228" s="4" t="s">
        <v>3048</v>
      </c>
      <c r="X228" s="4" t="s">
        <v>3048</v>
      </c>
      <c r="Y228" s="4" t="s">
        <v>2653</v>
      </c>
      <c r="Z228" s="4" t="s">
        <v>2653</v>
      </c>
      <c r="AA228" s="3">
        <v>39</v>
      </c>
      <c r="AB228" s="3">
        <v>36</v>
      </c>
      <c r="AC228" s="3">
        <v>36</v>
      </c>
      <c r="AD228" s="3">
        <v>1</v>
      </c>
      <c r="AE228" s="9">
        <v>1</v>
      </c>
      <c r="AF228" s="9">
        <v>9</v>
      </c>
      <c r="AG228" s="9">
        <v>9</v>
      </c>
      <c r="AH228" s="3">
        <v>3</v>
      </c>
      <c r="AI228" s="3">
        <v>3</v>
      </c>
      <c r="AJ228" s="3">
        <v>2</v>
      </c>
      <c r="AK228" s="3">
        <v>2</v>
      </c>
      <c r="AL228" s="3">
        <v>6</v>
      </c>
      <c r="AM228" s="3">
        <v>6</v>
      </c>
      <c r="AN228" s="3">
        <v>0</v>
      </c>
      <c r="AO228" s="3">
        <v>0</v>
      </c>
      <c r="AP228" s="3">
        <v>0</v>
      </c>
      <c r="AQ228" s="3">
        <v>0</v>
      </c>
      <c r="AR228" s="2" t="s">
        <v>5</v>
      </c>
      <c r="AS228" s="2" t="s">
        <v>5</v>
      </c>
      <c r="AU228" s="5" t="str">
        <f>HYPERLINK("https://creighton-primo.hosted.exlibrisgroup.com/primo-explore/search?tab=default_tab&amp;search_scope=EVERYTHING&amp;vid=01CRU&amp;lang=en_US&amp;offset=0&amp;query=any,contains,991004826749702656","Catalog Record")</f>
        <v>Catalog Record</v>
      </c>
      <c r="AV228" s="5" t="str">
        <f>HYPERLINK("http://www.worldcat.org/oclc/5357550","WorldCat Record")</f>
        <v>WorldCat Record</v>
      </c>
      <c r="AW228" s="2" t="s">
        <v>3049</v>
      </c>
      <c r="AX228" s="2" t="s">
        <v>3050</v>
      </c>
      <c r="AY228" s="2" t="s">
        <v>3051</v>
      </c>
      <c r="AZ228" s="2" t="s">
        <v>3051</v>
      </c>
      <c r="BA228" s="2" t="s">
        <v>3052</v>
      </c>
      <c r="BB228" s="2" t="s">
        <v>20</v>
      </c>
      <c r="BE228" s="2" t="s">
        <v>3053</v>
      </c>
      <c r="BF228" s="2" t="s">
        <v>3054</v>
      </c>
    </row>
    <row r="229" spans="1:58" ht="39.75" customHeight="1" x14ac:dyDescent="0.25">
      <c r="A229" s="7" t="s">
        <v>5</v>
      </c>
      <c r="B229" s="1" t="s">
        <v>0</v>
      </c>
      <c r="C229" s="1" t="s">
        <v>1</v>
      </c>
      <c r="D229" s="1" t="s">
        <v>3055</v>
      </c>
      <c r="E229" s="1" t="s">
        <v>3056</v>
      </c>
      <c r="F229" s="1" t="s">
        <v>3057</v>
      </c>
      <c r="H229" s="2" t="s">
        <v>5</v>
      </c>
      <c r="I229" s="2" t="s">
        <v>6</v>
      </c>
      <c r="J229" s="2" t="s">
        <v>5</v>
      </c>
      <c r="K229" s="2" t="s">
        <v>5</v>
      </c>
      <c r="L229" s="2" t="s">
        <v>7</v>
      </c>
      <c r="M229" s="1" t="s">
        <v>3058</v>
      </c>
      <c r="N229" s="1" t="s">
        <v>3059</v>
      </c>
      <c r="O229" s="2" t="s">
        <v>1219</v>
      </c>
      <c r="Q229" s="2" t="s">
        <v>60</v>
      </c>
      <c r="R229" s="2" t="s">
        <v>61</v>
      </c>
      <c r="S229" s="1" t="s">
        <v>3060</v>
      </c>
      <c r="T229" s="2" t="s">
        <v>13</v>
      </c>
      <c r="U229" s="3">
        <v>0</v>
      </c>
      <c r="V229" s="3">
        <v>0</v>
      </c>
      <c r="W229" s="4" t="s">
        <v>3061</v>
      </c>
      <c r="X229" s="4" t="s">
        <v>3061</v>
      </c>
      <c r="Y229" s="4" t="s">
        <v>3062</v>
      </c>
      <c r="Z229" s="4" t="s">
        <v>3062</v>
      </c>
      <c r="AA229" s="3">
        <v>524</v>
      </c>
      <c r="AB229" s="3">
        <v>511</v>
      </c>
      <c r="AC229" s="3">
        <v>793</v>
      </c>
      <c r="AD229" s="3">
        <v>4</v>
      </c>
      <c r="AE229" s="9">
        <v>5</v>
      </c>
      <c r="AF229" s="9">
        <v>22</v>
      </c>
      <c r="AG229" s="9">
        <v>31</v>
      </c>
      <c r="AH229" s="3">
        <v>11</v>
      </c>
      <c r="AI229" s="3">
        <v>16</v>
      </c>
      <c r="AJ229" s="3">
        <v>4</v>
      </c>
      <c r="AK229" s="3">
        <v>5</v>
      </c>
      <c r="AL229" s="3">
        <v>8</v>
      </c>
      <c r="AM229" s="3">
        <v>12</v>
      </c>
      <c r="AN229" s="3">
        <v>3</v>
      </c>
      <c r="AO229" s="3">
        <v>4</v>
      </c>
      <c r="AP229" s="3">
        <v>0</v>
      </c>
      <c r="AQ229" s="3">
        <v>0</v>
      </c>
      <c r="AR229" s="2" t="s">
        <v>5</v>
      </c>
      <c r="AS229" s="2" t="s">
        <v>5</v>
      </c>
      <c r="AT229" s="5" t="str">
        <f>HYPERLINK("http://catalog.hathitrust.org/Record/000130794","HathiTrust Record")</f>
        <v>HathiTrust Record</v>
      </c>
      <c r="AU229" s="5" t="str">
        <f>HYPERLINK("https://creighton-primo.hosted.exlibrisgroup.com/primo-explore/search?tab=default_tab&amp;search_scope=EVERYTHING&amp;vid=01CRU&amp;lang=en_US&amp;offset=0&amp;query=any,contains,991002492579702656","Catalog Record")</f>
        <v>Catalog Record</v>
      </c>
      <c r="AV229" s="5" t="str">
        <f>HYPERLINK("http://www.worldcat.org/oclc/362909","WorldCat Record")</f>
        <v>WorldCat Record</v>
      </c>
      <c r="AW229" s="2" t="s">
        <v>3063</v>
      </c>
      <c r="AX229" s="2" t="s">
        <v>3064</v>
      </c>
      <c r="AY229" s="2" t="s">
        <v>3065</v>
      </c>
      <c r="AZ229" s="2" t="s">
        <v>3065</v>
      </c>
      <c r="BA229" s="2" t="s">
        <v>3066</v>
      </c>
      <c r="BB229" s="2" t="s">
        <v>20</v>
      </c>
      <c r="BE229" s="2" t="s">
        <v>3067</v>
      </c>
      <c r="BF229" s="2" t="s">
        <v>3068</v>
      </c>
    </row>
    <row r="230" spans="1:58" ht="39.75" customHeight="1" x14ac:dyDescent="0.25">
      <c r="A230" s="7" t="s">
        <v>5</v>
      </c>
      <c r="B230" s="1" t="s">
        <v>0</v>
      </c>
      <c r="C230" s="1" t="s">
        <v>1</v>
      </c>
      <c r="D230" s="1" t="s">
        <v>3069</v>
      </c>
      <c r="E230" s="1" t="s">
        <v>3070</v>
      </c>
      <c r="F230" s="1" t="s">
        <v>3071</v>
      </c>
      <c r="H230" s="2" t="s">
        <v>5</v>
      </c>
      <c r="I230" s="2" t="s">
        <v>6</v>
      </c>
      <c r="J230" s="2" t="s">
        <v>5</v>
      </c>
      <c r="K230" s="2" t="s">
        <v>5</v>
      </c>
      <c r="L230" s="2" t="s">
        <v>7</v>
      </c>
      <c r="M230" s="1" t="s">
        <v>3072</v>
      </c>
      <c r="N230" s="1" t="s">
        <v>3073</v>
      </c>
      <c r="O230" s="2" t="s">
        <v>162</v>
      </c>
      <c r="Q230" s="2" t="s">
        <v>60</v>
      </c>
      <c r="R230" s="2" t="s">
        <v>61</v>
      </c>
      <c r="S230" s="1" t="s">
        <v>3074</v>
      </c>
      <c r="T230" s="2" t="s">
        <v>13</v>
      </c>
      <c r="U230" s="3">
        <v>1</v>
      </c>
      <c r="V230" s="3">
        <v>1</v>
      </c>
      <c r="W230" s="4" t="s">
        <v>3075</v>
      </c>
      <c r="X230" s="4" t="s">
        <v>3075</v>
      </c>
      <c r="Y230" s="4" t="s">
        <v>3076</v>
      </c>
      <c r="Z230" s="4" t="s">
        <v>3076</v>
      </c>
      <c r="AA230" s="3">
        <v>774</v>
      </c>
      <c r="AB230" s="3">
        <v>705</v>
      </c>
      <c r="AC230" s="3">
        <v>880</v>
      </c>
      <c r="AD230" s="3">
        <v>7</v>
      </c>
      <c r="AE230" s="9">
        <v>9</v>
      </c>
      <c r="AF230" s="9">
        <v>30</v>
      </c>
      <c r="AG230" s="9">
        <v>37</v>
      </c>
      <c r="AH230" s="3">
        <v>9</v>
      </c>
      <c r="AI230" s="3">
        <v>13</v>
      </c>
      <c r="AJ230" s="3">
        <v>7</v>
      </c>
      <c r="AK230" s="3">
        <v>7</v>
      </c>
      <c r="AL230" s="3">
        <v>15</v>
      </c>
      <c r="AM230" s="3">
        <v>18</v>
      </c>
      <c r="AN230" s="3">
        <v>5</v>
      </c>
      <c r="AO230" s="3">
        <v>7</v>
      </c>
      <c r="AP230" s="3">
        <v>0</v>
      </c>
      <c r="AQ230" s="3">
        <v>0</v>
      </c>
      <c r="AR230" s="2" t="s">
        <v>5</v>
      </c>
      <c r="AS230" s="2" t="s">
        <v>46</v>
      </c>
      <c r="AT230" s="5" t="str">
        <f>HYPERLINK("http://catalog.hathitrust.org/Record/001213553","HathiTrust Record")</f>
        <v>HathiTrust Record</v>
      </c>
      <c r="AU230" s="5" t="str">
        <f>HYPERLINK("https://creighton-primo.hosted.exlibrisgroup.com/primo-explore/search?tab=default_tab&amp;search_scope=EVERYTHING&amp;vid=01CRU&amp;lang=en_US&amp;offset=0&amp;query=any,contains,991003574679702656","Catalog Record")</f>
        <v>Catalog Record</v>
      </c>
      <c r="AV230" s="5" t="str">
        <f>HYPERLINK("http://www.worldcat.org/oclc/1151678","WorldCat Record")</f>
        <v>WorldCat Record</v>
      </c>
      <c r="AW230" s="2" t="s">
        <v>3077</v>
      </c>
      <c r="AX230" s="2" t="s">
        <v>3078</v>
      </c>
      <c r="AY230" s="2" t="s">
        <v>3079</v>
      </c>
      <c r="AZ230" s="2" t="s">
        <v>3079</v>
      </c>
      <c r="BA230" s="2" t="s">
        <v>3080</v>
      </c>
      <c r="BB230" s="2" t="s">
        <v>20</v>
      </c>
      <c r="BE230" s="2" t="s">
        <v>3081</v>
      </c>
      <c r="BF230" s="2" t="s">
        <v>3082</v>
      </c>
    </row>
    <row r="231" spans="1:58" ht="39.75" customHeight="1" x14ac:dyDescent="0.25">
      <c r="A231" s="7" t="s">
        <v>5</v>
      </c>
      <c r="B231" s="1" t="s">
        <v>0</v>
      </c>
      <c r="C231" s="1" t="s">
        <v>1</v>
      </c>
      <c r="D231" s="1" t="s">
        <v>3083</v>
      </c>
      <c r="E231" s="1" t="s">
        <v>3084</v>
      </c>
      <c r="F231" s="1" t="s">
        <v>3085</v>
      </c>
      <c r="G231" s="2" t="s">
        <v>101</v>
      </c>
      <c r="H231" s="2" t="s">
        <v>46</v>
      </c>
      <c r="I231" s="2" t="s">
        <v>6</v>
      </c>
      <c r="J231" s="2" t="s">
        <v>5</v>
      </c>
      <c r="K231" s="2" t="s">
        <v>5</v>
      </c>
      <c r="L231" s="2" t="s">
        <v>7</v>
      </c>
      <c r="M231" s="1" t="s">
        <v>3086</v>
      </c>
      <c r="N231" s="1" t="s">
        <v>3087</v>
      </c>
      <c r="O231" s="2" t="s">
        <v>406</v>
      </c>
      <c r="Q231" s="2" t="s">
        <v>11</v>
      </c>
      <c r="R231" s="2" t="s">
        <v>28</v>
      </c>
      <c r="S231" s="1" t="s">
        <v>3088</v>
      </c>
      <c r="T231" s="2" t="s">
        <v>13</v>
      </c>
      <c r="U231" s="3">
        <v>1</v>
      </c>
      <c r="V231" s="3">
        <v>1</v>
      </c>
      <c r="W231" s="4" t="s">
        <v>3089</v>
      </c>
      <c r="X231" s="4" t="s">
        <v>3089</v>
      </c>
      <c r="Y231" s="4" t="s">
        <v>3089</v>
      </c>
      <c r="Z231" s="4" t="s">
        <v>3089</v>
      </c>
      <c r="AA231" s="3">
        <v>470</v>
      </c>
      <c r="AB231" s="3">
        <v>407</v>
      </c>
      <c r="AC231" s="3">
        <v>470</v>
      </c>
      <c r="AD231" s="3">
        <v>4</v>
      </c>
      <c r="AE231" s="9">
        <v>4</v>
      </c>
      <c r="AF231" s="9">
        <v>31</v>
      </c>
      <c r="AG231" s="9">
        <v>34</v>
      </c>
      <c r="AH231" s="3">
        <v>11</v>
      </c>
      <c r="AI231" s="3">
        <v>13</v>
      </c>
      <c r="AJ231" s="3">
        <v>9</v>
      </c>
      <c r="AK231" s="3">
        <v>9</v>
      </c>
      <c r="AL231" s="3">
        <v>14</v>
      </c>
      <c r="AM231" s="3">
        <v>16</v>
      </c>
      <c r="AN231" s="3">
        <v>3</v>
      </c>
      <c r="AO231" s="3">
        <v>3</v>
      </c>
      <c r="AP231" s="3">
        <v>0</v>
      </c>
      <c r="AQ231" s="3">
        <v>0</v>
      </c>
      <c r="AR231" s="2" t="s">
        <v>5</v>
      </c>
      <c r="AS231" s="2" t="s">
        <v>46</v>
      </c>
      <c r="AT231" s="5" t="str">
        <f>HYPERLINK("http://catalog.hathitrust.org/Record/001214052","HathiTrust Record")</f>
        <v>HathiTrust Record</v>
      </c>
      <c r="AU231" s="5" t="str">
        <f>HYPERLINK("https://creighton-primo.hosted.exlibrisgroup.com/primo-explore/search?tab=default_tab&amp;search_scope=EVERYTHING&amp;vid=01CRU&amp;lang=en_US&amp;offset=0&amp;query=any,contains,991003306859702656","Catalog Record")</f>
        <v>Catalog Record</v>
      </c>
      <c r="AV231" s="5" t="str">
        <f>HYPERLINK("http://www.worldcat.org/oclc/255037","WorldCat Record")</f>
        <v>WorldCat Record</v>
      </c>
      <c r="AW231" s="2" t="s">
        <v>3090</v>
      </c>
      <c r="AX231" s="2" t="s">
        <v>3091</v>
      </c>
      <c r="AY231" s="2" t="s">
        <v>3092</v>
      </c>
      <c r="AZ231" s="2" t="s">
        <v>3092</v>
      </c>
      <c r="BA231" s="2" t="s">
        <v>3093</v>
      </c>
      <c r="BB231" s="2" t="s">
        <v>20</v>
      </c>
      <c r="BD231" s="2" t="s">
        <v>3094</v>
      </c>
      <c r="BE231" s="2" t="s">
        <v>3095</v>
      </c>
      <c r="BF231" s="2" t="s">
        <v>3096</v>
      </c>
    </row>
    <row r="232" spans="1:58" ht="39.75" customHeight="1" x14ac:dyDescent="0.25">
      <c r="A232" s="7" t="s">
        <v>5</v>
      </c>
      <c r="B232" s="1" t="s">
        <v>0</v>
      </c>
      <c r="C232" s="1" t="s">
        <v>1</v>
      </c>
      <c r="D232" s="1" t="s">
        <v>3097</v>
      </c>
      <c r="E232" s="1" t="s">
        <v>3098</v>
      </c>
      <c r="F232" s="1" t="s">
        <v>3099</v>
      </c>
      <c r="G232" s="2" t="s">
        <v>101</v>
      </c>
      <c r="H232" s="2" t="s">
        <v>46</v>
      </c>
      <c r="I232" s="2" t="s">
        <v>6</v>
      </c>
      <c r="J232" s="2" t="s">
        <v>5</v>
      </c>
      <c r="K232" s="2" t="s">
        <v>5</v>
      </c>
      <c r="L232" s="2" t="s">
        <v>7</v>
      </c>
      <c r="M232" s="1" t="s">
        <v>3100</v>
      </c>
      <c r="N232" s="1" t="s">
        <v>3101</v>
      </c>
      <c r="O232" s="2" t="s">
        <v>192</v>
      </c>
      <c r="Q232" s="2" t="s">
        <v>11</v>
      </c>
      <c r="R232" s="2" t="s">
        <v>28</v>
      </c>
      <c r="T232" s="2" t="s">
        <v>13</v>
      </c>
      <c r="U232" s="3">
        <v>1</v>
      </c>
      <c r="V232" s="3">
        <v>2</v>
      </c>
      <c r="W232" s="4" t="s">
        <v>3102</v>
      </c>
      <c r="X232" s="4" t="s">
        <v>3102</v>
      </c>
      <c r="Y232" s="4" t="s">
        <v>3103</v>
      </c>
      <c r="Z232" s="4" t="s">
        <v>79</v>
      </c>
      <c r="AA232" s="3">
        <v>80</v>
      </c>
      <c r="AB232" s="3">
        <v>72</v>
      </c>
      <c r="AC232" s="3">
        <v>199</v>
      </c>
      <c r="AD232" s="3">
        <v>1</v>
      </c>
      <c r="AE232" s="9">
        <v>2</v>
      </c>
      <c r="AF232" s="9">
        <v>3</v>
      </c>
      <c r="AG232" s="9">
        <v>6</v>
      </c>
      <c r="AH232" s="3">
        <v>0</v>
      </c>
      <c r="AI232" s="3">
        <v>0</v>
      </c>
      <c r="AJ232" s="3">
        <v>0</v>
      </c>
      <c r="AK232" s="3">
        <v>0</v>
      </c>
      <c r="AL232" s="3">
        <v>3</v>
      </c>
      <c r="AM232" s="3">
        <v>5</v>
      </c>
      <c r="AN232" s="3">
        <v>0</v>
      </c>
      <c r="AO232" s="3">
        <v>1</v>
      </c>
      <c r="AP232" s="3">
        <v>0</v>
      </c>
      <c r="AQ232" s="3">
        <v>0</v>
      </c>
      <c r="AR232" s="2" t="s">
        <v>5</v>
      </c>
      <c r="AS232" s="2" t="s">
        <v>5</v>
      </c>
      <c r="AU232" s="5" t="str">
        <f>HYPERLINK("https://creighton-primo.hosted.exlibrisgroup.com/primo-explore/search?tab=default_tab&amp;search_scope=EVERYTHING&amp;vid=01CRU&amp;lang=en_US&amp;offset=0&amp;query=any,contains,991004200929702656","Catalog Record")</f>
        <v>Catalog Record</v>
      </c>
      <c r="AV232" s="5" t="str">
        <f>HYPERLINK("http://www.worldcat.org/oclc/2652973","WorldCat Record")</f>
        <v>WorldCat Record</v>
      </c>
      <c r="AW232" s="2" t="s">
        <v>3104</v>
      </c>
      <c r="AX232" s="2" t="s">
        <v>3105</v>
      </c>
      <c r="AY232" s="2" t="s">
        <v>3106</v>
      </c>
      <c r="AZ232" s="2" t="s">
        <v>3106</v>
      </c>
      <c r="BA232" s="2" t="s">
        <v>3107</v>
      </c>
      <c r="BB232" s="2" t="s">
        <v>20</v>
      </c>
      <c r="BE232" s="2" t="s">
        <v>3108</v>
      </c>
      <c r="BF232" s="2" t="s">
        <v>3109</v>
      </c>
    </row>
    <row r="233" spans="1:58" ht="39.75" customHeight="1" x14ac:dyDescent="0.25">
      <c r="A233" s="7" t="s">
        <v>5</v>
      </c>
      <c r="B233" s="1" t="s">
        <v>0</v>
      </c>
      <c r="C233" s="1" t="s">
        <v>1</v>
      </c>
      <c r="D233" s="1" t="s">
        <v>3097</v>
      </c>
      <c r="E233" s="1" t="s">
        <v>3098</v>
      </c>
      <c r="F233" s="1" t="s">
        <v>3099</v>
      </c>
      <c r="G233" s="2" t="s">
        <v>73</v>
      </c>
      <c r="H233" s="2" t="s">
        <v>46</v>
      </c>
      <c r="I233" s="2" t="s">
        <v>6</v>
      </c>
      <c r="J233" s="2" t="s">
        <v>5</v>
      </c>
      <c r="K233" s="2" t="s">
        <v>5</v>
      </c>
      <c r="L233" s="2" t="s">
        <v>7</v>
      </c>
      <c r="M233" s="1" t="s">
        <v>3100</v>
      </c>
      <c r="N233" s="1" t="s">
        <v>3101</v>
      </c>
      <c r="O233" s="2" t="s">
        <v>192</v>
      </c>
      <c r="Q233" s="2" t="s">
        <v>11</v>
      </c>
      <c r="R233" s="2" t="s">
        <v>28</v>
      </c>
      <c r="T233" s="2" t="s">
        <v>13</v>
      </c>
      <c r="U233" s="3">
        <v>1</v>
      </c>
      <c r="V233" s="3">
        <v>2</v>
      </c>
      <c r="W233" s="4" t="s">
        <v>3102</v>
      </c>
      <c r="X233" s="4" t="s">
        <v>3102</v>
      </c>
      <c r="Y233" s="4" t="s">
        <v>79</v>
      </c>
      <c r="Z233" s="4" t="s">
        <v>79</v>
      </c>
      <c r="AA233" s="3">
        <v>80</v>
      </c>
      <c r="AB233" s="3">
        <v>72</v>
      </c>
      <c r="AC233" s="3">
        <v>199</v>
      </c>
      <c r="AD233" s="3">
        <v>1</v>
      </c>
      <c r="AE233" s="9">
        <v>2</v>
      </c>
      <c r="AF233" s="9">
        <v>3</v>
      </c>
      <c r="AG233" s="9">
        <v>6</v>
      </c>
      <c r="AH233" s="3">
        <v>0</v>
      </c>
      <c r="AI233" s="3">
        <v>0</v>
      </c>
      <c r="AJ233" s="3">
        <v>0</v>
      </c>
      <c r="AK233" s="3">
        <v>0</v>
      </c>
      <c r="AL233" s="3">
        <v>3</v>
      </c>
      <c r="AM233" s="3">
        <v>5</v>
      </c>
      <c r="AN233" s="3">
        <v>0</v>
      </c>
      <c r="AO233" s="3">
        <v>1</v>
      </c>
      <c r="AP233" s="3">
        <v>0</v>
      </c>
      <c r="AQ233" s="3">
        <v>0</v>
      </c>
      <c r="AR233" s="2" t="s">
        <v>5</v>
      </c>
      <c r="AS233" s="2" t="s">
        <v>5</v>
      </c>
      <c r="AU233" s="5" t="str">
        <f>HYPERLINK("https://creighton-primo.hosted.exlibrisgroup.com/primo-explore/search?tab=default_tab&amp;search_scope=EVERYTHING&amp;vid=01CRU&amp;lang=en_US&amp;offset=0&amp;query=any,contains,991004200929702656","Catalog Record")</f>
        <v>Catalog Record</v>
      </c>
      <c r="AV233" s="5" t="str">
        <f>HYPERLINK("http://www.worldcat.org/oclc/2652973","WorldCat Record")</f>
        <v>WorldCat Record</v>
      </c>
      <c r="AW233" s="2" t="s">
        <v>3104</v>
      </c>
      <c r="AX233" s="2" t="s">
        <v>3105</v>
      </c>
      <c r="AY233" s="2" t="s">
        <v>3106</v>
      </c>
      <c r="AZ233" s="2" t="s">
        <v>3106</v>
      </c>
      <c r="BA233" s="2" t="s">
        <v>3107</v>
      </c>
      <c r="BB233" s="2" t="s">
        <v>20</v>
      </c>
      <c r="BE233" s="2" t="s">
        <v>3110</v>
      </c>
      <c r="BF233" s="2" t="s">
        <v>3111</v>
      </c>
    </row>
    <row r="234" spans="1:58" ht="39.75" customHeight="1" x14ac:dyDescent="0.25">
      <c r="A234" s="7" t="s">
        <v>5</v>
      </c>
      <c r="B234" s="1" t="s">
        <v>0</v>
      </c>
      <c r="C234" s="1" t="s">
        <v>1</v>
      </c>
      <c r="D234" s="1" t="s">
        <v>3112</v>
      </c>
      <c r="E234" s="1" t="s">
        <v>3113</v>
      </c>
      <c r="F234" s="1" t="s">
        <v>3114</v>
      </c>
      <c r="H234" s="2" t="s">
        <v>5</v>
      </c>
      <c r="I234" s="2" t="s">
        <v>6</v>
      </c>
      <c r="J234" s="2" t="s">
        <v>5</v>
      </c>
      <c r="K234" s="2" t="s">
        <v>5</v>
      </c>
      <c r="L234" s="2" t="s">
        <v>7</v>
      </c>
      <c r="M234" s="1" t="s">
        <v>3115</v>
      </c>
      <c r="N234" s="1" t="s">
        <v>3116</v>
      </c>
      <c r="O234" s="2" t="s">
        <v>480</v>
      </c>
      <c r="Q234" s="2" t="s">
        <v>60</v>
      </c>
      <c r="R234" s="2" t="s">
        <v>61</v>
      </c>
      <c r="S234" s="1" t="s">
        <v>3117</v>
      </c>
      <c r="T234" s="2" t="s">
        <v>13</v>
      </c>
      <c r="U234" s="3">
        <v>2</v>
      </c>
      <c r="V234" s="3">
        <v>2</v>
      </c>
      <c r="W234" s="4" t="s">
        <v>1609</v>
      </c>
      <c r="X234" s="4" t="s">
        <v>1609</v>
      </c>
      <c r="Y234" s="4" t="s">
        <v>3118</v>
      </c>
      <c r="Z234" s="4" t="s">
        <v>3118</v>
      </c>
      <c r="AA234" s="3">
        <v>725</v>
      </c>
      <c r="AB234" s="3">
        <v>646</v>
      </c>
      <c r="AC234" s="3">
        <v>659</v>
      </c>
      <c r="AD234" s="3">
        <v>5</v>
      </c>
      <c r="AE234" s="9">
        <v>5</v>
      </c>
      <c r="AF234" s="9">
        <v>29</v>
      </c>
      <c r="AG234" s="9">
        <v>30</v>
      </c>
      <c r="AH234" s="3">
        <v>10</v>
      </c>
      <c r="AI234" s="3">
        <v>10</v>
      </c>
      <c r="AJ234" s="3">
        <v>6</v>
      </c>
      <c r="AK234" s="3">
        <v>7</v>
      </c>
      <c r="AL234" s="3">
        <v>17</v>
      </c>
      <c r="AM234" s="3">
        <v>18</v>
      </c>
      <c r="AN234" s="3">
        <v>4</v>
      </c>
      <c r="AO234" s="3">
        <v>4</v>
      </c>
      <c r="AP234" s="3">
        <v>0</v>
      </c>
      <c r="AQ234" s="3">
        <v>0</v>
      </c>
      <c r="AR234" s="2" t="s">
        <v>5</v>
      </c>
      <c r="AS234" s="2" t="s">
        <v>46</v>
      </c>
      <c r="AT234" s="5" t="str">
        <f>HYPERLINK("http://catalog.hathitrust.org/Record/001214788","HathiTrust Record")</f>
        <v>HathiTrust Record</v>
      </c>
      <c r="AU234" s="5" t="str">
        <f>HYPERLINK("https://creighton-primo.hosted.exlibrisgroup.com/primo-explore/search?tab=default_tab&amp;search_scope=EVERYTHING&amp;vid=01CRU&amp;lang=en_US&amp;offset=0&amp;query=any,contains,991001900099702656","Catalog Record")</f>
        <v>Catalog Record</v>
      </c>
      <c r="AV234" s="5" t="str">
        <f>HYPERLINK("http://www.worldcat.org/oclc/239205","WorldCat Record")</f>
        <v>WorldCat Record</v>
      </c>
      <c r="AW234" s="2" t="s">
        <v>3119</v>
      </c>
      <c r="AX234" s="2" t="s">
        <v>3120</v>
      </c>
      <c r="AY234" s="2" t="s">
        <v>3121</v>
      </c>
      <c r="AZ234" s="2" t="s">
        <v>3121</v>
      </c>
      <c r="BA234" s="2" t="s">
        <v>3122</v>
      </c>
      <c r="BB234" s="2" t="s">
        <v>20</v>
      </c>
      <c r="BE234" s="2" t="s">
        <v>3123</v>
      </c>
      <c r="BF234" s="2" t="s">
        <v>3124</v>
      </c>
    </row>
    <row r="235" spans="1:58" ht="39.75" customHeight="1" x14ac:dyDescent="0.25">
      <c r="A235" s="7" t="s">
        <v>5</v>
      </c>
      <c r="B235" s="1" t="s">
        <v>0</v>
      </c>
      <c r="C235" s="1" t="s">
        <v>1</v>
      </c>
      <c r="D235" s="1" t="s">
        <v>3125</v>
      </c>
      <c r="E235" s="1" t="s">
        <v>3126</v>
      </c>
      <c r="F235" s="1" t="s">
        <v>3127</v>
      </c>
      <c r="H235" s="2" t="s">
        <v>5</v>
      </c>
      <c r="I235" s="2" t="s">
        <v>6</v>
      </c>
      <c r="J235" s="2" t="s">
        <v>5</v>
      </c>
      <c r="K235" s="2" t="s">
        <v>5</v>
      </c>
      <c r="L235" s="2" t="s">
        <v>7</v>
      </c>
      <c r="M235" s="1" t="s">
        <v>3128</v>
      </c>
      <c r="N235" s="1" t="s">
        <v>3129</v>
      </c>
      <c r="O235" s="2" t="s">
        <v>791</v>
      </c>
      <c r="Q235" s="2" t="s">
        <v>60</v>
      </c>
      <c r="R235" s="2" t="s">
        <v>61</v>
      </c>
      <c r="S235" s="1" t="s">
        <v>2771</v>
      </c>
      <c r="T235" s="2" t="s">
        <v>13</v>
      </c>
      <c r="U235" s="3">
        <v>1</v>
      </c>
      <c r="V235" s="3">
        <v>1</v>
      </c>
      <c r="W235" s="4" t="s">
        <v>3130</v>
      </c>
      <c r="X235" s="4" t="s">
        <v>3130</v>
      </c>
      <c r="Y235" s="4" t="s">
        <v>3131</v>
      </c>
      <c r="Z235" s="4" t="s">
        <v>3131</v>
      </c>
      <c r="AA235" s="3">
        <v>805</v>
      </c>
      <c r="AB235" s="3">
        <v>740</v>
      </c>
      <c r="AC235" s="3">
        <v>747</v>
      </c>
      <c r="AD235" s="3">
        <v>5</v>
      </c>
      <c r="AE235" s="9">
        <v>5</v>
      </c>
      <c r="AF235" s="9">
        <v>31</v>
      </c>
      <c r="AG235" s="9">
        <v>31</v>
      </c>
      <c r="AH235" s="3">
        <v>14</v>
      </c>
      <c r="AI235" s="3">
        <v>14</v>
      </c>
      <c r="AJ235" s="3">
        <v>10</v>
      </c>
      <c r="AK235" s="3">
        <v>10</v>
      </c>
      <c r="AL235" s="3">
        <v>13</v>
      </c>
      <c r="AM235" s="3">
        <v>13</v>
      </c>
      <c r="AN235" s="3">
        <v>3</v>
      </c>
      <c r="AO235" s="3">
        <v>3</v>
      </c>
      <c r="AP235" s="3">
        <v>0</v>
      </c>
      <c r="AQ235" s="3">
        <v>0</v>
      </c>
      <c r="AR235" s="2" t="s">
        <v>5</v>
      </c>
      <c r="AS235" s="2" t="s">
        <v>46</v>
      </c>
      <c r="AT235" s="5" t="str">
        <f>HYPERLINK("http://catalog.hathitrust.org/Record/000032265","HathiTrust Record")</f>
        <v>HathiTrust Record</v>
      </c>
      <c r="AU235" s="5" t="str">
        <f>HYPERLINK("https://creighton-primo.hosted.exlibrisgroup.com/primo-explore/search?tab=default_tab&amp;search_scope=EVERYTHING&amp;vid=01CRU&amp;lang=en_US&amp;offset=0&amp;query=any,contains,991003615309702656","Catalog Record")</f>
        <v>Catalog Record</v>
      </c>
      <c r="AV235" s="5" t="str">
        <f>HYPERLINK("http://www.worldcat.org/oclc/1198839","WorldCat Record")</f>
        <v>WorldCat Record</v>
      </c>
      <c r="AW235" s="2" t="s">
        <v>3132</v>
      </c>
      <c r="AX235" s="2" t="s">
        <v>3133</v>
      </c>
      <c r="AY235" s="2" t="s">
        <v>3134</v>
      </c>
      <c r="AZ235" s="2" t="s">
        <v>3134</v>
      </c>
      <c r="BA235" s="2" t="s">
        <v>3135</v>
      </c>
      <c r="BB235" s="2" t="s">
        <v>20</v>
      </c>
      <c r="BD235" s="2" t="s">
        <v>3136</v>
      </c>
      <c r="BE235" s="2" t="s">
        <v>3137</v>
      </c>
      <c r="BF235" s="2" t="s">
        <v>3138</v>
      </c>
    </row>
    <row r="236" spans="1:58" ht="39.75" customHeight="1" x14ac:dyDescent="0.25">
      <c r="A236" s="7" t="s">
        <v>5</v>
      </c>
      <c r="B236" s="1" t="s">
        <v>0</v>
      </c>
      <c r="C236" s="1" t="s">
        <v>1</v>
      </c>
      <c r="D236" s="1" t="s">
        <v>3139</v>
      </c>
      <c r="E236" s="1" t="s">
        <v>3140</v>
      </c>
      <c r="F236" s="1" t="s">
        <v>3141</v>
      </c>
      <c r="H236" s="2" t="s">
        <v>5</v>
      </c>
      <c r="I236" s="2" t="s">
        <v>6</v>
      </c>
      <c r="J236" s="2" t="s">
        <v>5</v>
      </c>
      <c r="K236" s="2" t="s">
        <v>5</v>
      </c>
      <c r="L236" s="2" t="s">
        <v>7</v>
      </c>
      <c r="M236" s="1" t="s">
        <v>3142</v>
      </c>
      <c r="N236" s="1" t="s">
        <v>3143</v>
      </c>
      <c r="O236" s="2" t="s">
        <v>468</v>
      </c>
      <c r="P236" s="1" t="s">
        <v>3144</v>
      </c>
      <c r="Q236" s="2" t="s">
        <v>60</v>
      </c>
      <c r="R236" s="2" t="s">
        <v>61</v>
      </c>
      <c r="S236" s="1" t="s">
        <v>3145</v>
      </c>
      <c r="T236" s="2" t="s">
        <v>13</v>
      </c>
      <c r="U236" s="3">
        <v>1</v>
      </c>
      <c r="V236" s="3">
        <v>1</v>
      </c>
      <c r="W236" s="4" t="s">
        <v>1338</v>
      </c>
      <c r="X236" s="4" t="s">
        <v>1338</v>
      </c>
      <c r="Y236" s="4" t="s">
        <v>1338</v>
      </c>
      <c r="Z236" s="4" t="s">
        <v>1338</v>
      </c>
      <c r="AA236" s="3">
        <v>67</v>
      </c>
      <c r="AB236" s="3">
        <v>63</v>
      </c>
      <c r="AC236" s="3">
        <v>760</v>
      </c>
      <c r="AD236" s="3">
        <v>2</v>
      </c>
      <c r="AE236" s="9">
        <v>5</v>
      </c>
      <c r="AF236" s="9">
        <v>7</v>
      </c>
      <c r="AG236" s="9">
        <v>32</v>
      </c>
      <c r="AH236" s="3">
        <v>5</v>
      </c>
      <c r="AI236" s="3">
        <v>12</v>
      </c>
      <c r="AJ236" s="3">
        <v>0</v>
      </c>
      <c r="AK236" s="3">
        <v>7</v>
      </c>
      <c r="AL236" s="3">
        <v>4</v>
      </c>
      <c r="AM236" s="3">
        <v>16</v>
      </c>
      <c r="AN236" s="3">
        <v>1</v>
      </c>
      <c r="AO236" s="3">
        <v>4</v>
      </c>
      <c r="AP236" s="3">
        <v>0</v>
      </c>
      <c r="AQ236" s="3">
        <v>0</v>
      </c>
      <c r="AR236" s="2" t="s">
        <v>5</v>
      </c>
      <c r="AS236" s="2" t="s">
        <v>5</v>
      </c>
      <c r="AU236" s="5" t="str">
        <f>HYPERLINK("https://creighton-primo.hosted.exlibrisgroup.com/primo-explore/search?tab=default_tab&amp;search_scope=EVERYTHING&amp;vid=01CRU&amp;lang=en_US&amp;offset=0&amp;query=any,contains,991003718299702656","Catalog Record")</f>
        <v>Catalog Record</v>
      </c>
      <c r="AV236" s="5" t="str">
        <f>HYPERLINK("http://www.worldcat.org/oclc/614635","WorldCat Record")</f>
        <v>WorldCat Record</v>
      </c>
      <c r="AW236" s="2" t="s">
        <v>3146</v>
      </c>
      <c r="AX236" s="2" t="s">
        <v>3147</v>
      </c>
      <c r="AY236" s="2" t="s">
        <v>3148</v>
      </c>
      <c r="AZ236" s="2" t="s">
        <v>3148</v>
      </c>
      <c r="BA236" s="2" t="s">
        <v>3149</v>
      </c>
      <c r="BB236" s="2" t="s">
        <v>20</v>
      </c>
      <c r="BE236" s="2" t="s">
        <v>3150</v>
      </c>
      <c r="BF236" s="2" t="s">
        <v>3151</v>
      </c>
    </row>
    <row r="237" spans="1:58" ht="39.75" customHeight="1" x14ac:dyDescent="0.25">
      <c r="A237" s="7" t="s">
        <v>5</v>
      </c>
      <c r="B237" s="1" t="s">
        <v>0</v>
      </c>
      <c r="C237" s="1" t="s">
        <v>1</v>
      </c>
      <c r="D237" s="1" t="s">
        <v>3152</v>
      </c>
      <c r="E237" s="1" t="s">
        <v>3153</v>
      </c>
      <c r="F237" s="1" t="s">
        <v>3154</v>
      </c>
      <c r="H237" s="2" t="s">
        <v>5</v>
      </c>
      <c r="I237" s="2" t="s">
        <v>6</v>
      </c>
      <c r="J237" s="2" t="s">
        <v>5</v>
      </c>
      <c r="K237" s="2" t="s">
        <v>5</v>
      </c>
      <c r="L237" s="2" t="s">
        <v>7</v>
      </c>
      <c r="N237" s="1" t="s">
        <v>3155</v>
      </c>
      <c r="O237" s="2" t="s">
        <v>2142</v>
      </c>
      <c r="Q237" s="2" t="s">
        <v>60</v>
      </c>
      <c r="R237" s="2" t="s">
        <v>61</v>
      </c>
      <c r="T237" s="2" t="s">
        <v>13</v>
      </c>
      <c r="U237" s="3">
        <v>1</v>
      </c>
      <c r="V237" s="3">
        <v>1</v>
      </c>
      <c r="W237" s="4" t="s">
        <v>3156</v>
      </c>
      <c r="X237" s="4" t="s">
        <v>3156</v>
      </c>
      <c r="Y237" s="4" t="s">
        <v>3156</v>
      </c>
      <c r="Z237" s="4" t="s">
        <v>3156</v>
      </c>
      <c r="AA237" s="3">
        <v>364</v>
      </c>
      <c r="AB237" s="3">
        <v>318</v>
      </c>
      <c r="AC237" s="3">
        <v>318</v>
      </c>
      <c r="AD237" s="3">
        <v>2</v>
      </c>
      <c r="AE237" s="9">
        <v>2</v>
      </c>
      <c r="AF237" s="9">
        <v>11</v>
      </c>
      <c r="AG237" s="9">
        <v>11</v>
      </c>
      <c r="AH237" s="3">
        <v>3</v>
      </c>
      <c r="AI237" s="3">
        <v>3</v>
      </c>
      <c r="AJ237" s="3">
        <v>6</v>
      </c>
      <c r="AK237" s="3">
        <v>6</v>
      </c>
      <c r="AL237" s="3">
        <v>6</v>
      </c>
      <c r="AM237" s="3">
        <v>6</v>
      </c>
      <c r="AN237" s="3">
        <v>1</v>
      </c>
      <c r="AO237" s="3">
        <v>1</v>
      </c>
      <c r="AP237" s="3">
        <v>0</v>
      </c>
      <c r="AQ237" s="3">
        <v>0</v>
      </c>
      <c r="AR237" s="2" t="s">
        <v>5</v>
      </c>
      <c r="AS237" s="2" t="s">
        <v>5</v>
      </c>
      <c r="AU237" s="5" t="str">
        <f>HYPERLINK("https://creighton-primo.hosted.exlibrisgroup.com/primo-explore/search?tab=default_tab&amp;search_scope=EVERYTHING&amp;vid=01CRU&amp;lang=en_US&amp;offset=0&amp;query=any,contains,991004402709702656","Catalog Record")</f>
        <v>Catalog Record</v>
      </c>
      <c r="AV237" s="5" t="str">
        <f>HYPERLINK("http://www.worldcat.org/oclc/54806092","WorldCat Record")</f>
        <v>WorldCat Record</v>
      </c>
      <c r="AW237" s="2" t="s">
        <v>3157</v>
      </c>
      <c r="AX237" s="2" t="s">
        <v>3158</v>
      </c>
      <c r="AY237" s="2" t="s">
        <v>3159</v>
      </c>
      <c r="AZ237" s="2" t="s">
        <v>3159</v>
      </c>
      <c r="BA237" s="2" t="s">
        <v>3160</v>
      </c>
      <c r="BB237" s="2" t="s">
        <v>20</v>
      </c>
      <c r="BD237" s="2" t="s">
        <v>3161</v>
      </c>
      <c r="BE237" s="2" t="s">
        <v>3162</v>
      </c>
      <c r="BF237" s="2" t="s">
        <v>3163</v>
      </c>
    </row>
    <row r="238" spans="1:58" ht="39.75" customHeight="1" x14ac:dyDescent="0.25">
      <c r="A238" s="7" t="s">
        <v>5</v>
      </c>
      <c r="B238" s="1" t="s">
        <v>0</v>
      </c>
      <c r="C238" s="1" t="s">
        <v>1</v>
      </c>
      <c r="D238" s="1" t="s">
        <v>3164</v>
      </c>
      <c r="E238" s="1" t="s">
        <v>3165</v>
      </c>
      <c r="F238" s="1" t="s">
        <v>3166</v>
      </c>
      <c r="H238" s="2" t="s">
        <v>5</v>
      </c>
      <c r="I238" s="2" t="s">
        <v>6</v>
      </c>
      <c r="J238" s="2" t="s">
        <v>5</v>
      </c>
      <c r="K238" s="2" t="s">
        <v>5</v>
      </c>
      <c r="L238" s="2" t="s">
        <v>7</v>
      </c>
      <c r="M238" s="1" t="s">
        <v>3167</v>
      </c>
      <c r="N238" s="1" t="s">
        <v>3168</v>
      </c>
      <c r="O238" s="2" t="s">
        <v>791</v>
      </c>
      <c r="P238" s="1" t="s">
        <v>3169</v>
      </c>
      <c r="Q238" s="2" t="s">
        <v>60</v>
      </c>
      <c r="R238" s="2" t="s">
        <v>61</v>
      </c>
      <c r="T238" s="2" t="s">
        <v>13</v>
      </c>
      <c r="U238" s="3">
        <v>2</v>
      </c>
      <c r="V238" s="3">
        <v>2</v>
      </c>
      <c r="W238" s="4" t="s">
        <v>3170</v>
      </c>
      <c r="X238" s="4" t="s">
        <v>3170</v>
      </c>
      <c r="Y238" s="4" t="s">
        <v>3171</v>
      </c>
      <c r="Z238" s="4" t="s">
        <v>3171</v>
      </c>
      <c r="AA238" s="3">
        <v>252</v>
      </c>
      <c r="AB238" s="3">
        <v>234</v>
      </c>
      <c r="AC238" s="3">
        <v>467</v>
      </c>
      <c r="AD238" s="3">
        <v>2</v>
      </c>
      <c r="AE238" s="9">
        <v>5</v>
      </c>
      <c r="AF238" s="9">
        <v>12</v>
      </c>
      <c r="AG238" s="9">
        <v>28</v>
      </c>
      <c r="AH238" s="3">
        <v>5</v>
      </c>
      <c r="AI238" s="3">
        <v>9</v>
      </c>
      <c r="AJ238" s="3">
        <v>3</v>
      </c>
      <c r="AK238" s="3">
        <v>7</v>
      </c>
      <c r="AL238" s="3">
        <v>7</v>
      </c>
      <c r="AM238" s="3">
        <v>16</v>
      </c>
      <c r="AN238" s="3">
        <v>1</v>
      </c>
      <c r="AO238" s="3">
        <v>4</v>
      </c>
      <c r="AP238" s="3">
        <v>0</v>
      </c>
      <c r="AQ238" s="3">
        <v>0</v>
      </c>
      <c r="AR238" s="2" t="s">
        <v>5</v>
      </c>
      <c r="AS238" s="2" t="s">
        <v>46</v>
      </c>
      <c r="AT238" s="5" t="str">
        <f>HYPERLINK("http://catalog.hathitrust.org/Record/000687334","HathiTrust Record")</f>
        <v>HathiTrust Record</v>
      </c>
      <c r="AU238" s="5" t="str">
        <f>HYPERLINK("https://creighton-primo.hosted.exlibrisgroup.com/primo-explore/search?tab=default_tab&amp;search_scope=EVERYTHING&amp;vid=01CRU&amp;lang=en_US&amp;offset=0&amp;query=any,contains,991003909319702656","Catalog Record")</f>
        <v>Catalog Record</v>
      </c>
      <c r="AV238" s="5" t="str">
        <f>HYPERLINK("http://www.worldcat.org/oclc/1848899","WorldCat Record")</f>
        <v>WorldCat Record</v>
      </c>
      <c r="AW238" s="2" t="s">
        <v>3172</v>
      </c>
      <c r="AX238" s="2" t="s">
        <v>3173</v>
      </c>
      <c r="AY238" s="2" t="s">
        <v>3174</v>
      </c>
      <c r="AZ238" s="2" t="s">
        <v>3174</v>
      </c>
      <c r="BA238" s="2" t="s">
        <v>3175</v>
      </c>
      <c r="BB238" s="2" t="s">
        <v>20</v>
      </c>
      <c r="BD238" s="2" t="s">
        <v>3176</v>
      </c>
      <c r="BE238" s="2" t="s">
        <v>3177</v>
      </c>
      <c r="BF238" s="2" t="s">
        <v>3178</v>
      </c>
    </row>
    <row r="239" spans="1:58" ht="39.75" customHeight="1" x14ac:dyDescent="0.25">
      <c r="A239" s="7" t="s">
        <v>5</v>
      </c>
      <c r="B239" s="1" t="s">
        <v>0</v>
      </c>
      <c r="C239" s="1" t="s">
        <v>1</v>
      </c>
      <c r="D239" s="1" t="s">
        <v>3179</v>
      </c>
      <c r="E239" s="1" t="s">
        <v>3180</v>
      </c>
      <c r="F239" s="1" t="s">
        <v>3181</v>
      </c>
      <c r="H239" s="2" t="s">
        <v>5</v>
      </c>
      <c r="I239" s="2" t="s">
        <v>6</v>
      </c>
      <c r="J239" s="2" t="s">
        <v>5</v>
      </c>
      <c r="K239" s="2" t="s">
        <v>5</v>
      </c>
      <c r="L239" s="2" t="s">
        <v>7</v>
      </c>
      <c r="M239" s="1" t="s">
        <v>3182</v>
      </c>
      <c r="N239" s="1" t="s">
        <v>3183</v>
      </c>
      <c r="O239" s="2" t="s">
        <v>162</v>
      </c>
      <c r="P239" s="1" t="s">
        <v>1744</v>
      </c>
      <c r="Q239" s="2" t="s">
        <v>60</v>
      </c>
      <c r="R239" s="2" t="s">
        <v>61</v>
      </c>
      <c r="T239" s="2" t="s">
        <v>13</v>
      </c>
      <c r="U239" s="3">
        <v>2</v>
      </c>
      <c r="V239" s="3">
        <v>2</v>
      </c>
      <c r="W239" s="4" t="s">
        <v>3184</v>
      </c>
      <c r="X239" s="4" t="s">
        <v>3184</v>
      </c>
      <c r="Y239" s="4" t="s">
        <v>3185</v>
      </c>
      <c r="Z239" s="4" t="s">
        <v>3185</v>
      </c>
      <c r="AA239" s="3">
        <v>659</v>
      </c>
      <c r="AB239" s="3">
        <v>627</v>
      </c>
      <c r="AC239" s="3">
        <v>1500</v>
      </c>
      <c r="AD239" s="3">
        <v>5</v>
      </c>
      <c r="AE239" s="9">
        <v>14</v>
      </c>
      <c r="AF239" s="9">
        <v>23</v>
      </c>
      <c r="AG239" s="9">
        <v>46</v>
      </c>
      <c r="AH239" s="3">
        <v>11</v>
      </c>
      <c r="AI239" s="3">
        <v>19</v>
      </c>
      <c r="AJ239" s="3">
        <v>5</v>
      </c>
      <c r="AK239" s="3">
        <v>9</v>
      </c>
      <c r="AL239" s="3">
        <v>10</v>
      </c>
      <c r="AM239" s="3">
        <v>20</v>
      </c>
      <c r="AN239" s="3">
        <v>4</v>
      </c>
      <c r="AO239" s="3">
        <v>9</v>
      </c>
      <c r="AP239" s="3">
        <v>0</v>
      </c>
      <c r="AQ239" s="3">
        <v>0</v>
      </c>
      <c r="AR239" s="2" t="s">
        <v>5</v>
      </c>
      <c r="AS239" s="2" t="s">
        <v>46</v>
      </c>
      <c r="AT239" s="5" t="str">
        <f>HYPERLINK("http://catalog.hathitrust.org/Record/001214871","HathiTrust Record")</f>
        <v>HathiTrust Record</v>
      </c>
      <c r="AU239" s="5" t="str">
        <f>HYPERLINK("https://creighton-primo.hosted.exlibrisgroup.com/primo-explore/search?tab=default_tab&amp;search_scope=EVERYTHING&amp;vid=01CRU&amp;lang=en_US&amp;offset=0&amp;query=any,contains,991000643559702656","Catalog Record")</f>
        <v>Catalog Record</v>
      </c>
      <c r="AV239" s="5" t="str">
        <f>HYPERLINK("http://www.worldcat.org/oclc/110195","WorldCat Record")</f>
        <v>WorldCat Record</v>
      </c>
      <c r="AW239" s="2" t="s">
        <v>3186</v>
      </c>
      <c r="AX239" s="2" t="s">
        <v>3187</v>
      </c>
      <c r="AY239" s="2" t="s">
        <v>3188</v>
      </c>
      <c r="AZ239" s="2" t="s">
        <v>3188</v>
      </c>
      <c r="BA239" s="2" t="s">
        <v>3189</v>
      </c>
      <c r="BB239" s="2" t="s">
        <v>20</v>
      </c>
      <c r="BD239" s="2" t="s">
        <v>3190</v>
      </c>
      <c r="BE239" s="2" t="s">
        <v>3191</v>
      </c>
      <c r="BF239" s="2" t="s">
        <v>3192</v>
      </c>
    </row>
    <row r="240" spans="1:58" ht="39.75" customHeight="1" x14ac:dyDescent="0.25">
      <c r="A240" s="7" t="s">
        <v>5</v>
      </c>
      <c r="B240" s="1" t="s">
        <v>0</v>
      </c>
      <c r="C240" s="1" t="s">
        <v>1</v>
      </c>
      <c r="D240" s="1" t="s">
        <v>3193</v>
      </c>
      <c r="E240" s="1" t="s">
        <v>3194</v>
      </c>
      <c r="F240" s="1" t="s">
        <v>3195</v>
      </c>
      <c r="H240" s="2" t="s">
        <v>5</v>
      </c>
      <c r="I240" s="2" t="s">
        <v>6</v>
      </c>
      <c r="J240" s="2" t="s">
        <v>5</v>
      </c>
      <c r="K240" s="2" t="s">
        <v>5</v>
      </c>
      <c r="L240" s="2" t="s">
        <v>7</v>
      </c>
      <c r="M240" s="1" t="s">
        <v>3196</v>
      </c>
      <c r="N240" s="1" t="s">
        <v>3197</v>
      </c>
      <c r="O240" s="2" t="s">
        <v>307</v>
      </c>
      <c r="Q240" s="2" t="s">
        <v>60</v>
      </c>
      <c r="R240" s="2" t="s">
        <v>61</v>
      </c>
      <c r="T240" s="2" t="s">
        <v>13</v>
      </c>
      <c r="U240" s="3">
        <v>1</v>
      </c>
      <c r="V240" s="3">
        <v>1</v>
      </c>
      <c r="W240" s="4" t="s">
        <v>3130</v>
      </c>
      <c r="X240" s="4" t="s">
        <v>3130</v>
      </c>
      <c r="Y240" s="4" t="s">
        <v>3198</v>
      </c>
      <c r="Z240" s="4" t="s">
        <v>3198</v>
      </c>
      <c r="AA240" s="3">
        <v>825</v>
      </c>
      <c r="AB240" s="3">
        <v>766</v>
      </c>
      <c r="AC240" s="3">
        <v>907</v>
      </c>
      <c r="AD240" s="3">
        <v>9</v>
      </c>
      <c r="AE240" s="9">
        <v>11</v>
      </c>
      <c r="AF240" s="9">
        <v>30</v>
      </c>
      <c r="AG240" s="9">
        <v>46</v>
      </c>
      <c r="AH240" s="3">
        <v>10</v>
      </c>
      <c r="AI240" s="3">
        <v>19</v>
      </c>
      <c r="AJ240" s="3">
        <v>7</v>
      </c>
      <c r="AK240" s="3">
        <v>10</v>
      </c>
      <c r="AL240" s="3">
        <v>11</v>
      </c>
      <c r="AM240" s="3">
        <v>19</v>
      </c>
      <c r="AN240" s="3">
        <v>6</v>
      </c>
      <c r="AO240" s="3">
        <v>8</v>
      </c>
      <c r="AP240" s="3">
        <v>0</v>
      </c>
      <c r="AQ240" s="3">
        <v>0</v>
      </c>
      <c r="AR240" s="2" t="s">
        <v>5</v>
      </c>
      <c r="AS240" s="2" t="s">
        <v>5</v>
      </c>
      <c r="AT240" s="5" t="str">
        <f>HYPERLINK("http://catalog.hathitrust.org/Record/001015529","HathiTrust Record")</f>
        <v>HathiTrust Record</v>
      </c>
      <c r="AU240" s="5" t="str">
        <f>HYPERLINK("https://creighton-primo.hosted.exlibrisgroup.com/primo-explore/search?tab=default_tab&amp;search_scope=EVERYTHING&amp;vid=01CRU&amp;lang=en_US&amp;offset=0&amp;query=any,contains,991002423219702656","Catalog Record")</f>
        <v>Catalog Record</v>
      </c>
      <c r="AV240" s="5" t="str">
        <f>HYPERLINK("http://www.worldcat.org/oclc/343800","WorldCat Record")</f>
        <v>WorldCat Record</v>
      </c>
      <c r="AW240" s="2" t="s">
        <v>3199</v>
      </c>
      <c r="AX240" s="2" t="s">
        <v>3200</v>
      </c>
      <c r="AY240" s="2" t="s">
        <v>3201</v>
      </c>
      <c r="AZ240" s="2" t="s">
        <v>3201</v>
      </c>
      <c r="BA240" s="2" t="s">
        <v>3202</v>
      </c>
      <c r="BB240" s="2" t="s">
        <v>20</v>
      </c>
      <c r="BE240" s="2" t="s">
        <v>3203</v>
      </c>
      <c r="BF240" s="2" t="s">
        <v>3204</v>
      </c>
    </row>
    <row r="241" spans="1:58" ht="39.75" customHeight="1" x14ac:dyDescent="0.25">
      <c r="A241" s="7" t="s">
        <v>5</v>
      </c>
      <c r="B241" s="1" t="s">
        <v>0</v>
      </c>
      <c r="C241" s="1" t="s">
        <v>1</v>
      </c>
      <c r="D241" s="1" t="s">
        <v>3205</v>
      </c>
      <c r="E241" s="1" t="s">
        <v>3206</v>
      </c>
      <c r="F241" s="1" t="s">
        <v>3207</v>
      </c>
      <c r="H241" s="2" t="s">
        <v>5</v>
      </c>
      <c r="I241" s="2" t="s">
        <v>6</v>
      </c>
      <c r="J241" s="2" t="s">
        <v>5</v>
      </c>
      <c r="K241" s="2" t="s">
        <v>5</v>
      </c>
      <c r="L241" s="2" t="s">
        <v>7</v>
      </c>
      <c r="M241" s="1" t="s">
        <v>3208</v>
      </c>
      <c r="N241" s="1" t="s">
        <v>3209</v>
      </c>
      <c r="O241" s="2" t="s">
        <v>291</v>
      </c>
      <c r="Q241" s="2" t="s">
        <v>60</v>
      </c>
      <c r="R241" s="2" t="s">
        <v>277</v>
      </c>
      <c r="S241" s="1" t="s">
        <v>3210</v>
      </c>
      <c r="T241" s="2" t="s">
        <v>13</v>
      </c>
      <c r="U241" s="3">
        <v>1</v>
      </c>
      <c r="V241" s="3">
        <v>1</v>
      </c>
      <c r="W241" s="4" t="s">
        <v>3130</v>
      </c>
      <c r="X241" s="4" t="s">
        <v>3130</v>
      </c>
      <c r="Y241" s="4" t="s">
        <v>3198</v>
      </c>
      <c r="Z241" s="4" t="s">
        <v>3198</v>
      </c>
      <c r="AA241" s="3">
        <v>908</v>
      </c>
      <c r="AB241" s="3">
        <v>804</v>
      </c>
      <c r="AC241" s="3">
        <v>818</v>
      </c>
      <c r="AD241" s="3">
        <v>4</v>
      </c>
      <c r="AE241" s="9">
        <v>4</v>
      </c>
      <c r="AF241" s="9">
        <v>28</v>
      </c>
      <c r="AG241" s="9">
        <v>30</v>
      </c>
      <c r="AH241" s="3">
        <v>9</v>
      </c>
      <c r="AI241" s="3">
        <v>10</v>
      </c>
      <c r="AJ241" s="3">
        <v>9</v>
      </c>
      <c r="AK241" s="3">
        <v>10</v>
      </c>
      <c r="AL241" s="3">
        <v>15</v>
      </c>
      <c r="AM241" s="3">
        <v>15</v>
      </c>
      <c r="AN241" s="3">
        <v>3</v>
      </c>
      <c r="AO241" s="3">
        <v>3</v>
      </c>
      <c r="AP241" s="3">
        <v>0</v>
      </c>
      <c r="AQ241" s="3">
        <v>0</v>
      </c>
      <c r="AR241" s="2" t="s">
        <v>5</v>
      </c>
      <c r="AS241" s="2" t="s">
        <v>46</v>
      </c>
      <c r="AT241" s="5" t="str">
        <f>HYPERLINK("http://catalog.hathitrust.org/Record/000739326","HathiTrust Record")</f>
        <v>HathiTrust Record</v>
      </c>
      <c r="AU241" s="5" t="str">
        <f>HYPERLINK("https://creighton-primo.hosted.exlibrisgroup.com/primo-explore/search?tab=default_tab&amp;search_scope=EVERYTHING&amp;vid=01CRU&amp;lang=en_US&amp;offset=0&amp;query=any,contains,991004281619702656","Catalog Record")</f>
        <v>Catalog Record</v>
      </c>
      <c r="AV241" s="5" t="str">
        <f>HYPERLINK("http://www.worldcat.org/oclc/2912099","WorldCat Record")</f>
        <v>WorldCat Record</v>
      </c>
      <c r="AW241" s="2" t="s">
        <v>3211</v>
      </c>
      <c r="AX241" s="2" t="s">
        <v>3212</v>
      </c>
      <c r="AY241" s="2" t="s">
        <v>3213</v>
      </c>
      <c r="AZ241" s="2" t="s">
        <v>3213</v>
      </c>
      <c r="BA241" s="2" t="s">
        <v>3214</v>
      </c>
      <c r="BB241" s="2" t="s">
        <v>20</v>
      </c>
      <c r="BD241" s="2" t="s">
        <v>3215</v>
      </c>
      <c r="BE241" s="2" t="s">
        <v>3216</v>
      </c>
      <c r="BF241" s="2" t="s">
        <v>3217</v>
      </c>
    </row>
    <row r="242" spans="1:58" ht="39.75" customHeight="1" x14ac:dyDescent="0.25">
      <c r="A242" s="7" t="s">
        <v>5</v>
      </c>
      <c r="B242" s="1" t="s">
        <v>0</v>
      </c>
      <c r="C242" s="1" t="s">
        <v>1</v>
      </c>
      <c r="D242" s="1" t="s">
        <v>3218</v>
      </c>
      <c r="E242" s="1" t="s">
        <v>3219</v>
      </c>
      <c r="F242" s="1" t="s">
        <v>3220</v>
      </c>
      <c r="H242" s="2" t="s">
        <v>5</v>
      </c>
      <c r="I242" s="2" t="s">
        <v>6</v>
      </c>
      <c r="J242" s="2" t="s">
        <v>5</v>
      </c>
      <c r="K242" s="2" t="s">
        <v>5</v>
      </c>
      <c r="L242" s="2" t="s">
        <v>7</v>
      </c>
      <c r="M242" s="1" t="s">
        <v>3221</v>
      </c>
      <c r="N242" s="1" t="s">
        <v>3222</v>
      </c>
      <c r="O242" s="2" t="s">
        <v>708</v>
      </c>
      <c r="Q242" s="2" t="s">
        <v>60</v>
      </c>
      <c r="R242" s="2" t="s">
        <v>193</v>
      </c>
      <c r="T242" s="2" t="s">
        <v>13</v>
      </c>
      <c r="U242" s="3">
        <v>6</v>
      </c>
      <c r="V242" s="3">
        <v>6</v>
      </c>
      <c r="W242" s="4" t="s">
        <v>3223</v>
      </c>
      <c r="X242" s="4" t="s">
        <v>3223</v>
      </c>
      <c r="Y242" s="4" t="s">
        <v>2653</v>
      </c>
      <c r="Z242" s="4" t="s">
        <v>2653</v>
      </c>
      <c r="AA242" s="3">
        <v>576</v>
      </c>
      <c r="AB242" s="3">
        <v>385</v>
      </c>
      <c r="AC242" s="3">
        <v>406</v>
      </c>
      <c r="AD242" s="3">
        <v>3</v>
      </c>
      <c r="AE242" s="9">
        <v>3</v>
      </c>
      <c r="AF242" s="9">
        <v>21</v>
      </c>
      <c r="AG242" s="9">
        <v>22</v>
      </c>
      <c r="AH242" s="3">
        <v>6</v>
      </c>
      <c r="AI242" s="3">
        <v>7</v>
      </c>
      <c r="AJ242" s="3">
        <v>6</v>
      </c>
      <c r="AK242" s="3">
        <v>6</v>
      </c>
      <c r="AL242" s="3">
        <v>13</v>
      </c>
      <c r="AM242" s="3">
        <v>13</v>
      </c>
      <c r="AN242" s="3">
        <v>2</v>
      </c>
      <c r="AO242" s="3">
        <v>2</v>
      </c>
      <c r="AP242" s="3">
        <v>0</v>
      </c>
      <c r="AQ242" s="3">
        <v>0</v>
      </c>
      <c r="AR242" s="2" t="s">
        <v>5</v>
      </c>
      <c r="AS242" s="2" t="s">
        <v>5</v>
      </c>
      <c r="AU242" s="5" t="str">
        <f>HYPERLINK("https://creighton-primo.hosted.exlibrisgroup.com/primo-explore/search?tab=default_tab&amp;search_scope=EVERYTHING&amp;vid=01CRU&amp;lang=en_US&amp;offset=0&amp;query=any,contains,991000854469702656","Catalog Record")</f>
        <v>Catalog Record</v>
      </c>
      <c r="AV242" s="5" t="str">
        <f>HYPERLINK("http://www.worldcat.org/oclc/13642988","WorldCat Record")</f>
        <v>WorldCat Record</v>
      </c>
      <c r="AW242" s="2" t="s">
        <v>3224</v>
      </c>
      <c r="AX242" s="2" t="s">
        <v>3225</v>
      </c>
      <c r="AY242" s="2" t="s">
        <v>3226</v>
      </c>
      <c r="AZ242" s="2" t="s">
        <v>3226</v>
      </c>
      <c r="BA242" s="2" t="s">
        <v>3227</v>
      </c>
      <c r="BB242" s="2" t="s">
        <v>20</v>
      </c>
      <c r="BD242" s="2" t="s">
        <v>3228</v>
      </c>
      <c r="BE242" s="2" t="s">
        <v>3229</v>
      </c>
      <c r="BF242" s="2" t="s">
        <v>3230</v>
      </c>
    </row>
    <row r="243" spans="1:58" ht="39.75" customHeight="1" x14ac:dyDescent="0.25">
      <c r="A243" s="7" t="s">
        <v>5</v>
      </c>
      <c r="B243" s="1" t="s">
        <v>0</v>
      </c>
      <c r="C243" s="1" t="s">
        <v>1</v>
      </c>
      <c r="D243" s="1" t="s">
        <v>3231</v>
      </c>
      <c r="E243" s="1" t="s">
        <v>3232</v>
      </c>
      <c r="F243" s="1" t="s">
        <v>3233</v>
      </c>
      <c r="H243" s="2" t="s">
        <v>5</v>
      </c>
      <c r="I243" s="2" t="s">
        <v>6</v>
      </c>
      <c r="J243" s="2" t="s">
        <v>5</v>
      </c>
      <c r="K243" s="2" t="s">
        <v>5</v>
      </c>
      <c r="L243" s="2" t="s">
        <v>7</v>
      </c>
      <c r="M243" s="1" t="s">
        <v>3234</v>
      </c>
      <c r="N243" s="1" t="s">
        <v>3235</v>
      </c>
      <c r="O243" s="2" t="s">
        <v>121</v>
      </c>
      <c r="Q243" s="2" t="s">
        <v>60</v>
      </c>
      <c r="R243" s="2" t="s">
        <v>323</v>
      </c>
      <c r="S243" s="1" t="s">
        <v>3236</v>
      </c>
      <c r="T243" s="2" t="s">
        <v>13</v>
      </c>
      <c r="U243" s="3">
        <v>1</v>
      </c>
      <c r="V243" s="3">
        <v>1</v>
      </c>
      <c r="W243" s="4" t="s">
        <v>3130</v>
      </c>
      <c r="X243" s="4" t="s">
        <v>3130</v>
      </c>
      <c r="Y243" s="4" t="s">
        <v>3237</v>
      </c>
      <c r="Z243" s="4" t="s">
        <v>3237</v>
      </c>
      <c r="AA243" s="3">
        <v>541</v>
      </c>
      <c r="AB243" s="3">
        <v>433</v>
      </c>
      <c r="AC243" s="3">
        <v>436</v>
      </c>
      <c r="AD243" s="3">
        <v>3</v>
      </c>
      <c r="AE243" s="9">
        <v>3</v>
      </c>
      <c r="AF243" s="9">
        <v>23</v>
      </c>
      <c r="AG243" s="9">
        <v>23</v>
      </c>
      <c r="AH243" s="3">
        <v>6</v>
      </c>
      <c r="AI243" s="3">
        <v>6</v>
      </c>
      <c r="AJ243" s="3">
        <v>8</v>
      </c>
      <c r="AK243" s="3">
        <v>8</v>
      </c>
      <c r="AL243" s="3">
        <v>12</v>
      </c>
      <c r="AM243" s="3">
        <v>12</v>
      </c>
      <c r="AN243" s="3">
        <v>2</v>
      </c>
      <c r="AO243" s="3">
        <v>2</v>
      </c>
      <c r="AP243" s="3">
        <v>0</v>
      </c>
      <c r="AQ243" s="3">
        <v>0</v>
      </c>
      <c r="AR243" s="2" t="s">
        <v>5</v>
      </c>
      <c r="AS243" s="2" t="s">
        <v>46</v>
      </c>
      <c r="AT243" s="5" t="str">
        <f>HYPERLINK("http://catalog.hathitrust.org/Record/001654933","HathiTrust Record")</f>
        <v>HathiTrust Record</v>
      </c>
      <c r="AU243" s="5" t="str">
        <f>HYPERLINK("https://creighton-primo.hosted.exlibrisgroup.com/primo-explore/search?tab=default_tab&amp;search_scope=EVERYTHING&amp;vid=01CRU&amp;lang=en_US&amp;offset=0&amp;query=any,contains,991000445679702656","Catalog Record")</f>
        <v>Catalog Record</v>
      </c>
      <c r="AV243" s="5" t="str">
        <f>HYPERLINK("http://www.worldcat.org/oclc/76549","WorldCat Record")</f>
        <v>WorldCat Record</v>
      </c>
      <c r="AW243" s="2" t="s">
        <v>3238</v>
      </c>
      <c r="AX243" s="2" t="s">
        <v>3239</v>
      </c>
      <c r="AY243" s="2" t="s">
        <v>3240</v>
      </c>
      <c r="AZ243" s="2" t="s">
        <v>3240</v>
      </c>
      <c r="BA243" s="2" t="s">
        <v>3241</v>
      </c>
      <c r="BB243" s="2" t="s">
        <v>20</v>
      </c>
      <c r="BD243" s="2" t="s">
        <v>3242</v>
      </c>
      <c r="BE243" s="2" t="s">
        <v>3243</v>
      </c>
      <c r="BF243" s="2" t="s">
        <v>3244</v>
      </c>
    </row>
    <row r="244" spans="1:58" ht="39.75" customHeight="1" x14ac:dyDescent="0.25">
      <c r="A244" s="7" t="s">
        <v>5</v>
      </c>
      <c r="B244" s="1" t="s">
        <v>0</v>
      </c>
      <c r="C244" s="1" t="s">
        <v>1</v>
      </c>
      <c r="D244" s="1" t="s">
        <v>3245</v>
      </c>
      <c r="E244" s="1" t="s">
        <v>3246</v>
      </c>
      <c r="F244" s="1" t="s">
        <v>3247</v>
      </c>
      <c r="H244" s="2" t="s">
        <v>5</v>
      </c>
      <c r="I244" s="2" t="s">
        <v>6</v>
      </c>
      <c r="J244" s="2" t="s">
        <v>5</v>
      </c>
      <c r="K244" s="2" t="s">
        <v>5</v>
      </c>
      <c r="L244" s="2" t="s">
        <v>7</v>
      </c>
      <c r="M244" s="1" t="s">
        <v>3248</v>
      </c>
      <c r="N244" s="1" t="s">
        <v>3249</v>
      </c>
      <c r="O244" s="2" t="s">
        <v>3250</v>
      </c>
      <c r="Q244" s="2" t="s">
        <v>60</v>
      </c>
      <c r="R244" s="2" t="s">
        <v>61</v>
      </c>
      <c r="S244" s="1" t="s">
        <v>3251</v>
      </c>
      <c r="T244" s="2" t="s">
        <v>13</v>
      </c>
      <c r="U244" s="3">
        <v>1</v>
      </c>
      <c r="V244" s="3">
        <v>1</v>
      </c>
      <c r="W244" s="4" t="s">
        <v>3252</v>
      </c>
      <c r="X244" s="4" t="s">
        <v>3252</v>
      </c>
      <c r="Y244" s="4" t="s">
        <v>3252</v>
      </c>
      <c r="Z244" s="4" t="s">
        <v>3252</v>
      </c>
      <c r="AA244" s="3">
        <v>365</v>
      </c>
      <c r="AB244" s="3">
        <v>323</v>
      </c>
      <c r="AC244" s="3">
        <v>334</v>
      </c>
      <c r="AD244" s="3">
        <v>2</v>
      </c>
      <c r="AE244" s="9">
        <v>3</v>
      </c>
      <c r="AF244" s="9">
        <v>10</v>
      </c>
      <c r="AG244" s="9">
        <v>11</v>
      </c>
      <c r="AH244" s="3">
        <v>4</v>
      </c>
      <c r="AI244" s="3">
        <v>4</v>
      </c>
      <c r="AJ244" s="3">
        <v>2</v>
      </c>
      <c r="AK244" s="3">
        <v>2</v>
      </c>
      <c r="AL244" s="3">
        <v>5</v>
      </c>
      <c r="AM244" s="3">
        <v>5</v>
      </c>
      <c r="AN244" s="3">
        <v>1</v>
      </c>
      <c r="AO244" s="3">
        <v>2</v>
      </c>
      <c r="AP244" s="3">
        <v>0</v>
      </c>
      <c r="AQ244" s="3">
        <v>0</v>
      </c>
      <c r="AR244" s="2" t="s">
        <v>5</v>
      </c>
      <c r="AS244" s="2" t="s">
        <v>46</v>
      </c>
      <c r="AT244" s="5" t="str">
        <f>HYPERLINK("http://catalog.hathitrust.org/Record/007143324","HathiTrust Record")</f>
        <v>HathiTrust Record</v>
      </c>
      <c r="AU244" s="5" t="str">
        <f>HYPERLINK("https://creighton-primo.hosted.exlibrisgroup.com/primo-explore/search?tab=default_tab&amp;search_scope=EVERYTHING&amp;vid=01CRU&amp;lang=en_US&amp;offset=0&amp;query=any,contains,991004179339702656","Catalog Record")</f>
        <v>Catalog Record</v>
      </c>
      <c r="AV244" s="5" t="str">
        <f>HYPERLINK("http://www.worldcat.org/oclc/52494309","WorldCat Record")</f>
        <v>WorldCat Record</v>
      </c>
      <c r="AW244" s="2" t="s">
        <v>3253</v>
      </c>
      <c r="AX244" s="2" t="s">
        <v>3254</v>
      </c>
      <c r="AY244" s="2" t="s">
        <v>3255</v>
      </c>
      <c r="AZ244" s="2" t="s">
        <v>3255</v>
      </c>
      <c r="BA244" s="2" t="s">
        <v>3256</v>
      </c>
      <c r="BB244" s="2" t="s">
        <v>20</v>
      </c>
      <c r="BD244" s="2" t="s">
        <v>3257</v>
      </c>
      <c r="BE244" s="2" t="s">
        <v>3258</v>
      </c>
      <c r="BF244" s="2" t="s">
        <v>3259</v>
      </c>
    </row>
    <row r="245" spans="1:58" ht="39.75" customHeight="1" x14ac:dyDescent="0.25">
      <c r="A245" s="7" t="s">
        <v>5</v>
      </c>
      <c r="B245" s="1" t="s">
        <v>0</v>
      </c>
      <c r="C245" s="1" t="s">
        <v>1</v>
      </c>
      <c r="D245" s="1" t="s">
        <v>3260</v>
      </c>
      <c r="E245" s="1" t="s">
        <v>3261</v>
      </c>
      <c r="F245" s="1" t="s">
        <v>3262</v>
      </c>
      <c r="H245" s="2" t="s">
        <v>5</v>
      </c>
      <c r="I245" s="2" t="s">
        <v>6</v>
      </c>
      <c r="J245" s="2" t="s">
        <v>5</v>
      </c>
      <c r="K245" s="2" t="s">
        <v>5</v>
      </c>
      <c r="L245" s="2" t="s">
        <v>7</v>
      </c>
      <c r="M245" s="1" t="s">
        <v>3263</v>
      </c>
      <c r="N245" s="1" t="s">
        <v>3264</v>
      </c>
      <c r="O245" s="2" t="s">
        <v>42</v>
      </c>
      <c r="P245" s="1" t="s">
        <v>1488</v>
      </c>
      <c r="Q245" s="2" t="s">
        <v>60</v>
      </c>
      <c r="R245" s="2" t="s">
        <v>61</v>
      </c>
      <c r="T245" s="2" t="s">
        <v>13</v>
      </c>
      <c r="U245" s="3">
        <v>5</v>
      </c>
      <c r="V245" s="3">
        <v>5</v>
      </c>
      <c r="W245" s="4" t="s">
        <v>3265</v>
      </c>
      <c r="X245" s="4" t="s">
        <v>3265</v>
      </c>
      <c r="Y245" s="4" t="s">
        <v>3266</v>
      </c>
      <c r="Z245" s="4" t="s">
        <v>3266</v>
      </c>
      <c r="AA245" s="3">
        <v>563</v>
      </c>
      <c r="AB245" s="3">
        <v>528</v>
      </c>
      <c r="AC245" s="3">
        <v>639</v>
      </c>
      <c r="AD245" s="3">
        <v>2</v>
      </c>
      <c r="AE245" s="9">
        <v>3</v>
      </c>
      <c r="AF245" s="9">
        <v>20</v>
      </c>
      <c r="AG245" s="9">
        <v>24</v>
      </c>
      <c r="AH245" s="3">
        <v>7</v>
      </c>
      <c r="AI245" s="3">
        <v>9</v>
      </c>
      <c r="AJ245" s="3">
        <v>7</v>
      </c>
      <c r="AK245" s="3">
        <v>7</v>
      </c>
      <c r="AL245" s="3">
        <v>11</v>
      </c>
      <c r="AM245" s="3">
        <v>12</v>
      </c>
      <c r="AN245" s="3">
        <v>0</v>
      </c>
      <c r="AO245" s="3">
        <v>1</v>
      </c>
      <c r="AP245" s="3">
        <v>0</v>
      </c>
      <c r="AQ245" s="3">
        <v>0</v>
      </c>
      <c r="AR245" s="2" t="s">
        <v>5</v>
      </c>
      <c r="AS245" s="2" t="s">
        <v>5</v>
      </c>
      <c r="AU245" s="5" t="str">
        <f>HYPERLINK("https://creighton-primo.hosted.exlibrisgroup.com/primo-explore/search?tab=default_tab&amp;search_scope=EVERYTHING&amp;vid=01CRU&amp;lang=en_US&amp;offset=0&amp;query=any,contains,991001765889702656","Catalog Record")</f>
        <v>Catalog Record</v>
      </c>
      <c r="AV245" s="5" t="str">
        <f>HYPERLINK("http://www.worldcat.org/oclc/22308897","WorldCat Record")</f>
        <v>WorldCat Record</v>
      </c>
      <c r="AW245" s="2" t="s">
        <v>3267</v>
      </c>
      <c r="AX245" s="2" t="s">
        <v>3268</v>
      </c>
      <c r="AY245" s="2" t="s">
        <v>3269</v>
      </c>
      <c r="AZ245" s="2" t="s">
        <v>3269</v>
      </c>
      <c r="BA245" s="2" t="s">
        <v>3270</v>
      </c>
      <c r="BB245" s="2" t="s">
        <v>20</v>
      </c>
      <c r="BD245" s="2" t="s">
        <v>3271</v>
      </c>
      <c r="BE245" s="2" t="s">
        <v>3272</v>
      </c>
      <c r="BF245" s="2" t="s">
        <v>3273</v>
      </c>
    </row>
    <row r="246" spans="1:58" ht="39.75" customHeight="1" x14ac:dyDescent="0.25">
      <c r="A246" s="7" t="s">
        <v>5</v>
      </c>
      <c r="B246" s="1" t="s">
        <v>0</v>
      </c>
      <c r="C246" s="1" t="s">
        <v>1</v>
      </c>
      <c r="D246" s="1" t="s">
        <v>3274</v>
      </c>
      <c r="E246" s="1" t="s">
        <v>3275</v>
      </c>
      <c r="F246" s="1" t="s">
        <v>3276</v>
      </c>
      <c r="H246" s="2" t="s">
        <v>5</v>
      </c>
      <c r="I246" s="2" t="s">
        <v>6</v>
      </c>
      <c r="J246" s="2" t="s">
        <v>5</v>
      </c>
      <c r="K246" s="2" t="s">
        <v>5</v>
      </c>
      <c r="L246" s="2" t="s">
        <v>7</v>
      </c>
      <c r="N246" s="1" t="s">
        <v>3277</v>
      </c>
      <c r="O246" s="2" t="s">
        <v>248</v>
      </c>
      <c r="Q246" s="2" t="s">
        <v>60</v>
      </c>
      <c r="R246" s="2" t="s">
        <v>61</v>
      </c>
      <c r="T246" s="2" t="s">
        <v>13</v>
      </c>
      <c r="U246" s="3">
        <v>2</v>
      </c>
      <c r="V246" s="3">
        <v>2</v>
      </c>
      <c r="W246" s="4" t="s">
        <v>3278</v>
      </c>
      <c r="X246" s="4" t="s">
        <v>3278</v>
      </c>
      <c r="Y246" s="4" t="s">
        <v>3279</v>
      </c>
      <c r="Z246" s="4" t="s">
        <v>3279</v>
      </c>
      <c r="AA246" s="3">
        <v>957</v>
      </c>
      <c r="AB246" s="3">
        <v>906</v>
      </c>
      <c r="AC246" s="3">
        <v>912</v>
      </c>
      <c r="AD246" s="3">
        <v>10</v>
      </c>
      <c r="AE246" s="9">
        <v>10</v>
      </c>
      <c r="AF246" s="9">
        <v>41</v>
      </c>
      <c r="AG246" s="9">
        <v>41</v>
      </c>
      <c r="AH246" s="3">
        <v>15</v>
      </c>
      <c r="AI246" s="3">
        <v>15</v>
      </c>
      <c r="AJ246" s="3">
        <v>7</v>
      </c>
      <c r="AK246" s="3">
        <v>7</v>
      </c>
      <c r="AL246" s="3">
        <v>15</v>
      </c>
      <c r="AM246" s="3">
        <v>15</v>
      </c>
      <c r="AN246" s="3">
        <v>9</v>
      </c>
      <c r="AO246" s="3">
        <v>9</v>
      </c>
      <c r="AP246" s="3">
        <v>0</v>
      </c>
      <c r="AQ246" s="3">
        <v>0</v>
      </c>
      <c r="AR246" s="2" t="s">
        <v>5</v>
      </c>
      <c r="AS246" s="2" t="s">
        <v>5</v>
      </c>
      <c r="AU246" s="5" t="str">
        <f>HYPERLINK("https://creighton-primo.hosted.exlibrisgroup.com/primo-explore/search?tab=default_tab&amp;search_scope=EVERYTHING&amp;vid=01CRU&amp;lang=en_US&amp;offset=0&amp;query=any,contains,991001223859702656","Catalog Record")</f>
        <v>Catalog Record</v>
      </c>
      <c r="AV246" s="5" t="str">
        <f>HYPERLINK("http://www.worldcat.org/oclc/198489","WorldCat Record")</f>
        <v>WorldCat Record</v>
      </c>
      <c r="AW246" s="2" t="s">
        <v>3280</v>
      </c>
      <c r="AX246" s="2" t="s">
        <v>3281</v>
      </c>
      <c r="AY246" s="2" t="s">
        <v>3282</v>
      </c>
      <c r="AZ246" s="2" t="s">
        <v>3282</v>
      </c>
      <c r="BA246" s="2" t="s">
        <v>3283</v>
      </c>
      <c r="BB246" s="2" t="s">
        <v>20</v>
      </c>
      <c r="BD246" s="2" t="s">
        <v>3284</v>
      </c>
      <c r="BE246" s="2" t="s">
        <v>3285</v>
      </c>
      <c r="BF246" s="2" t="s">
        <v>3286</v>
      </c>
    </row>
    <row r="247" spans="1:58" ht="39.75" customHeight="1" x14ac:dyDescent="0.25">
      <c r="A247" s="7" t="s">
        <v>5</v>
      </c>
      <c r="B247" s="1" t="s">
        <v>0</v>
      </c>
      <c r="C247" s="1" t="s">
        <v>1</v>
      </c>
      <c r="D247" s="1" t="s">
        <v>3287</v>
      </c>
      <c r="E247" s="1" t="s">
        <v>3288</v>
      </c>
      <c r="F247" s="1" t="s">
        <v>3289</v>
      </c>
      <c r="H247" s="2" t="s">
        <v>5</v>
      </c>
      <c r="I247" s="2" t="s">
        <v>6</v>
      </c>
      <c r="J247" s="2" t="s">
        <v>5</v>
      </c>
      <c r="K247" s="2" t="s">
        <v>5</v>
      </c>
      <c r="L247" s="2" t="s">
        <v>7</v>
      </c>
      <c r="M247" s="1" t="s">
        <v>1348</v>
      </c>
      <c r="N247" s="1" t="s">
        <v>3290</v>
      </c>
      <c r="O247" s="2" t="s">
        <v>524</v>
      </c>
      <c r="Q247" s="2" t="s">
        <v>11</v>
      </c>
      <c r="R247" s="2" t="s">
        <v>28</v>
      </c>
      <c r="S247" s="1" t="s">
        <v>3291</v>
      </c>
      <c r="T247" s="2" t="s">
        <v>13</v>
      </c>
      <c r="U247" s="3">
        <v>4</v>
      </c>
      <c r="V247" s="3">
        <v>4</v>
      </c>
      <c r="W247" s="4" t="s">
        <v>3292</v>
      </c>
      <c r="X247" s="4" t="s">
        <v>3292</v>
      </c>
      <c r="Y247" s="4" t="s">
        <v>3279</v>
      </c>
      <c r="Z247" s="4" t="s">
        <v>3279</v>
      </c>
      <c r="AA247" s="3">
        <v>368</v>
      </c>
      <c r="AB247" s="3">
        <v>281</v>
      </c>
      <c r="AC247" s="3">
        <v>283</v>
      </c>
      <c r="AD247" s="3">
        <v>4</v>
      </c>
      <c r="AE247" s="9">
        <v>4</v>
      </c>
      <c r="AF247" s="9">
        <v>13</v>
      </c>
      <c r="AG247" s="9">
        <v>13</v>
      </c>
      <c r="AH247" s="3">
        <v>5</v>
      </c>
      <c r="AI247" s="3">
        <v>5</v>
      </c>
      <c r="AJ247" s="3">
        <v>2</v>
      </c>
      <c r="AK247" s="3">
        <v>2</v>
      </c>
      <c r="AL247" s="3">
        <v>6</v>
      </c>
      <c r="AM247" s="3">
        <v>6</v>
      </c>
      <c r="AN247" s="3">
        <v>3</v>
      </c>
      <c r="AO247" s="3">
        <v>3</v>
      </c>
      <c r="AP247" s="3">
        <v>0</v>
      </c>
      <c r="AQ247" s="3">
        <v>0</v>
      </c>
      <c r="AR247" s="2" t="s">
        <v>5</v>
      </c>
      <c r="AS247" s="2" t="s">
        <v>46</v>
      </c>
      <c r="AT247" s="5" t="str">
        <f>HYPERLINK("http://catalog.hathitrust.org/Record/001214943","HathiTrust Record")</f>
        <v>HathiTrust Record</v>
      </c>
      <c r="AU247" s="5" t="str">
        <f>HYPERLINK("https://creighton-primo.hosted.exlibrisgroup.com/primo-explore/search?tab=default_tab&amp;search_scope=EVERYTHING&amp;vid=01CRU&amp;lang=en_US&amp;offset=0&amp;query=any,contains,991001529319702656","Catalog Record")</f>
        <v>Catalog Record</v>
      </c>
      <c r="AV247" s="5" t="str">
        <f>HYPERLINK("http://www.worldcat.org/oclc/232328","WorldCat Record")</f>
        <v>WorldCat Record</v>
      </c>
      <c r="AW247" s="2" t="s">
        <v>3293</v>
      </c>
      <c r="AX247" s="2" t="s">
        <v>3294</v>
      </c>
      <c r="AY247" s="2" t="s">
        <v>3295</v>
      </c>
      <c r="AZ247" s="2" t="s">
        <v>3295</v>
      </c>
      <c r="BA247" s="2" t="s">
        <v>3296</v>
      </c>
      <c r="BB247" s="2" t="s">
        <v>20</v>
      </c>
      <c r="BE247" s="2" t="s">
        <v>3297</v>
      </c>
      <c r="BF247" s="2" t="s">
        <v>3298</v>
      </c>
    </row>
    <row r="248" spans="1:58" ht="39.75" customHeight="1" x14ac:dyDescent="0.25">
      <c r="A248" s="7" t="s">
        <v>5</v>
      </c>
      <c r="B248" s="1" t="s">
        <v>0</v>
      </c>
      <c r="C248" s="1" t="s">
        <v>1</v>
      </c>
      <c r="D248" s="1" t="s">
        <v>3299</v>
      </c>
      <c r="E248" s="1" t="s">
        <v>3300</v>
      </c>
      <c r="F248" s="1" t="s">
        <v>3301</v>
      </c>
      <c r="G248" s="2" t="s">
        <v>101</v>
      </c>
      <c r="H248" s="2" t="s">
        <v>46</v>
      </c>
      <c r="I248" s="2" t="s">
        <v>6</v>
      </c>
      <c r="J248" s="2" t="s">
        <v>5</v>
      </c>
      <c r="K248" s="2" t="s">
        <v>5</v>
      </c>
      <c r="L248" s="2" t="s">
        <v>7</v>
      </c>
      <c r="M248" s="1" t="s">
        <v>3302</v>
      </c>
      <c r="N248" s="1" t="s">
        <v>3303</v>
      </c>
      <c r="O248" s="2" t="s">
        <v>406</v>
      </c>
      <c r="P248" s="1" t="s">
        <v>1350</v>
      </c>
      <c r="Q248" s="2" t="s">
        <v>60</v>
      </c>
      <c r="R248" s="2" t="s">
        <v>277</v>
      </c>
      <c r="T248" s="2" t="s">
        <v>13</v>
      </c>
      <c r="U248" s="3">
        <v>2</v>
      </c>
      <c r="V248" s="3">
        <v>4</v>
      </c>
      <c r="W248" s="4" t="s">
        <v>3304</v>
      </c>
      <c r="X248" s="4" t="s">
        <v>3304</v>
      </c>
      <c r="Y248" s="4" t="s">
        <v>2005</v>
      </c>
      <c r="Z248" s="4" t="s">
        <v>2005</v>
      </c>
      <c r="AA248" s="3">
        <v>1057</v>
      </c>
      <c r="AB248" s="3">
        <v>1013</v>
      </c>
      <c r="AC248" s="3">
        <v>1019</v>
      </c>
      <c r="AD248" s="3">
        <v>7</v>
      </c>
      <c r="AE248" s="9">
        <v>7</v>
      </c>
      <c r="AF248" s="9">
        <v>35</v>
      </c>
      <c r="AG248" s="9">
        <v>35</v>
      </c>
      <c r="AH248" s="3">
        <v>12</v>
      </c>
      <c r="AI248" s="3">
        <v>12</v>
      </c>
      <c r="AJ248" s="3">
        <v>8</v>
      </c>
      <c r="AK248" s="3">
        <v>8</v>
      </c>
      <c r="AL248" s="3">
        <v>19</v>
      </c>
      <c r="AM248" s="3">
        <v>19</v>
      </c>
      <c r="AN248" s="3">
        <v>5</v>
      </c>
      <c r="AO248" s="3">
        <v>5</v>
      </c>
      <c r="AP248" s="3">
        <v>0</v>
      </c>
      <c r="AQ248" s="3">
        <v>0</v>
      </c>
      <c r="AR248" s="2" t="s">
        <v>5</v>
      </c>
      <c r="AS248" s="2" t="s">
        <v>46</v>
      </c>
      <c r="AT248" s="5" t="str">
        <f>HYPERLINK("http://catalog.hathitrust.org/Record/004461065","HathiTrust Record")</f>
        <v>HathiTrust Record</v>
      </c>
      <c r="AU248" s="5" t="str">
        <f>HYPERLINK("https://creighton-primo.hosted.exlibrisgroup.com/primo-explore/search?tab=default_tab&amp;search_scope=EVERYTHING&amp;vid=01CRU&amp;lang=en_US&amp;offset=0&amp;query=any,contains,991003581779702656","Catalog Record")</f>
        <v>Catalog Record</v>
      </c>
      <c r="AV248" s="5" t="str">
        <f>HYPERLINK("http://www.worldcat.org/oclc/1163045","WorldCat Record")</f>
        <v>WorldCat Record</v>
      </c>
      <c r="AW248" s="2" t="s">
        <v>3305</v>
      </c>
      <c r="AX248" s="2" t="s">
        <v>3306</v>
      </c>
      <c r="AY248" s="2" t="s">
        <v>3307</v>
      </c>
      <c r="AZ248" s="2" t="s">
        <v>3307</v>
      </c>
      <c r="BA248" s="2" t="s">
        <v>3308</v>
      </c>
      <c r="BB248" s="2" t="s">
        <v>20</v>
      </c>
      <c r="BE248" s="2" t="s">
        <v>3309</v>
      </c>
      <c r="BF248" s="2" t="s">
        <v>3310</v>
      </c>
    </row>
    <row r="249" spans="1:58" ht="39.75" customHeight="1" x14ac:dyDescent="0.25">
      <c r="A249" s="7" t="s">
        <v>5</v>
      </c>
      <c r="B249" s="1" t="s">
        <v>0</v>
      </c>
      <c r="C249" s="1" t="s">
        <v>1</v>
      </c>
      <c r="D249" s="1" t="s">
        <v>3299</v>
      </c>
      <c r="E249" s="1" t="s">
        <v>3300</v>
      </c>
      <c r="F249" s="1" t="s">
        <v>3301</v>
      </c>
      <c r="G249" s="2" t="s">
        <v>73</v>
      </c>
      <c r="H249" s="2" t="s">
        <v>46</v>
      </c>
      <c r="I249" s="2" t="s">
        <v>6</v>
      </c>
      <c r="J249" s="2" t="s">
        <v>5</v>
      </c>
      <c r="K249" s="2" t="s">
        <v>5</v>
      </c>
      <c r="L249" s="2" t="s">
        <v>7</v>
      </c>
      <c r="M249" s="1" t="s">
        <v>3302</v>
      </c>
      <c r="N249" s="1" t="s">
        <v>3303</v>
      </c>
      <c r="O249" s="2" t="s">
        <v>406</v>
      </c>
      <c r="P249" s="1" t="s">
        <v>1350</v>
      </c>
      <c r="Q249" s="2" t="s">
        <v>60</v>
      </c>
      <c r="R249" s="2" t="s">
        <v>277</v>
      </c>
      <c r="T249" s="2" t="s">
        <v>13</v>
      </c>
      <c r="U249" s="3">
        <v>2</v>
      </c>
      <c r="V249" s="3">
        <v>4</v>
      </c>
      <c r="W249" s="4" t="s">
        <v>3304</v>
      </c>
      <c r="X249" s="4" t="s">
        <v>3304</v>
      </c>
      <c r="Y249" s="4" t="s">
        <v>2005</v>
      </c>
      <c r="Z249" s="4" t="s">
        <v>2005</v>
      </c>
      <c r="AA249" s="3">
        <v>1057</v>
      </c>
      <c r="AB249" s="3">
        <v>1013</v>
      </c>
      <c r="AC249" s="3">
        <v>1019</v>
      </c>
      <c r="AD249" s="3">
        <v>7</v>
      </c>
      <c r="AE249" s="9">
        <v>7</v>
      </c>
      <c r="AF249" s="9">
        <v>35</v>
      </c>
      <c r="AG249" s="9">
        <v>35</v>
      </c>
      <c r="AH249" s="3">
        <v>12</v>
      </c>
      <c r="AI249" s="3">
        <v>12</v>
      </c>
      <c r="AJ249" s="3">
        <v>8</v>
      </c>
      <c r="AK249" s="3">
        <v>8</v>
      </c>
      <c r="AL249" s="3">
        <v>19</v>
      </c>
      <c r="AM249" s="3">
        <v>19</v>
      </c>
      <c r="AN249" s="3">
        <v>5</v>
      </c>
      <c r="AO249" s="3">
        <v>5</v>
      </c>
      <c r="AP249" s="3">
        <v>0</v>
      </c>
      <c r="AQ249" s="3">
        <v>0</v>
      </c>
      <c r="AR249" s="2" t="s">
        <v>5</v>
      </c>
      <c r="AS249" s="2" t="s">
        <v>46</v>
      </c>
      <c r="AT249" s="5" t="str">
        <f>HYPERLINK("http://catalog.hathitrust.org/Record/004461065","HathiTrust Record")</f>
        <v>HathiTrust Record</v>
      </c>
      <c r="AU249" s="5" t="str">
        <f>HYPERLINK("https://creighton-primo.hosted.exlibrisgroup.com/primo-explore/search?tab=default_tab&amp;search_scope=EVERYTHING&amp;vid=01CRU&amp;lang=en_US&amp;offset=0&amp;query=any,contains,991003581779702656","Catalog Record")</f>
        <v>Catalog Record</v>
      </c>
      <c r="AV249" s="5" t="str">
        <f>HYPERLINK("http://www.worldcat.org/oclc/1163045","WorldCat Record")</f>
        <v>WorldCat Record</v>
      </c>
      <c r="AW249" s="2" t="s">
        <v>3305</v>
      </c>
      <c r="AX249" s="2" t="s">
        <v>3306</v>
      </c>
      <c r="AY249" s="2" t="s">
        <v>3307</v>
      </c>
      <c r="AZ249" s="2" t="s">
        <v>3307</v>
      </c>
      <c r="BA249" s="2" t="s">
        <v>3308</v>
      </c>
      <c r="BB249" s="2" t="s">
        <v>20</v>
      </c>
      <c r="BE249" s="2" t="s">
        <v>3311</v>
      </c>
      <c r="BF249" s="2" t="s">
        <v>3312</v>
      </c>
    </row>
    <row r="250" spans="1:58" ht="39.75" customHeight="1" x14ac:dyDescent="0.25">
      <c r="A250" s="7" t="s">
        <v>5</v>
      </c>
      <c r="B250" s="1" t="s">
        <v>0</v>
      </c>
      <c r="C250" s="1" t="s">
        <v>1</v>
      </c>
      <c r="D250" s="1" t="s">
        <v>3313</v>
      </c>
      <c r="E250" s="1" t="s">
        <v>3314</v>
      </c>
      <c r="F250" s="1" t="s">
        <v>3315</v>
      </c>
      <c r="H250" s="2" t="s">
        <v>5</v>
      </c>
      <c r="I250" s="2" t="s">
        <v>6</v>
      </c>
      <c r="J250" s="2" t="s">
        <v>5</v>
      </c>
      <c r="K250" s="2" t="s">
        <v>5</v>
      </c>
      <c r="L250" s="2" t="s">
        <v>7</v>
      </c>
      <c r="M250" s="1" t="s">
        <v>3316</v>
      </c>
      <c r="N250" s="1" t="s">
        <v>3317</v>
      </c>
      <c r="O250" s="2" t="s">
        <v>392</v>
      </c>
      <c r="Q250" s="2" t="s">
        <v>60</v>
      </c>
      <c r="R250" s="2" t="s">
        <v>193</v>
      </c>
      <c r="T250" s="2" t="s">
        <v>13</v>
      </c>
      <c r="U250" s="3">
        <v>2</v>
      </c>
      <c r="V250" s="3">
        <v>2</v>
      </c>
      <c r="W250" s="4" t="s">
        <v>2478</v>
      </c>
      <c r="X250" s="4" t="s">
        <v>2478</v>
      </c>
      <c r="Y250" s="4" t="s">
        <v>3279</v>
      </c>
      <c r="Z250" s="4" t="s">
        <v>3279</v>
      </c>
      <c r="AA250" s="3">
        <v>329</v>
      </c>
      <c r="AB250" s="3">
        <v>154</v>
      </c>
      <c r="AC250" s="3">
        <v>653</v>
      </c>
      <c r="AD250" s="3">
        <v>2</v>
      </c>
      <c r="AE250" s="9">
        <v>4</v>
      </c>
      <c r="AF250" s="9">
        <v>4</v>
      </c>
      <c r="AG250" s="9">
        <v>18</v>
      </c>
      <c r="AH250" s="3">
        <v>1</v>
      </c>
      <c r="AI250" s="3">
        <v>6</v>
      </c>
      <c r="AJ250" s="3">
        <v>1</v>
      </c>
      <c r="AK250" s="3">
        <v>5</v>
      </c>
      <c r="AL250" s="3">
        <v>2</v>
      </c>
      <c r="AM250" s="3">
        <v>9</v>
      </c>
      <c r="AN250" s="3">
        <v>1</v>
      </c>
      <c r="AO250" s="3">
        <v>2</v>
      </c>
      <c r="AP250" s="3">
        <v>0</v>
      </c>
      <c r="AQ250" s="3">
        <v>0</v>
      </c>
      <c r="AR250" s="2" t="s">
        <v>5</v>
      </c>
      <c r="AS250" s="2" t="s">
        <v>5</v>
      </c>
      <c r="AU250" s="5" t="str">
        <f>HYPERLINK("https://creighton-primo.hosted.exlibrisgroup.com/primo-explore/search?tab=default_tab&amp;search_scope=EVERYTHING&amp;vid=01CRU&amp;lang=en_US&amp;offset=0&amp;query=any,contains,991003239549702656","Catalog Record")</f>
        <v>Catalog Record</v>
      </c>
      <c r="AV250" s="5" t="str">
        <f>HYPERLINK("http://www.worldcat.org/oclc/762884","WorldCat Record")</f>
        <v>WorldCat Record</v>
      </c>
      <c r="AW250" s="2" t="s">
        <v>3318</v>
      </c>
      <c r="AX250" s="2" t="s">
        <v>3319</v>
      </c>
      <c r="AY250" s="2" t="s">
        <v>3320</v>
      </c>
      <c r="AZ250" s="2" t="s">
        <v>3320</v>
      </c>
      <c r="BA250" s="2" t="s">
        <v>3321</v>
      </c>
      <c r="BB250" s="2" t="s">
        <v>20</v>
      </c>
      <c r="BD250" s="2" t="s">
        <v>3322</v>
      </c>
      <c r="BE250" s="2" t="s">
        <v>3323</v>
      </c>
      <c r="BF250" s="2" t="s">
        <v>3324</v>
      </c>
    </row>
    <row r="251" spans="1:58" ht="39.75" customHeight="1" x14ac:dyDescent="0.25">
      <c r="A251" s="7" t="s">
        <v>5</v>
      </c>
      <c r="B251" s="1" t="s">
        <v>0</v>
      </c>
      <c r="C251" s="1" t="s">
        <v>1</v>
      </c>
      <c r="D251" s="1" t="s">
        <v>3325</v>
      </c>
      <c r="E251" s="1" t="s">
        <v>3326</v>
      </c>
      <c r="F251" s="1" t="s">
        <v>3327</v>
      </c>
      <c r="H251" s="2" t="s">
        <v>5</v>
      </c>
      <c r="I251" s="2" t="s">
        <v>6</v>
      </c>
      <c r="J251" s="2" t="s">
        <v>5</v>
      </c>
      <c r="K251" s="2" t="s">
        <v>5</v>
      </c>
      <c r="L251" s="2" t="s">
        <v>7</v>
      </c>
      <c r="M251" s="1" t="s">
        <v>3328</v>
      </c>
      <c r="N251" s="1" t="s">
        <v>3329</v>
      </c>
      <c r="O251" s="2" t="s">
        <v>1515</v>
      </c>
      <c r="Q251" s="2" t="s">
        <v>60</v>
      </c>
      <c r="R251" s="2" t="s">
        <v>61</v>
      </c>
      <c r="T251" s="2" t="s">
        <v>13</v>
      </c>
      <c r="U251" s="3">
        <v>4</v>
      </c>
      <c r="V251" s="3">
        <v>4</v>
      </c>
      <c r="W251" s="4" t="s">
        <v>3265</v>
      </c>
      <c r="X251" s="4" t="s">
        <v>3265</v>
      </c>
      <c r="Y251" s="4" t="s">
        <v>2653</v>
      </c>
      <c r="Z251" s="4" t="s">
        <v>2653</v>
      </c>
      <c r="AA251" s="3">
        <v>229</v>
      </c>
      <c r="AB251" s="3">
        <v>178</v>
      </c>
      <c r="AC251" s="3">
        <v>183</v>
      </c>
      <c r="AD251" s="3">
        <v>2</v>
      </c>
      <c r="AE251" s="9">
        <v>2</v>
      </c>
      <c r="AF251" s="9">
        <v>6</v>
      </c>
      <c r="AG251" s="9">
        <v>6</v>
      </c>
      <c r="AH251" s="3">
        <v>1</v>
      </c>
      <c r="AI251" s="3">
        <v>1</v>
      </c>
      <c r="AJ251" s="3">
        <v>3</v>
      </c>
      <c r="AK251" s="3">
        <v>3</v>
      </c>
      <c r="AL251" s="3">
        <v>4</v>
      </c>
      <c r="AM251" s="3">
        <v>4</v>
      </c>
      <c r="AN251" s="3">
        <v>1</v>
      </c>
      <c r="AO251" s="3">
        <v>1</v>
      </c>
      <c r="AP251" s="3">
        <v>0</v>
      </c>
      <c r="AQ251" s="3">
        <v>0</v>
      </c>
      <c r="AR251" s="2" t="s">
        <v>5</v>
      </c>
      <c r="AS251" s="2" t="s">
        <v>46</v>
      </c>
      <c r="AT251" s="5" t="str">
        <f>HYPERLINK("http://catalog.hathitrust.org/Record/000746330","HathiTrust Record")</f>
        <v>HathiTrust Record</v>
      </c>
      <c r="AU251" s="5" t="str">
        <f>HYPERLINK("https://creighton-primo.hosted.exlibrisgroup.com/primo-explore/search?tab=default_tab&amp;search_scope=EVERYTHING&amp;vid=01CRU&amp;lang=en_US&amp;offset=0&amp;query=any,contains,991004929749702656","Catalog Record")</f>
        <v>Catalog Record</v>
      </c>
      <c r="AV251" s="5" t="str">
        <f>HYPERLINK("http://www.worldcat.org/oclc/6092169","WorldCat Record")</f>
        <v>WorldCat Record</v>
      </c>
      <c r="AW251" s="2" t="s">
        <v>3330</v>
      </c>
      <c r="AX251" s="2" t="s">
        <v>3331</v>
      </c>
      <c r="AY251" s="2" t="s">
        <v>3332</v>
      </c>
      <c r="AZ251" s="2" t="s">
        <v>3332</v>
      </c>
      <c r="BA251" s="2" t="s">
        <v>3333</v>
      </c>
      <c r="BB251" s="2" t="s">
        <v>20</v>
      </c>
      <c r="BD251" s="2" t="s">
        <v>3334</v>
      </c>
      <c r="BE251" s="2" t="s">
        <v>3335</v>
      </c>
      <c r="BF251" s="2" t="s">
        <v>3336</v>
      </c>
    </row>
    <row r="252" spans="1:58" ht="39.75" customHeight="1" x14ac:dyDescent="0.25">
      <c r="A252" s="7" t="s">
        <v>5</v>
      </c>
      <c r="B252" s="1" t="s">
        <v>0</v>
      </c>
      <c r="C252" s="1" t="s">
        <v>1</v>
      </c>
      <c r="D252" s="1" t="s">
        <v>3337</v>
      </c>
      <c r="E252" s="1" t="s">
        <v>3338</v>
      </c>
      <c r="F252" s="1" t="s">
        <v>3339</v>
      </c>
      <c r="H252" s="2" t="s">
        <v>5</v>
      </c>
      <c r="I252" s="2" t="s">
        <v>6</v>
      </c>
      <c r="J252" s="2" t="s">
        <v>5</v>
      </c>
      <c r="K252" s="2" t="s">
        <v>5</v>
      </c>
      <c r="L252" s="2" t="s">
        <v>7</v>
      </c>
      <c r="M252" s="1" t="s">
        <v>3340</v>
      </c>
      <c r="N252" s="1" t="s">
        <v>3341</v>
      </c>
      <c r="O252" s="2" t="s">
        <v>421</v>
      </c>
      <c r="Q252" s="2" t="s">
        <v>60</v>
      </c>
      <c r="R252" s="2" t="s">
        <v>193</v>
      </c>
      <c r="S252" s="1" t="s">
        <v>3342</v>
      </c>
      <c r="T252" s="2" t="s">
        <v>13</v>
      </c>
      <c r="U252" s="3">
        <v>6</v>
      </c>
      <c r="V252" s="3">
        <v>6</v>
      </c>
      <c r="W252" s="4" t="s">
        <v>3343</v>
      </c>
      <c r="X252" s="4" t="s">
        <v>3343</v>
      </c>
      <c r="Y252" s="4" t="s">
        <v>2653</v>
      </c>
      <c r="Z252" s="4" t="s">
        <v>2653</v>
      </c>
      <c r="AA252" s="3">
        <v>485</v>
      </c>
      <c r="AB252" s="3">
        <v>345</v>
      </c>
      <c r="AC252" s="3">
        <v>373</v>
      </c>
      <c r="AD252" s="3">
        <v>3</v>
      </c>
      <c r="AE252" s="9">
        <v>3</v>
      </c>
      <c r="AF252" s="9">
        <v>18</v>
      </c>
      <c r="AG252" s="9">
        <v>18</v>
      </c>
      <c r="AH252" s="3">
        <v>7</v>
      </c>
      <c r="AI252" s="3">
        <v>7</v>
      </c>
      <c r="AJ252" s="3">
        <v>6</v>
      </c>
      <c r="AK252" s="3">
        <v>6</v>
      </c>
      <c r="AL252" s="3">
        <v>10</v>
      </c>
      <c r="AM252" s="3">
        <v>10</v>
      </c>
      <c r="AN252" s="3">
        <v>2</v>
      </c>
      <c r="AO252" s="3">
        <v>2</v>
      </c>
      <c r="AP252" s="3">
        <v>0</v>
      </c>
      <c r="AQ252" s="3">
        <v>0</v>
      </c>
      <c r="AR252" s="2" t="s">
        <v>5</v>
      </c>
      <c r="AS252" s="2" t="s">
        <v>5</v>
      </c>
      <c r="AU252" s="5" t="str">
        <f>HYPERLINK("https://creighton-primo.hosted.exlibrisgroup.com/primo-explore/search?tab=default_tab&amp;search_scope=EVERYTHING&amp;vid=01CRU&amp;lang=en_US&amp;offset=0&amp;query=any,contains,991000242899702656","Catalog Record")</f>
        <v>Catalog Record</v>
      </c>
      <c r="AV252" s="5" t="str">
        <f>HYPERLINK("http://www.worldcat.org/oclc/9685892","WorldCat Record")</f>
        <v>WorldCat Record</v>
      </c>
      <c r="AW252" s="2" t="s">
        <v>3344</v>
      </c>
      <c r="AX252" s="2" t="s">
        <v>3345</v>
      </c>
      <c r="AY252" s="2" t="s">
        <v>3346</v>
      </c>
      <c r="AZ252" s="2" t="s">
        <v>3346</v>
      </c>
      <c r="BA252" s="2" t="s">
        <v>3347</v>
      </c>
      <c r="BB252" s="2" t="s">
        <v>20</v>
      </c>
      <c r="BD252" s="2" t="s">
        <v>3348</v>
      </c>
      <c r="BE252" s="2" t="s">
        <v>3349</v>
      </c>
      <c r="BF252" s="2" t="s">
        <v>3350</v>
      </c>
    </row>
    <row r="253" spans="1:58" ht="39.75" customHeight="1" x14ac:dyDescent="0.25">
      <c r="A253" s="7" t="s">
        <v>5</v>
      </c>
      <c r="B253" s="1" t="s">
        <v>0</v>
      </c>
      <c r="C253" s="1" t="s">
        <v>1</v>
      </c>
      <c r="D253" s="1" t="s">
        <v>3351</v>
      </c>
      <c r="E253" s="1" t="s">
        <v>3352</v>
      </c>
      <c r="F253" s="1" t="s">
        <v>3353</v>
      </c>
      <c r="H253" s="2" t="s">
        <v>5</v>
      </c>
      <c r="I253" s="2" t="s">
        <v>6</v>
      </c>
      <c r="J253" s="2" t="s">
        <v>5</v>
      </c>
      <c r="K253" s="2" t="s">
        <v>5</v>
      </c>
      <c r="L253" s="2" t="s">
        <v>7</v>
      </c>
      <c r="M253" s="1" t="s">
        <v>3354</v>
      </c>
      <c r="N253" s="1" t="s">
        <v>3355</v>
      </c>
      <c r="O253" s="2" t="s">
        <v>76</v>
      </c>
      <c r="Q253" s="2" t="s">
        <v>60</v>
      </c>
      <c r="R253" s="2" t="s">
        <v>61</v>
      </c>
      <c r="S253" s="1" t="s">
        <v>3356</v>
      </c>
      <c r="T253" s="2" t="s">
        <v>13</v>
      </c>
      <c r="U253" s="3">
        <v>2</v>
      </c>
      <c r="V253" s="3">
        <v>2</v>
      </c>
      <c r="W253" s="4" t="s">
        <v>2682</v>
      </c>
      <c r="X253" s="4" t="s">
        <v>2682</v>
      </c>
      <c r="Y253" s="4" t="s">
        <v>556</v>
      </c>
      <c r="Z253" s="4" t="s">
        <v>556</v>
      </c>
      <c r="AA253" s="3">
        <v>808</v>
      </c>
      <c r="AB253" s="3">
        <v>680</v>
      </c>
      <c r="AC253" s="3">
        <v>680</v>
      </c>
      <c r="AD253" s="3">
        <v>6</v>
      </c>
      <c r="AE253" s="9">
        <v>6</v>
      </c>
      <c r="AF253" s="9">
        <v>27</v>
      </c>
      <c r="AG253" s="9">
        <v>27</v>
      </c>
      <c r="AH253" s="3">
        <v>7</v>
      </c>
      <c r="AI253" s="3">
        <v>7</v>
      </c>
      <c r="AJ253" s="3">
        <v>8</v>
      </c>
      <c r="AK253" s="3">
        <v>8</v>
      </c>
      <c r="AL253" s="3">
        <v>13</v>
      </c>
      <c r="AM253" s="3">
        <v>13</v>
      </c>
      <c r="AN253" s="3">
        <v>5</v>
      </c>
      <c r="AO253" s="3">
        <v>5</v>
      </c>
      <c r="AP253" s="3">
        <v>0</v>
      </c>
      <c r="AQ253" s="3">
        <v>0</v>
      </c>
      <c r="AR253" s="2" t="s">
        <v>5</v>
      </c>
      <c r="AS253" s="2" t="s">
        <v>5</v>
      </c>
      <c r="AU253" s="5" t="str">
        <f>HYPERLINK("https://creighton-primo.hosted.exlibrisgroup.com/primo-explore/search?tab=default_tab&amp;search_scope=EVERYTHING&amp;vid=01CRU&amp;lang=en_US&amp;offset=0&amp;query=any,contains,991001231869702656","Catalog Record")</f>
        <v>Catalog Record</v>
      </c>
      <c r="AV253" s="5" t="str">
        <f>HYPERLINK("http://www.worldcat.org/oclc/203796","WorldCat Record")</f>
        <v>WorldCat Record</v>
      </c>
      <c r="AW253" s="2" t="s">
        <v>3357</v>
      </c>
      <c r="AX253" s="2" t="s">
        <v>3358</v>
      </c>
      <c r="AY253" s="2" t="s">
        <v>3359</v>
      </c>
      <c r="AZ253" s="2" t="s">
        <v>3359</v>
      </c>
      <c r="BA253" s="2" t="s">
        <v>3360</v>
      </c>
      <c r="BB253" s="2" t="s">
        <v>20</v>
      </c>
      <c r="BE253" s="2" t="s">
        <v>3361</v>
      </c>
      <c r="BF253" s="2" t="s">
        <v>3362</v>
      </c>
    </row>
    <row r="254" spans="1:58" ht="39.75" customHeight="1" x14ac:dyDescent="0.25">
      <c r="A254" s="7" t="s">
        <v>5</v>
      </c>
      <c r="B254" s="1" t="s">
        <v>0</v>
      </c>
      <c r="C254" s="1" t="s">
        <v>1</v>
      </c>
      <c r="D254" s="1" t="s">
        <v>3363</v>
      </c>
      <c r="E254" s="1" t="s">
        <v>3364</v>
      </c>
      <c r="F254" s="1" t="s">
        <v>3365</v>
      </c>
      <c r="H254" s="2" t="s">
        <v>5</v>
      </c>
      <c r="I254" s="2" t="s">
        <v>6</v>
      </c>
      <c r="J254" s="2" t="s">
        <v>5</v>
      </c>
      <c r="K254" s="2" t="s">
        <v>5</v>
      </c>
      <c r="L254" s="2" t="s">
        <v>7</v>
      </c>
      <c r="M254" s="1" t="s">
        <v>3366</v>
      </c>
      <c r="N254" s="1" t="s">
        <v>3367</v>
      </c>
      <c r="O254" s="2" t="s">
        <v>584</v>
      </c>
      <c r="Q254" s="2" t="s">
        <v>11</v>
      </c>
      <c r="R254" s="2" t="s">
        <v>61</v>
      </c>
      <c r="S254" s="1" t="s">
        <v>3368</v>
      </c>
      <c r="T254" s="2" t="s">
        <v>13</v>
      </c>
      <c r="U254" s="3">
        <v>5</v>
      </c>
      <c r="V254" s="3">
        <v>5</v>
      </c>
      <c r="W254" s="4" t="s">
        <v>3369</v>
      </c>
      <c r="X254" s="4" t="s">
        <v>3369</v>
      </c>
      <c r="Y254" s="4" t="s">
        <v>309</v>
      </c>
      <c r="Z254" s="4" t="s">
        <v>309</v>
      </c>
      <c r="AA254" s="3">
        <v>278</v>
      </c>
      <c r="AB254" s="3">
        <v>265</v>
      </c>
      <c r="AC254" s="3">
        <v>854</v>
      </c>
      <c r="AD254" s="3">
        <v>2</v>
      </c>
      <c r="AE254" s="9">
        <v>5</v>
      </c>
      <c r="AF254" s="9">
        <v>13</v>
      </c>
      <c r="AG254" s="9">
        <v>47</v>
      </c>
      <c r="AH254" s="3">
        <v>5</v>
      </c>
      <c r="AI254" s="3">
        <v>23</v>
      </c>
      <c r="AJ254" s="3">
        <v>3</v>
      </c>
      <c r="AK254" s="3">
        <v>10</v>
      </c>
      <c r="AL254" s="3">
        <v>7</v>
      </c>
      <c r="AM254" s="3">
        <v>23</v>
      </c>
      <c r="AN254" s="3">
        <v>1</v>
      </c>
      <c r="AO254" s="3">
        <v>4</v>
      </c>
      <c r="AP254" s="3">
        <v>0</v>
      </c>
      <c r="AQ254" s="3">
        <v>0</v>
      </c>
      <c r="AR254" s="2" t="s">
        <v>5</v>
      </c>
      <c r="AS254" s="2" t="s">
        <v>46</v>
      </c>
      <c r="AT254" s="5" t="str">
        <f>HYPERLINK("http://catalog.hathitrust.org/Record/000007295","HathiTrust Record")</f>
        <v>HathiTrust Record</v>
      </c>
      <c r="AU254" s="5" t="str">
        <f>HYPERLINK("https://creighton-primo.hosted.exlibrisgroup.com/primo-explore/search?tab=default_tab&amp;search_scope=EVERYTHING&amp;vid=01CRU&amp;lang=en_US&amp;offset=0&amp;query=any,contains,991005072729702656","Catalog Record")</f>
        <v>Catalog Record</v>
      </c>
      <c r="AV254" s="5" t="str">
        <f>HYPERLINK("http://www.worldcat.org/oclc/7059078","WorldCat Record")</f>
        <v>WorldCat Record</v>
      </c>
      <c r="AW254" s="2" t="s">
        <v>3370</v>
      </c>
      <c r="AX254" s="2" t="s">
        <v>3371</v>
      </c>
      <c r="AY254" s="2" t="s">
        <v>3372</v>
      </c>
      <c r="AZ254" s="2" t="s">
        <v>3372</v>
      </c>
      <c r="BA254" s="2" t="s">
        <v>3373</v>
      </c>
      <c r="BB254" s="2" t="s">
        <v>20</v>
      </c>
      <c r="BE254" s="2" t="s">
        <v>3374</v>
      </c>
      <c r="BF254" s="2" t="s">
        <v>3375</v>
      </c>
    </row>
    <row r="255" spans="1:58" ht="39.75" customHeight="1" x14ac:dyDescent="0.25">
      <c r="A255" s="7" t="s">
        <v>5</v>
      </c>
      <c r="B255" s="1" t="s">
        <v>0</v>
      </c>
      <c r="C255" s="1" t="s">
        <v>1</v>
      </c>
      <c r="D255" s="1" t="s">
        <v>3376</v>
      </c>
      <c r="E255" s="1" t="s">
        <v>3377</v>
      </c>
      <c r="F255" s="1" t="s">
        <v>3378</v>
      </c>
      <c r="H255" s="2" t="s">
        <v>5</v>
      </c>
      <c r="I255" s="2" t="s">
        <v>6</v>
      </c>
      <c r="J255" s="2" t="s">
        <v>5</v>
      </c>
      <c r="K255" s="2" t="s">
        <v>5</v>
      </c>
      <c r="L255" s="2" t="s">
        <v>7</v>
      </c>
      <c r="M255" s="1" t="s">
        <v>3379</v>
      </c>
      <c r="N255" s="1" t="s">
        <v>260</v>
      </c>
      <c r="O255" s="2" t="s">
        <v>261</v>
      </c>
      <c r="Q255" s="2" t="s">
        <v>60</v>
      </c>
      <c r="R255" s="2" t="s">
        <v>262</v>
      </c>
      <c r="T255" s="2" t="s">
        <v>13</v>
      </c>
      <c r="U255" s="3">
        <v>10</v>
      </c>
      <c r="V255" s="3">
        <v>10</v>
      </c>
      <c r="W255" s="4" t="s">
        <v>3380</v>
      </c>
      <c r="X255" s="4" t="s">
        <v>3380</v>
      </c>
      <c r="Y255" s="4" t="s">
        <v>2653</v>
      </c>
      <c r="Z255" s="4" t="s">
        <v>2653</v>
      </c>
      <c r="AA255" s="3">
        <v>203</v>
      </c>
      <c r="AB255" s="3">
        <v>173</v>
      </c>
      <c r="AC255" s="3">
        <v>175</v>
      </c>
      <c r="AD255" s="3">
        <v>3</v>
      </c>
      <c r="AE255" s="9">
        <v>3</v>
      </c>
      <c r="AF255" s="9">
        <v>12</v>
      </c>
      <c r="AG255" s="9">
        <v>12</v>
      </c>
      <c r="AH255" s="3">
        <v>4</v>
      </c>
      <c r="AI255" s="3">
        <v>4</v>
      </c>
      <c r="AJ255" s="3">
        <v>3</v>
      </c>
      <c r="AK255" s="3">
        <v>3</v>
      </c>
      <c r="AL255" s="3">
        <v>7</v>
      </c>
      <c r="AM255" s="3">
        <v>7</v>
      </c>
      <c r="AN255" s="3">
        <v>2</v>
      </c>
      <c r="AO255" s="3">
        <v>2</v>
      </c>
      <c r="AP255" s="3">
        <v>0</v>
      </c>
      <c r="AQ255" s="3">
        <v>0</v>
      </c>
      <c r="AR255" s="2" t="s">
        <v>5</v>
      </c>
      <c r="AS255" s="2" t="s">
        <v>46</v>
      </c>
      <c r="AT255" s="5" t="str">
        <f>HYPERLINK("http://catalog.hathitrust.org/Record/007525843","HathiTrust Record")</f>
        <v>HathiTrust Record</v>
      </c>
      <c r="AU255" s="5" t="str">
        <f>HYPERLINK("https://creighton-primo.hosted.exlibrisgroup.com/primo-explore/search?tab=default_tab&amp;search_scope=EVERYTHING&amp;vid=01CRU&amp;lang=en_US&amp;offset=0&amp;query=any,contains,991005198359702656","Catalog Record")</f>
        <v>Catalog Record</v>
      </c>
      <c r="AV255" s="5" t="str">
        <f>HYPERLINK("http://www.worldcat.org/oclc/8052576","WorldCat Record")</f>
        <v>WorldCat Record</v>
      </c>
      <c r="AW255" s="2" t="s">
        <v>3381</v>
      </c>
      <c r="AX255" s="2" t="s">
        <v>3382</v>
      </c>
      <c r="AY255" s="2" t="s">
        <v>3383</v>
      </c>
      <c r="AZ255" s="2" t="s">
        <v>3383</v>
      </c>
      <c r="BA255" s="2" t="s">
        <v>3384</v>
      </c>
      <c r="BB255" s="2" t="s">
        <v>20</v>
      </c>
      <c r="BD255" s="2" t="s">
        <v>3385</v>
      </c>
      <c r="BE255" s="2" t="s">
        <v>3386</v>
      </c>
      <c r="BF255" s="2" t="s">
        <v>3387</v>
      </c>
    </row>
    <row r="256" spans="1:58" ht="39.75" customHeight="1" x14ac:dyDescent="0.25">
      <c r="A256" s="7" t="s">
        <v>5</v>
      </c>
      <c r="B256" s="1" t="s">
        <v>0</v>
      </c>
      <c r="C256" s="1" t="s">
        <v>1</v>
      </c>
      <c r="D256" s="1" t="s">
        <v>3388</v>
      </c>
      <c r="E256" s="1" t="s">
        <v>3389</v>
      </c>
      <c r="F256" s="1" t="s">
        <v>3390</v>
      </c>
      <c r="H256" s="2" t="s">
        <v>5</v>
      </c>
      <c r="I256" s="2" t="s">
        <v>6</v>
      </c>
      <c r="J256" s="2" t="s">
        <v>5</v>
      </c>
      <c r="K256" s="2" t="s">
        <v>5</v>
      </c>
      <c r="L256" s="2" t="s">
        <v>7</v>
      </c>
      <c r="M256" s="1" t="s">
        <v>3391</v>
      </c>
      <c r="N256" s="1" t="s">
        <v>3392</v>
      </c>
      <c r="O256" s="2" t="s">
        <v>322</v>
      </c>
      <c r="Q256" s="2" t="s">
        <v>60</v>
      </c>
      <c r="R256" s="2" t="s">
        <v>61</v>
      </c>
      <c r="T256" s="2" t="s">
        <v>13</v>
      </c>
      <c r="U256" s="3">
        <v>4</v>
      </c>
      <c r="V256" s="3">
        <v>4</v>
      </c>
      <c r="W256" s="4" t="s">
        <v>3380</v>
      </c>
      <c r="X256" s="4" t="s">
        <v>3380</v>
      </c>
      <c r="Y256" s="4" t="s">
        <v>3393</v>
      </c>
      <c r="Z256" s="4" t="s">
        <v>3393</v>
      </c>
      <c r="AA256" s="3">
        <v>114</v>
      </c>
      <c r="AB256" s="3">
        <v>101</v>
      </c>
      <c r="AC256" s="3">
        <v>102</v>
      </c>
      <c r="AD256" s="3">
        <v>2</v>
      </c>
      <c r="AE256" s="9">
        <v>2</v>
      </c>
      <c r="AF256" s="9">
        <v>10</v>
      </c>
      <c r="AG256" s="9">
        <v>10</v>
      </c>
      <c r="AH256" s="3">
        <v>3</v>
      </c>
      <c r="AI256" s="3">
        <v>3</v>
      </c>
      <c r="AJ256" s="3">
        <v>4</v>
      </c>
      <c r="AK256" s="3">
        <v>4</v>
      </c>
      <c r="AL256" s="3">
        <v>4</v>
      </c>
      <c r="AM256" s="3">
        <v>4</v>
      </c>
      <c r="AN256" s="3">
        <v>1</v>
      </c>
      <c r="AO256" s="3">
        <v>1</v>
      </c>
      <c r="AP256" s="3">
        <v>0</v>
      </c>
      <c r="AQ256" s="3">
        <v>0</v>
      </c>
      <c r="AR256" s="2" t="s">
        <v>5</v>
      </c>
      <c r="AS256" s="2" t="s">
        <v>46</v>
      </c>
      <c r="AT256" s="5" t="str">
        <f>HYPERLINK("http://catalog.hathitrust.org/Record/007111125","HathiTrust Record")</f>
        <v>HathiTrust Record</v>
      </c>
      <c r="AU256" s="5" t="str">
        <f>HYPERLINK("https://creighton-primo.hosted.exlibrisgroup.com/primo-explore/search?tab=default_tab&amp;search_scope=EVERYTHING&amp;vid=01CRU&amp;lang=en_US&amp;offset=0&amp;query=any,contains,991002128699702656","Catalog Record")</f>
        <v>Catalog Record</v>
      </c>
      <c r="AV256" s="5" t="str">
        <f>HYPERLINK("http://www.worldcat.org/oclc/27265888","WorldCat Record")</f>
        <v>WorldCat Record</v>
      </c>
      <c r="AW256" s="2" t="s">
        <v>3394</v>
      </c>
      <c r="AX256" s="2" t="s">
        <v>3395</v>
      </c>
      <c r="AY256" s="2" t="s">
        <v>3396</v>
      </c>
      <c r="AZ256" s="2" t="s">
        <v>3396</v>
      </c>
      <c r="BA256" s="2" t="s">
        <v>3397</v>
      </c>
      <c r="BB256" s="2" t="s">
        <v>20</v>
      </c>
      <c r="BD256" s="2" t="s">
        <v>3398</v>
      </c>
      <c r="BE256" s="2" t="s">
        <v>3399</v>
      </c>
      <c r="BF256" s="2" t="s">
        <v>3400</v>
      </c>
    </row>
    <row r="257" spans="1:58" ht="39.75" customHeight="1" x14ac:dyDescent="0.25">
      <c r="A257" s="7" t="s">
        <v>5</v>
      </c>
      <c r="B257" s="1" t="s">
        <v>0</v>
      </c>
      <c r="C257" s="1" t="s">
        <v>1</v>
      </c>
      <c r="D257" s="1" t="s">
        <v>3401</v>
      </c>
      <c r="E257" s="1" t="s">
        <v>3402</v>
      </c>
      <c r="F257" s="1" t="s">
        <v>3403</v>
      </c>
      <c r="H257" s="2" t="s">
        <v>5</v>
      </c>
      <c r="I257" s="2" t="s">
        <v>6</v>
      </c>
      <c r="J257" s="2" t="s">
        <v>5</v>
      </c>
      <c r="K257" s="2" t="s">
        <v>5</v>
      </c>
      <c r="L257" s="2" t="s">
        <v>7</v>
      </c>
      <c r="M257" s="1" t="s">
        <v>3404</v>
      </c>
      <c r="N257" s="1" t="s">
        <v>3405</v>
      </c>
      <c r="O257" s="2" t="s">
        <v>248</v>
      </c>
      <c r="Q257" s="2" t="s">
        <v>60</v>
      </c>
      <c r="R257" s="2" t="s">
        <v>422</v>
      </c>
      <c r="T257" s="2" t="s">
        <v>13</v>
      </c>
      <c r="U257" s="3">
        <v>7</v>
      </c>
      <c r="V257" s="3">
        <v>7</v>
      </c>
      <c r="W257" s="4" t="s">
        <v>3380</v>
      </c>
      <c r="X257" s="4" t="s">
        <v>3380</v>
      </c>
      <c r="Y257" s="4" t="s">
        <v>2653</v>
      </c>
      <c r="Z257" s="4" t="s">
        <v>2653</v>
      </c>
      <c r="AA257" s="3">
        <v>365</v>
      </c>
      <c r="AB257" s="3">
        <v>335</v>
      </c>
      <c r="AC257" s="3">
        <v>337</v>
      </c>
      <c r="AD257" s="3">
        <v>3</v>
      </c>
      <c r="AE257" s="9">
        <v>3</v>
      </c>
      <c r="AF257" s="9">
        <v>13</v>
      </c>
      <c r="AG257" s="9">
        <v>13</v>
      </c>
      <c r="AH257" s="3">
        <v>3</v>
      </c>
      <c r="AI257" s="3">
        <v>3</v>
      </c>
      <c r="AJ257" s="3">
        <v>3</v>
      </c>
      <c r="AK257" s="3">
        <v>3</v>
      </c>
      <c r="AL257" s="3">
        <v>6</v>
      </c>
      <c r="AM257" s="3">
        <v>6</v>
      </c>
      <c r="AN257" s="3">
        <v>2</v>
      </c>
      <c r="AO257" s="3">
        <v>2</v>
      </c>
      <c r="AP257" s="3">
        <v>0</v>
      </c>
      <c r="AQ257" s="3">
        <v>0</v>
      </c>
      <c r="AR257" s="2" t="s">
        <v>5</v>
      </c>
      <c r="AS257" s="2" t="s">
        <v>46</v>
      </c>
      <c r="AT257" s="5" t="str">
        <f>HYPERLINK("http://catalog.hathitrust.org/Record/001216010","HathiTrust Record")</f>
        <v>HathiTrust Record</v>
      </c>
      <c r="AU257" s="5" t="str">
        <f>HYPERLINK("https://creighton-primo.hosted.exlibrisgroup.com/primo-explore/search?tab=default_tab&amp;search_scope=EVERYTHING&amp;vid=01CRU&amp;lang=en_US&amp;offset=0&amp;query=any,contains,991000934909702656","Catalog Record")</f>
        <v>Catalog Record</v>
      </c>
      <c r="AV257" s="5" t="str">
        <f>HYPERLINK("http://www.worldcat.org/oclc/164146","WorldCat Record")</f>
        <v>WorldCat Record</v>
      </c>
      <c r="AW257" s="2" t="s">
        <v>3406</v>
      </c>
      <c r="AX257" s="2" t="s">
        <v>3407</v>
      </c>
      <c r="AY257" s="2" t="s">
        <v>3408</v>
      </c>
      <c r="AZ257" s="2" t="s">
        <v>3408</v>
      </c>
      <c r="BA257" s="2" t="s">
        <v>3409</v>
      </c>
      <c r="BB257" s="2" t="s">
        <v>20</v>
      </c>
      <c r="BD257" s="2" t="s">
        <v>3410</v>
      </c>
      <c r="BE257" s="2" t="s">
        <v>3411</v>
      </c>
      <c r="BF257" s="2" t="s">
        <v>3412</v>
      </c>
    </row>
    <row r="258" spans="1:58" ht="39.75" customHeight="1" x14ac:dyDescent="0.25">
      <c r="A258" s="7" t="s">
        <v>5</v>
      </c>
      <c r="B258" s="1" t="s">
        <v>0</v>
      </c>
      <c r="C258" s="1" t="s">
        <v>1</v>
      </c>
      <c r="D258" s="1" t="s">
        <v>3413</v>
      </c>
      <c r="E258" s="1" t="s">
        <v>3414</v>
      </c>
      <c r="F258" s="1" t="s">
        <v>3415</v>
      </c>
      <c r="H258" s="2" t="s">
        <v>5</v>
      </c>
      <c r="I258" s="2" t="s">
        <v>6</v>
      </c>
      <c r="J258" s="2" t="s">
        <v>5</v>
      </c>
      <c r="K258" s="2" t="s">
        <v>5</v>
      </c>
      <c r="L258" s="2" t="s">
        <v>7</v>
      </c>
      <c r="M258" s="1" t="s">
        <v>2183</v>
      </c>
      <c r="N258" s="1" t="s">
        <v>3416</v>
      </c>
      <c r="O258" s="2" t="s">
        <v>42</v>
      </c>
      <c r="P258" s="1" t="s">
        <v>3417</v>
      </c>
      <c r="Q258" s="2" t="s">
        <v>60</v>
      </c>
      <c r="R258" s="2" t="s">
        <v>61</v>
      </c>
      <c r="T258" s="2" t="s">
        <v>13</v>
      </c>
      <c r="U258" s="3">
        <v>4</v>
      </c>
      <c r="V258" s="3">
        <v>4</v>
      </c>
      <c r="W258" s="4" t="s">
        <v>3380</v>
      </c>
      <c r="X258" s="4" t="s">
        <v>3380</v>
      </c>
      <c r="Y258" s="4" t="s">
        <v>3418</v>
      </c>
      <c r="Z258" s="4" t="s">
        <v>3418</v>
      </c>
      <c r="AA258" s="3">
        <v>85</v>
      </c>
      <c r="AB258" s="3">
        <v>79</v>
      </c>
      <c r="AC258" s="3">
        <v>956</v>
      </c>
      <c r="AD258" s="3">
        <v>1</v>
      </c>
      <c r="AE258" s="9">
        <v>6</v>
      </c>
      <c r="AF258" s="9">
        <v>1</v>
      </c>
      <c r="AG258" s="9">
        <v>29</v>
      </c>
      <c r="AH258" s="3">
        <v>0</v>
      </c>
      <c r="AI258" s="3">
        <v>8</v>
      </c>
      <c r="AJ258" s="3">
        <v>0</v>
      </c>
      <c r="AK258" s="3">
        <v>7</v>
      </c>
      <c r="AL258" s="3">
        <v>1</v>
      </c>
      <c r="AM258" s="3">
        <v>17</v>
      </c>
      <c r="AN258" s="3">
        <v>0</v>
      </c>
      <c r="AO258" s="3">
        <v>4</v>
      </c>
      <c r="AP258" s="3">
        <v>0</v>
      </c>
      <c r="AQ258" s="3">
        <v>0</v>
      </c>
      <c r="AR258" s="2" t="s">
        <v>5</v>
      </c>
      <c r="AS258" s="2" t="s">
        <v>5</v>
      </c>
      <c r="AU258" s="5" t="str">
        <f>HYPERLINK("https://creighton-primo.hosted.exlibrisgroup.com/primo-explore/search?tab=default_tab&amp;search_scope=EVERYTHING&amp;vid=01CRU&amp;lang=en_US&amp;offset=0&amp;query=any,contains,991001593589702656","Catalog Record")</f>
        <v>Catalog Record</v>
      </c>
      <c r="AV258" s="5" t="str">
        <f>HYPERLINK("http://www.worldcat.org/oclc/20595115","WorldCat Record")</f>
        <v>WorldCat Record</v>
      </c>
      <c r="AW258" s="2" t="s">
        <v>3419</v>
      </c>
      <c r="AX258" s="2" t="s">
        <v>3420</v>
      </c>
      <c r="AY258" s="2" t="s">
        <v>3421</v>
      </c>
      <c r="AZ258" s="2" t="s">
        <v>3421</v>
      </c>
      <c r="BA258" s="2" t="s">
        <v>3422</v>
      </c>
      <c r="BB258" s="2" t="s">
        <v>20</v>
      </c>
      <c r="BD258" s="2" t="s">
        <v>3423</v>
      </c>
      <c r="BE258" s="2" t="s">
        <v>3424</v>
      </c>
      <c r="BF258" s="2" t="s">
        <v>3425</v>
      </c>
    </row>
    <row r="259" spans="1:58" ht="39.75" customHeight="1" x14ac:dyDescent="0.25">
      <c r="A259" s="7" t="s">
        <v>5</v>
      </c>
      <c r="B259" s="1" t="s">
        <v>0</v>
      </c>
      <c r="C259" s="1" t="s">
        <v>1</v>
      </c>
      <c r="D259" s="1" t="s">
        <v>3426</v>
      </c>
      <c r="E259" s="1" t="s">
        <v>3427</v>
      </c>
      <c r="F259" s="1" t="s">
        <v>3428</v>
      </c>
      <c r="H259" s="2" t="s">
        <v>5</v>
      </c>
      <c r="I259" s="2" t="s">
        <v>6</v>
      </c>
      <c r="J259" s="2" t="s">
        <v>5</v>
      </c>
      <c r="K259" s="2" t="s">
        <v>5</v>
      </c>
      <c r="L259" s="2" t="s">
        <v>7</v>
      </c>
      <c r="M259" s="1" t="s">
        <v>3429</v>
      </c>
      <c r="N259" s="1" t="s">
        <v>3430</v>
      </c>
      <c r="O259" s="2" t="s">
        <v>91</v>
      </c>
      <c r="P259" s="1" t="s">
        <v>2170</v>
      </c>
      <c r="Q259" s="2" t="s">
        <v>60</v>
      </c>
      <c r="R259" s="2" t="s">
        <v>61</v>
      </c>
      <c r="T259" s="2" t="s">
        <v>13</v>
      </c>
      <c r="U259" s="3">
        <v>2</v>
      </c>
      <c r="V259" s="3">
        <v>2</v>
      </c>
      <c r="W259" s="4" t="s">
        <v>3380</v>
      </c>
      <c r="X259" s="4" t="s">
        <v>3380</v>
      </c>
      <c r="Y259" s="4" t="s">
        <v>3431</v>
      </c>
      <c r="Z259" s="4" t="s">
        <v>3431</v>
      </c>
      <c r="AA259" s="3">
        <v>879</v>
      </c>
      <c r="AB259" s="3">
        <v>834</v>
      </c>
      <c r="AC259" s="3">
        <v>1033</v>
      </c>
      <c r="AD259" s="3">
        <v>7</v>
      </c>
      <c r="AE259" s="9">
        <v>7</v>
      </c>
      <c r="AF259" s="9">
        <v>25</v>
      </c>
      <c r="AG259" s="9">
        <v>33</v>
      </c>
      <c r="AH259" s="3">
        <v>7</v>
      </c>
      <c r="AI259" s="3">
        <v>10</v>
      </c>
      <c r="AJ259" s="3">
        <v>6</v>
      </c>
      <c r="AK259" s="3">
        <v>7</v>
      </c>
      <c r="AL259" s="3">
        <v>14</v>
      </c>
      <c r="AM259" s="3">
        <v>19</v>
      </c>
      <c r="AN259" s="3">
        <v>4</v>
      </c>
      <c r="AO259" s="3">
        <v>4</v>
      </c>
      <c r="AP259" s="3">
        <v>1</v>
      </c>
      <c r="AQ259" s="3">
        <v>1</v>
      </c>
      <c r="AR259" s="2" t="s">
        <v>5</v>
      </c>
      <c r="AS259" s="2" t="s">
        <v>46</v>
      </c>
      <c r="AT259" s="5" t="str">
        <f>HYPERLINK("http://catalog.hathitrust.org/Record/002934582","HathiTrust Record")</f>
        <v>HathiTrust Record</v>
      </c>
      <c r="AU259" s="5" t="str">
        <f>HYPERLINK("https://creighton-primo.hosted.exlibrisgroup.com/primo-explore/search?tab=default_tab&amp;search_scope=EVERYTHING&amp;vid=01CRU&amp;lang=en_US&amp;offset=0&amp;query=any,contains,991002299109702656","Catalog Record")</f>
        <v>Catalog Record</v>
      </c>
      <c r="AV259" s="5" t="str">
        <f>HYPERLINK("http://www.worldcat.org/oclc/29844190","WorldCat Record")</f>
        <v>WorldCat Record</v>
      </c>
      <c r="AW259" s="2" t="s">
        <v>3432</v>
      </c>
      <c r="AX259" s="2" t="s">
        <v>3433</v>
      </c>
      <c r="AY259" s="2" t="s">
        <v>3434</v>
      </c>
      <c r="AZ259" s="2" t="s">
        <v>3434</v>
      </c>
      <c r="BA259" s="2" t="s">
        <v>3435</v>
      </c>
      <c r="BB259" s="2" t="s">
        <v>20</v>
      </c>
      <c r="BD259" s="2" t="s">
        <v>3436</v>
      </c>
      <c r="BE259" s="2" t="s">
        <v>3437</v>
      </c>
      <c r="BF259" s="2" t="s">
        <v>3438</v>
      </c>
    </row>
    <row r="260" spans="1:58" ht="39.75" customHeight="1" x14ac:dyDescent="0.25">
      <c r="A260" s="7" t="s">
        <v>5</v>
      </c>
      <c r="B260" s="1" t="s">
        <v>0</v>
      </c>
      <c r="C260" s="1" t="s">
        <v>1</v>
      </c>
      <c r="D260" s="1" t="s">
        <v>3439</v>
      </c>
      <c r="E260" s="1" t="s">
        <v>3440</v>
      </c>
      <c r="F260" s="1" t="s">
        <v>3441</v>
      </c>
      <c r="H260" s="2" t="s">
        <v>5</v>
      </c>
      <c r="I260" s="2" t="s">
        <v>6</v>
      </c>
      <c r="J260" s="2" t="s">
        <v>5</v>
      </c>
      <c r="K260" s="2" t="s">
        <v>5</v>
      </c>
      <c r="L260" s="2" t="s">
        <v>7</v>
      </c>
      <c r="M260" s="1" t="s">
        <v>3442</v>
      </c>
      <c r="N260" s="1" t="s">
        <v>3443</v>
      </c>
      <c r="O260" s="2" t="s">
        <v>338</v>
      </c>
      <c r="Q260" s="2" t="s">
        <v>11</v>
      </c>
      <c r="R260" s="2" t="s">
        <v>28</v>
      </c>
      <c r="S260" s="1" t="s">
        <v>3444</v>
      </c>
      <c r="T260" s="2" t="s">
        <v>13</v>
      </c>
      <c r="U260" s="3">
        <v>1</v>
      </c>
      <c r="V260" s="3">
        <v>1</v>
      </c>
      <c r="W260" s="4" t="s">
        <v>1096</v>
      </c>
      <c r="X260" s="4" t="s">
        <v>1096</v>
      </c>
      <c r="Y260" s="4" t="s">
        <v>1096</v>
      </c>
      <c r="Z260" s="4" t="s">
        <v>1096</v>
      </c>
      <c r="AA260" s="3">
        <v>4</v>
      </c>
      <c r="AB260" s="3">
        <v>2</v>
      </c>
      <c r="AC260" s="3">
        <v>162</v>
      </c>
      <c r="AD260" s="3">
        <v>1</v>
      </c>
      <c r="AE260" s="9">
        <v>1</v>
      </c>
      <c r="AF260" s="9">
        <v>0</v>
      </c>
      <c r="AG260" s="9">
        <v>8</v>
      </c>
      <c r="AH260" s="3">
        <v>0</v>
      </c>
      <c r="AI260" s="3">
        <v>1</v>
      </c>
      <c r="AJ260" s="3">
        <v>0</v>
      </c>
      <c r="AK260" s="3">
        <v>3</v>
      </c>
      <c r="AL260" s="3">
        <v>0</v>
      </c>
      <c r="AM260" s="3">
        <v>6</v>
      </c>
      <c r="AN260" s="3">
        <v>0</v>
      </c>
      <c r="AO260" s="3">
        <v>0</v>
      </c>
      <c r="AP260" s="3">
        <v>0</v>
      </c>
      <c r="AQ260" s="3">
        <v>0</v>
      </c>
      <c r="AR260" s="2" t="s">
        <v>5</v>
      </c>
      <c r="AS260" s="2" t="s">
        <v>5</v>
      </c>
      <c r="AU260" s="5" t="str">
        <f>HYPERLINK("https://creighton-primo.hosted.exlibrisgroup.com/primo-explore/search?tab=default_tab&amp;search_scope=EVERYTHING&amp;vid=01CRU&amp;lang=en_US&amp;offset=0&amp;query=any,contains,991003344239702656","Catalog Record")</f>
        <v>Catalog Record</v>
      </c>
      <c r="AV260" s="5" t="str">
        <f>HYPERLINK("http://www.worldcat.org/oclc/8737227","WorldCat Record")</f>
        <v>WorldCat Record</v>
      </c>
      <c r="AW260" s="2" t="s">
        <v>3445</v>
      </c>
      <c r="AX260" s="2" t="s">
        <v>3446</v>
      </c>
      <c r="AY260" s="2" t="s">
        <v>3447</v>
      </c>
      <c r="AZ260" s="2" t="s">
        <v>3447</v>
      </c>
      <c r="BA260" s="2" t="s">
        <v>3448</v>
      </c>
      <c r="BB260" s="2" t="s">
        <v>20</v>
      </c>
      <c r="BE260" s="2" t="s">
        <v>3449</v>
      </c>
      <c r="BF260" s="2" t="s">
        <v>3450</v>
      </c>
    </row>
    <row r="261" spans="1:58" ht="39.75" customHeight="1" x14ac:dyDescent="0.25">
      <c r="A261" s="7" t="s">
        <v>5</v>
      </c>
      <c r="B261" s="1" t="s">
        <v>0</v>
      </c>
      <c r="C261" s="1" t="s">
        <v>1</v>
      </c>
      <c r="D261" s="1" t="s">
        <v>3451</v>
      </c>
      <c r="E261" s="1" t="s">
        <v>3452</v>
      </c>
      <c r="F261" s="1" t="s">
        <v>3453</v>
      </c>
      <c r="H261" s="2" t="s">
        <v>5</v>
      </c>
      <c r="I261" s="2" t="s">
        <v>6</v>
      </c>
      <c r="J261" s="2" t="s">
        <v>5</v>
      </c>
      <c r="K261" s="2" t="s">
        <v>5</v>
      </c>
      <c r="L261" s="2" t="s">
        <v>7</v>
      </c>
      <c r="M261" s="1" t="s">
        <v>3454</v>
      </c>
      <c r="N261" s="1" t="s">
        <v>3455</v>
      </c>
      <c r="O261" s="2" t="s">
        <v>2859</v>
      </c>
      <c r="P261" s="1" t="s">
        <v>1377</v>
      </c>
      <c r="Q261" s="2" t="s">
        <v>60</v>
      </c>
      <c r="R261" s="2" t="s">
        <v>61</v>
      </c>
      <c r="T261" s="2" t="s">
        <v>13</v>
      </c>
      <c r="U261" s="3">
        <v>3</v>
      </c>
      <c r="V261" s="3">
        <v>3</v>
      </c>
      <c r="W261" s="4" t="s">
        <v>3456</v>
      </c>
      <c r="X261" s="4" t="s">
        <v>3456</v>
      </c>
      <c r="Y261" s="4" t="s">
        <v>3457</v>
      </c>
      <c r="Z261" s="4" t="s">
        <v>3457</v>
      </c>
      <c r="AA261" s="3">
        <v>1251</v>
      </c>
      <c r="AB261" s="3">
        <v>1156</v>
      </c>
      <c r="AC261" s="3">
        <v>1208</v>
      </c>
      <c r="AD261" s="3">
        <v>4</v>
      </c>
      <c r="AE261" s="9">
        <v>4</v>
      </c>
      <c r="AF261" s="9">
        <v>35</v>
      </c>
      <c r="AG261" s="9">
        <v>36</v>
      </c>
      <c r="AH261" s="3">
        <v>13</v>
      </c>
      <c r="AI261" s="3">
        <v>13</v>
      </c>
      <c r="AJ261" s="3">
        <v>10</v>
      </c>
      <c r="AK261" s="3">
        <v>10</v>
      </c>
      <c r="AL261" s="3">
        <v>18</v>
      </c>
      <c r="AM261" s="3">
        <v>19</v>
      </c>
      <c r="AN261" s="3">
        <v>3</v>
      </c>
      <c r="AO261" s="3">
        <v>3</v>
      </c>
      <c r="AP261" s="3">
        <v>0</v>
      </c>
      <c r="AQ261" s="3">
        <v>0</v>
      </c>
      <c r="AR261" s="2" t="s">
        <v>5</v>
      </c>
      <c r="AS261" s="2" t="s">
        <v>46</v>
      </c>
      <c r="AT261" s="5" t="str">
        <f>HYPERLINK("http://catalog.hathitrust.org/Record/000323002","HathiTrust Record")</f>
        <v>HathiTrust Record</v>
      </c>
      <c r="AU261" s="5" t="str">
        <f>HYPERLINK("https://creighton-primo.hosted.exlibrisgroup.com/primo-explore/search?tab=default_tab&amp;search_scope=EVERYTHING&amp;vid=01CRU&amp;lang=en_US&amp;offset=0&amp;query=any,contains,991000283049702656","Catalog Record")</f>
        <v>Catalog Record</v>
      </c>
      <c r="AV261" s="5" t="str">
        <f>HYPERLINK("http://www.worldcat.org/oclc/9919754","WorldCat Record")</f>
        <v>WorldCat Record</v>
      </c>
      <c r="AW261" s="2" t="s">
        <v>3458</v>
      </c>
      <c r="AX261" s="2" t="s">
        <v>3459</v>
      </c>
      <c r="AY261" s="2" t="s">
        <v>3460</v>
      </c>
      <c r="AZ261" s="2" t="s">
        <v>3460</v>
      </c>
      <c r="BA261" s="2" t="s">
        <v>3461</v>
      </c>
      <c r="BB261" s="2" t="s">
        <v>20</v>
      </c>
      <c r="BD261" s="2" t="s">
        <v>3462</v>
      </c>
      <c r="BE261" s="2" t="s">
        <v>3463</v>
      </c>
      <c r="BF261" s="2" t="s">
        <v>3464</v>
      </c>
    </row>
    <row r="262" spans="1:58" ht="39.75" customHeight="1" x14ac:dyDescent="0.25">
      <c r="A262" s="7" t="s">
        <v>5</v>
      </c>
      <c r="B262" s="1" t="s">
        <v>0</v>
      </c>
      <c r="C262" s="1" t="s">
        <v>1</v>
      </c>
      <c r="D262" s="1" t="s">
        <v>3465</v>
      </c>
      <c r="E262" s="1" t="s">
        <v>3466</v>
      </c>
      <c r="F262" s="1" t="s">
        <v>3467</v>
      </c>
      <c r="H262" s="2" t="s">
        <v>5</v>
      </c>
      <c r="I262" s="2" t="s">
        <v>6</v>
      </c>
      <c r="J262" s="2" t="s">
        <v>5</v>
      </c>
      <c r="K262" s="2" t="s">
        <v>5</v>
      </c>
      <c r="L262" s="2" t="s">
        <v>7</v>
      </c>
      <c r="M262" s="1" t="s">
        <v>3468</v>
      </c>
      <c r="N262" s="1" t="s">
        <v>3469</v>
      </c>
      <c r="O262" s="2" t="s">
        <v>1515</v>
      </c>
      <c r="Q262" s="2" t="s">
        <v>60</v>
      </c>
      <c r="R262" s="2" t="s">
        <v>277</v>
      </c>
      <c r="T262" s="2" t="s">
        <v>13</v>
      </c>
      <c r="U262" s="3">
        <v>1</v>
      </c>
      <c r="V262" s="3">
        <v>1</v>
      </c>
      <c r="W262" s="4" t="s">
        <v>3470</v>
      </c>
      <c r="X262" s="4" t="s">
        <v>3470</v>
      </c>
      <c r="Y262" s="4" t="s">
        <v>3457</v>
      </c>
      <c r="Z262" s="4" t="s">
        <v>3457</v>
      </c>
      <c r="AA262" s="3">
        <v>689</v>
      </c>
      <c r="AB262" s="3">
        <v>574</v>
      </c>
      <c r="AC262" s="3">
        <v>579</v>
      </c>
      <c r="AD262" s="3">
        <v>6</v>
      </c>
      <c r="AE262" s="9">
        <v>6</v>
      </c>
      <c r="AF262" s="9">
        <v>30</v>
      </c>
      <c r="AG262" s="9">
        <v>30</v>
      </c>
      <c r="AH262" s="3">
        <v>11</v>
      </c>
      <c r="AI262" s="3">
        <v>11</v>
      </c>
      <c r="AJ262" s="3">
        <v>8</v>
      </c>
      <c r="AK262" s="3">
        <v>8</v>
      </c>
      <c r="AL262" s="3">
        <v>16</v>
      </c>
      <c r="AM262" s="3">
        <v>16</v>
      </c>
      <c r="AN262" s="3">
        <v>4</v>
      </c>
      <c r="AO262" s="3">
        <v>4</v>
      </c>
      <c r="AP262" s="3">
        <v>0</v>
      </c>
      <c r="AQ262" s="3">
        <v>0</v>
      </c>
      <c r="AR262" s="2" t="s">
        <v>5</v>
      </c>
      <c r="AS262" s="2" t="s">
        <v>46</v>
      </c>
      <c r="AT262" s="5" t="str">
        <f>HYPERLINK("http://catalog.hathitrust.org/Record/000689901","HathiTrust Record")</f>
        <v>HathiTrust Record</v>
      </c>
      <c r="AU262" s="5" t="str">
        <f>HYPERLINK("https://creighton-primo.hosted.exlibrisgroup.com/primo-explore/search?tab=default_tab&amp;search_scope=EVERYTHING&amp;vid=01CRU&amp;lang=en_US&amp;offset=0&amp;query=any,contains,991004870529702656","Catalog Record")</f>
        <v>Catalog Record</v>
      </c>
      <c r="AV262" s="5" t="str">
        <f>HYPERLINK("http://www.worldcat.org/oclc/5751283","WorldCat Record")</f>
        <v>WorldCat Record</v>
      </c>
      <c r="AW262" s="2" t="s">
        <v>3471</v>
      </c>
      <c r="AX262" s="2" t="s">
        <v>3472</v>
      </c>
      <c r="AY262" s="2" t="s">
        <v>3473</v>
      </c>
      <c r="AZ262" s="2" t="s">
        <v>3473</v>
      </c>
      <c r="BA262" s="2" t="s">
        <v>3474</v>
      </c>
      <c r="BB262" s="2" t="s">
        <v>20</v>
      </c>
      <c r="BD262" s="2" t="s">
        <v>3475</v>
      </c>
      <c r="BE262" s="2" t="s">
        <v>3476</v>
      </c>
      <c r="BF262" s="2" t="s">
        <v>3477</v>
      </c>
    </row>
    <row r="263" spans="1:58" ht="39.75" customHeight="1" x14ac:dyDescent="0.25">
      <c r="A263" s="7" t="s">
        <v>5</v>
      </c>
      <c r="B263" s="1" t="s">
        <v>0</v>
      </c>
      <c r="C263" s="1" t="s">
        <v>1</v>
      </c>
      <c r="D263" s="1" t="s">
        <v>3478</v>
      </c>
      <c r="E263" s="1" t="s">
        <v>3479</v>
      </c>
      <c r="F263" s="1" t="s">
        <v>3480</v>
      </c>
      <c r="H263" s="2" t="s">
        <v>5</v>
      </c>
      <c r="I263" s="2" t="s">
        <v>6</v>
      </c>
      <c r="J263" s="2" t="s">
        <v>5</v>
      </c>
      <c r="K263" s="2" t="s">
        <v>5</v>
      </c>
      <c r="L263" s="2" t="s">
        <v>7</v>
      </c>
      <c r="N263" s="1" t="s">
        <v>3481</v>
      </c>
      <c r="O263" s="2" t="s">
        <v>639</v>
      </c>
      <c r="Q263" s="2" t="s">
        <v>60</v>
      </c>
      <c r="R263" s="2" t="s">
        <v>277</v>
      </c>
      <c r="S263" s="1" t="s">
        <v>3482</v>
      </c>
      <c r="T263" s="2" t="s">
        <v>13</v>
      </c>
      <c r="U263" s="3">
        <v>14</v>
      </c>
      <c r="V263" s="3">
        <v>14</v>
      </c>
      <c r="W263" s="4" t="s">
        <v>3483</v>
      </c>
      <c r="X263" s="4" t="s">
        <v>3483</v>
      </c>
      <c r="Y263" s="4" t="s">
        <v>3457</v>
      </c>
      <c r="Z263" s="4" t="s">
        <v>3457</v>
      </c>
      <c r="AA263" s="3">
        <v>543</v>
      </c>
      <c r="AB263" s="3">
        <v>453</v>
      </c>
      <c r="AC263" s="3">
        <v>455</v>
      </c>
      <c r="AD263" s="3">
        <v>3</v>
      </c>
      <c r="AE263" s="9">
        <v>3</v>
      </c>
      <c r="AF263" s="9">
        <v>23</v>
      </c>
      <c r="AG263" s="9">
        <v>23</v>
      </c>
      <c r="AH263" s="3">
        <v>11</v>
      </c>
      <c r="AI263" s="3">
        <v>11</v>
      </c>
      <c r="AJ263" s="3">
        <v>6</v>
      </c>
      <c r="AK263" s="3">
        <v>6</v>
      </c>
      <c r="AL263" s="3">
        <v>11</v>
      </c>
      <c r="AM263" s="3">
        <v>11</v>
      </c>
      <c r="AN263" s="3">
        <v>2</v>
      </c>
      <c r="AO263" s="3">
        <v>2</v>
      </c>
      <c r="AP263" s="3">
        <v>0</v>
      </c>
      <c r="AQ263" s="3">
        <v>0</v>
      </c>
      <c r="AR263" s="2" t="s">
        <v>5</v>
      </c>
      <c r="AS263" s="2" t="s">
        <v>46</v>
      </c>
      <c r="AT263" s="5" t="str">
        <f>HYPERLINK("http://catalog.hathitrust.org/Record/001534217","HathiTrust Record")</f>
        <v>HathiTrust Record</v>
      </c>
      <c r="AU263" s="5" t="str">
        <f>HYPERLINK("https://creighton-primo.hosted.exlibrisgroup.com/primo-explore/search?tab=default_tab&amp;search_scope=EVERYTHING&amp;vid=01CRU&amp;lang=en_US&amp;offset=0&amp;query=any,contains,991001149239702656","Catalog Record")</f>
        <v>Catalog Record</v>
      </c>
      <c r="AV263" s="5" t="str">
        <f>HYPERLINK("http://www.worldcat.org/oclc/16802442","WorldCat Record")</f>
        <v>WorldCat Record</v>
      </c>
      <c r="AW263" s="2" t="s">
        <v>3484</v>
      </c>
      <c r="AX263" s="2" t="s">
        <v>3485</v>
      </c>
      <c r="AY263" s="2" t="s">
        <v>3486</v>
      </c>
      <c r="AZ263" s="2" t="s">
        <v>3486</v>
      </c>
      <c r="BA263" s="2" t="s">
        <v>3487</v>
      </c>
      <c r="BB263" s="2" t="s">
        <v>20</v>
      </c>
      <c r="BD263" s="2" t="s">
        <v>3488</v>
      </c>
      <c r="BE263" s="2" t="s">
        <v>3489</v>
      </c>
      <c r="BF263" s="2" t="s">
        <v>3490</v>
      </c>
    </row>
    <row r="264" spans="1:58" ht="39.75" customHeight="1" x14ac:dyDescent="0.25">
      <c r="A264" s="7" t="s">
        <v>5</v>
      </c>
      <c r="B264" s="1" t="s">
        <v>0</v>
      </c>
      <c r="C264" s="1" t="s">
        <v>1</v>
      </c>
      <c r="D264" s="1" t="s">
        <v>3491</v>
      </c>
      <c r="E264" s="1" t="s">
        <v>3492</v>
      </c>
      <c r="F264" s="1" t="s">
        <v>3493</v>
      </c>
      <c r="H264" s="2" t="s">
        <v>5</v>
      </c>
      <c r="I264" s="2" t="s">
        <v>6</v>
      </c>
      <c r="J264" s="2" t="s">
        <v>5</v>
      </c>
      <c r="K264" s="2" t="s">
        <v>5</v>
      </c>
      <c r="L264" s="2" t="s">
        <v>7</v>
      </c>
      <c r="M264" s="1" t="s">
        <v>3494</v>
      </c>
      <c r="N264" s="1" t="s">
        <v>3495</v>
      </c>
      <c r="O264" s="2" t="s">
        <v>708</v>
      </c>
      <c r="Q264" s="2" t="s">
        <v>60</v>
      </c>
      <c r="R264" s="2" t="s">
        <v>193</v>
      </c>
      <c r="S264" s="1" t="s">
        <v>1941</v>
      </c>
      <c r="T264" s="2" t="s">
        <v>13</v>
      </c>
      <c r="U264" s="3">
        <v>4</v>
      </c>
      <c r="V264" s="3">
        <v>4</v>
      </c>
      <c r="W264" s="4" t="s">
        <v>3456</v>
      </c>
      <c r="X264" s="4" t="s">
        <v>3456</v>
      </c>
      <c r="Y264" s="4" t="s">
        <v>3457</v>
      </c>
      <c r="Z264" s="4" t="s">
        <v>3457</v>
      </c>
      <c r="AA264" s="3">
        <v>470</v>
      </c>
      <c r="AB264" s="3">
        <v>337</v>
      </c>
      <c r="AC264" s="3">
        <v>351</v>
      </c>
      <c r="AD264" s="3">
        <v>3</v>
      </c>
      <c r="AE264" s="9">
        <v>3</v>
      </c>
      <c r="AF264" s="9">
        <v>14</v>
      </c>
      <c r="AG264" s="9">
        <v>14</v>
      </c>
      <c r="AH264" s="3">
        <v>4</v>
      </c>
      <c r="AI264" s="3">
        <v>4</v>
      </c>
      <c r="AJ264" s="3">
        <v>4</v>
      </c>
      <c r="AK264" s="3">
        <v>4</v>
      </c>
      <c r="AL264" s="3">
        <v>7</v>
      </c>
      <c r="AM264" s="3">
        <v>7</v>
      </c>
      <c r="AN264" s="3">
        <v>2</v>
      </c>
      <c r="AO264" s="3">
        <v>2</v>
      </c>
      <c r="AP264" s="3">
        <v>0</v>
      </c>
      <c r="AQ264" s="3">
        <v>0</v>
      </c>
      <c r="AR264" s="2" t="s">
        <v>5</v>
      </c>
      <c r="AS264" s="2" t="s">
        <v>46</v>
      </c>
      <c r="AT264" s="5" t="str">
        <f>HYPERLINK("http://catalog.hathitrust.org/Record/000827289","HathiTrust Record")</f>
        <v>HathiTrust Record</v>
      </c>
      <c r="AU264" s="5" t="str">
        <f>HYPERLINK("https://creighton-primo.hosted.exlibrisgroup.com/primo-explore/search?tab=default_tab&amp;search_scope=EVERYTHING&amp;vid=01CRU&amp;lang=en_US&amp;offset=0&amp;query=any,contains,991000914129702656","Catalog Record")</f>
        <v>Catalog Record</v>
      </c>
      <c r="AV264" s="5" t="str">
        <f>HYPERLINK("http://www.worldcat.org/oclc/14165605","WorldCat Record")</f>
        <v>WorldCat Record</v>
      </c>
      <c r="AW264" s="2" t="s">
        <v>3496</v>
      </c>
      <c r="AX264" s="2" t="s">
        <v>3497</v>
      </c>
      <c r="AY264" s="2" t="s">
        <v>3498</v>
      </c>
      <c r="AZ264" s="2" t="s">
        <v>3498</v>
      </c>
      <c r="BA264" s="2" t="s">
        <v>3499</v>
      </c>
      <c r="BB264" s="2" t="s">
        <v>20</v>
      </c>
      <c r="BD264" s="2" t="s">
        <v>3500</v>
      </c>
      <c r="BE264" s="2" t="s">
        <v>3501</v>
      </c>
      <c r="BF264" s="2" t="s">
        <v>3502</v>
      </c>
    </row>
    <row r="265" spans="1:58" ht="39.75" customHeight="1" x14ac:dyDescent="0.25">
      <c r="A265" s="7" t="s">
        <v>5</v>
      </c>
      <c r="B265" s="1" t="s">
        <v>0</v>
      </c>
      <c r="C265" s="1" t="s">
        <v>1</v>
      </c>
      <c r="D265" s="1" t="s">
        <v>3503</v>
      </c>
      <c r="E265" s="1" t="s">
        <v>3504</v>
      </c>
      <c r="F265" s="1" t="s">
        <v>3505</v>
      </c>
      <c r="H265" s="2" t="s">
        <v>5</v>
      </c>
      <c r="I265" s="2" t="s">
        <v>6</v>
      </c>
      <c r="J265" s="2" t="s">
        <v>5</v>
      </c>
      <c r="K265" s="2" t="s">
        <v>5</v>
      </c>
      <c r="L265" s="2" t="s">
        <v>7</v>
      </c>
      <c r="M265" s="1" t="s">
        <v>3506</v>
      </c>
      <c r="N265" s="1" t="s">
        <v>3507</v>
      </c>
      <c r="O265" s="2" t="s">
        <v>276</v>
      </c>
      <c r="Q265" s="2" t="s">
        <v>60</v>
      </c>
      <c r="R265" s="2" t="s">
        <v>1123</v>
      </c>
      <c r="S265" s="1" t="s">
        <v>3508</v>
      </c>
      <c r="T265" s="2" t="s">
        <v>13</v>
      </c>
      <c r="U265" s="3">
        <v>2</v>
      </c>
      <c r="V265" s="3">
        <v>2</v>
      </c>
      <c r="W265" s="4" t="s">
        <v>3509</v>
      </c>
      <c r="X265" s="4" t="s">
        <v>3509</v>
      </c>
      <c r="Y265" s="4" t="s">
        <v>983</v>
      </c>
      <c r="Z265" s="4" t="s">
        <v>983</v>
      </c>
      <c r="AA265" s="3">
        <v>727</v>
      </c>
      <c r="AB265" s="3">
        <v>590</v>
      </c>
      <c r="AC265" s="3">
        <v>591</v>
      </c>
      <c r="AD265" s="3">
        <v>3</v>
      </c>
      <c r="AE265" s="9">
        <v>3</v>
      </c>
      <c r="AF265" s="9">
        <v>28</v>
      </c>
      <c r="AG265" s="9">
        <v>28</v>
      </c>
      <c r="AH265" s="3">
        <v>10</v>
      </c>
      <c r="AI265" s="3">
        <v>10</v>
      </c>
      <c r="AJ265" s="3">
        <v>8</v>
      </c>
      <c r="AK265" s="3">
        <v>8</v>
      </c>
      <c r="AL265" s="3">
        <v>15</v>
      </c>
      <c r="AM265" s="3">
        <v>15</v>
      </c>
      <c r="AN265" s="3">
        <v>2</v>
      </c>
      <c r="AO265" s="3">
        <v>2</v>
      </c>
      <c r="AP265" s="3">
        <v>0</v>
      </c>
      <c r="AQ265" s="3">
        <v>0</v>
      </c>
      <c r="AR265" s="2" t="s">
        <v>5</v>
      </c>
      <c r="AS265" s="2" t="s">
        <v>5</v>
      </c>
      <c r="AU265" s="5" t="str">
        <f>HYPERLINK("https://creighton-primo.hosted.exlibrisgroup.com/primo-explore/search?tab=default_tab&amp;search_scope=EVERYTHING&amp;vid=01CRU&amp;lang=en_US&amp;offset=0&amp;query=any,contains,991003997079702656","Catalog Record")</f>
        <v>Catalog Record</v>
      </c>
      <c r="AV265" s="5" t="str">
        <f>HYPERLINK("http://www.worldcat.org/oclc/2064310","WorldCat Record")</f>
        <v>WorldCat Record</v>
      </c>
      <c r="AW265" s="2" t="s">
        <v>3510</v>
      </c>
      <c r="AX265" s="2" t="s">
        <v>3511</v>
      </c>
      <c r="AY265" s="2" t="s">
        <v>3512</v>
      </c>
      <c r="AZ265" s="2" t="s">
        <v>3512</v>
      </c>
      <c r="BA265" s="2" t="s">
        <v>3513</v>
      </c>
      <c r="BB265" s="2" t="s">
        <v>20</v>
      </c>
      <c r="BD265" s="2" t="s">
        <v>3514</v>
      </c>
      <c r="BE265" s="2" t="s">
        <v>3515</v>
      </c>
      <c r="BF265" s="2" t="s">
        <v>3516</v>
      </c>
    </row>
    <row r="266" spans="1:58" ht="39.75" customHeight="1" x14ac:dyDescent="0.25">
      <c r="A266" s="7" t="s">
        <v>5</v>
      </c>
      <c r="B266" s="1" t="s">
        <v>0</v>
      </c>
      <c r="C266" s="1" t="s">
        <v>1</v>
      </c>
      <c r="D266" s="1" t="s">
        <v>3517</v>
      </c>
      <c r="E266" s="1" t="s">
        <v>3518</v>
      </c>
      <c r="F266" s="1" t="s">
        <v>3519</v>
      </c>
      <c r="H266" s="2" t="s">
        <v>5</v>
      </c>
      <c r="I266" s="2" t="s">
        <v>6</v>
      </c>
      <c r="J266" s="2" t="s">
        <v>5</v>
      </c>
      <c r="K266" s="2" t="s">
        <v>5</v>
      </c>
      <c r="L266" s="2" t="s">
        <v>7</v>
      </c>
      <c r="M266" s="1" t="s">
        <v>3520</v>
      </c>
      <c r="N266" s="1" t="s">
        <v>2679</v>
      </c>
      <c r="O266" s="2" t="s">
        <v>192</v>
      </c>
      <c r="Q266" s="2" t="s">
        <v>60</v>
      </c>
      <c r="R266" s="2" t="s">
        <v>422</v>
      </c>
      <c r="S266" s="1" t="s">
        <v>3521</v>
      </c>
      <c r="T266" s="2" t="s">
        <v>13</v>
      </c>
      <c r="U266" s="3">
        <v>6</v>
      </c>
      <c r="V266" s="3">
        <v>6</v>
      </c>
      <c r="W266" s="4" t="s">
        <v>3522</v>
      </c>
      <c r="X266" s="4" t="s">
        <v>3522</v>
      </c>
      <c r="Y266" s="4" t="s">
        <v>3523</v>
      </c>
      <c r="Z266" s="4" t="s">
        <v>3523</v>
      </c>
      <c r="AA266" s="3">
        <v>2103</v>
      </c>
      <c r="AB266" s="3">
        <v>1870</v>
      </c>
      <c r="AC266" s="3">
        <v>1881</v>
      </c>
      <c r="AD266" s="3">
        <v>15</v>
      </c>
      <c r="AE266" s="9">
        <v>15</v>
      </c>
      <c r="AF266" s="9">
        <v>59</v>
      </c>
      <c r="AG266" s="9">
        <v>59</v>
      </c>
      <c r="AH266" s="3">
        <v>25</v>
      </c>
      <c r="AI266" s="3">
        <v>25</v>
      </c>
      <c r="AJ266" s="3">
        <v>11</v>
      </c>
      <c r="AK266" s="3">
        <v>11</v>
      </c>
      <c r="AL266" s="3">
        <v>24</v>
      </c>
      <c r="AM266" s="3">
        <v>24</v>
      </c>
      <c r="AN266" s="3">
        <v>11</v>
      </c>
      <c r="AO266" s="3">
        <v>11</v>
      </c>
      <c r="AP266" s="3">
        <v>0</v>
      </c>
      <c r="AQ266" s="3">
        <v>0</v>
      </c>
      <c r="AR266" s="2" t="s">
        <v>5</v>
      </c>
      <c r="AS266" s="2" t="s">
        <v>46</v>
      </c>
      <c r="AT266" s="5" t="str">
        <f>HYPERLINK("http://catalog.hathitrust.org/Record/001015596","HathiTrust Record")</f>
        <v>HathiTrust Record</v>
      </c>
      <c r="AU266" s="5" t="str">
        <f>HYPERLINK("https://creighton-primo.hosted.exlibrisgroup.com/primo-explore/search?tab=default_tab&amp;search_scope=EVERYTHING&amp;vid=01CRU&amp;lang=en_US&amp;offset=0&amp;query=any,contains,991001058299702656","Catalog Record")</f>
        <v>Catalog Record</v>
      </c>
      <c r="AV266" s="5" t="str">
        <f>HYPERLINK("http://www.worldcat.org/oclc/177815","WorldCat Record")</f>
        <v>WorldCat Record</v>
      </c>
      <c r="AW266" s="2" t="s">
        <v>3524</v>
      </c>
      <c r="AX266" s="2" t="s">
        <v>3525</v>
      </c>
      <c r="AY266" s="2" t="s">
        <v>3526</v>
      </c>
      <c r="AZ266" s="2" t="s">
        <v>3526</v>
      </c>
      <c r="BA266" s="2" t="s">
        <v>3527</v>
      </c>
      <c r="BB266" s="2" t="s">
        <v>20</v>
      </c>
      <c r="BE266" s="2" t="s">
        <v>3528</v>
      </c>
      <c r="BF266" s="2" t="s">
        <v>3529</v>
      </c>
    </row>
    <row r="267" spans="1:58" ht="39.75" customHeight="1" x14ac:dyDescent="0.25">
      <c r="A267" s="7" t="s">
        <v>5</v>
      </c>
      <c r="B267" s="1" t="s">
        <v>0</v>
      </c>
      <c r="C267" s="1" t="s">
        <v>1</v>
      </c>
      <c r="D267" s="1" t="s">
        <v>3530</v>
      </c>
      <c r="E267" s="1" t="s">
        <v>3531</v>
      </c>
      <c r="F267" s="1" t="s">
        <v>3532</v>
      </c>
      <c r="H267" s="2" t="s">
        <v>5</v>
      </c>
      <c r="I267" s="2" t="s">
        <v>6</v>
      </c>
      <c r="J267" s="2" t="s">
        <v>5</v>
      </c>
      <c r="K267" s="2" t="s">
        <v>5</v>
      </c>
      <c r="L267" s="2" t="s">
        <v>7</v>
      </c>
      <c r="M267" s="1" t="s">
        <v>3533</v>
      </c>
      <c r="N267" s="1" t="s">
        <v>3534</v>
      </c>
      <c r="O267" s="2" t="s">
        <v>886</v>
      </c>
      <c r="Q267" s="2" t="s">
        <v>60</v>
      </c>
      <c r="R267" s="2" t="s">
        <v>193</v>
      </c>
      <c r="T267" s="2" t="s">
        <v>13</v>
      </c>
      <c r="U267" s="3">
        <v>3</v>
      </c>
      <c r="V267" s="3">
        <v>3</v>
      </c>
      <c r="W267" s="4" t="s">
        <v>3535</v>
      </c>
      <c r="X267" s="4" t="s">
        <v>3535</v>
      </c>
      <c r="Y267" s="4" t="s">
        <v>983</v>
      </c>
      <c r="Z267" s="4" t="s">
        <v>983</v>
      </c>
      <c r="AA267" s="3">
        <v>507</v>
      </c>
      <c r="AB267" s="3">
        <v>419</v>
      </c>
      <c r="AC267" s="3">
        <v>427</v>
      </c>
      <c r="AD267" s="3">
        <v>4</v>
      </c>
      <c r="AE267" s="9">
        <v>4</v>
      </c>
      <c r="AF267" s="9">
        <v>16</v>
      </c>
      <c r="AG267" s="9">
        <v>16</v>
      </c>
      <c r="AH267" s="3">
        <v>4</v>
      </c>
      <c r="AI267" s="3">
        <v>4</v>
      </c>
      <c r="AJ267" s="3">
        <v>5</v>
      </c>
      <c r="AK267" s="3">
        <v>5</v>
      </c>
      <c r="AL267" s="3">
        <v>8</v>
      </c>
      <c r="AM267" s="3">
        <v>8</v>
      </c>
      <c r="AN267" s="3">
        <v>3</v>
      </c>
      <c r="AO267" s="3">
        <v>3</v>
      </c>
      <c r="AP267" s="3">
        <v>0</v>
      </c>
      <c r="AQ267" s="3">
        <v>0</v>
      </c>
      <c r="AR267" s="2" t="s">
        <v>5</v>
      </c>
      <c r="AS267" s="2" t="s">
        <v>46</v>
      </c>
      <c r="AT267" s="5" t="str">
        <f>HYPERLINK("http://catalog.hathitrust.org/Record/000017757","HathiTrust Record")</f>
        <v>HathiTrust Record</v>
      </c>
      <c r="AU267" s="5" t="str">
        <f>HYPERLINK("https://creighton-primo.hosted.exlibrisgroup.com/primo-explore/search?tab=default_tab&amp;search_scope=EVERYTHING&amp;vid=01CRU&amp;lang=en_US&amp;offset=0&amp;query=any,contains,991003485419702656","Catalog Record")</f>
        <v>Catalog Record</v>
      </c>
      <c r="AV267" s="5" t="str">
        <f>HYPERLINK("http://www.worldcat.org/oclc/1032570","WorldCat Record")</f>
        <v>WorldCat Record</v>
      </c>
      <c r="AW267" s="2" t="s">
        <v>3536</v>
      </c>
      <c r="AX267" s="2" t="s">
        <v>3537</v>
      </c>
      <c r="AY267" s="2" t="s">
        <v>3538</v>
      </c>
      <c r="AZ267" s="2" t="s">
        <v>3538</v>
      </c>
      <c r="BA267" s="2" t="s">
        <v>3539</v>
      </c>
      <c r="BB267" s="2" t="s">
        <v>20</v>
      </c>
      <c r="BD267" s="2" t="s">
        <v>3540</v>
      </c>
      <c r="BE267" s="2" t="s">
        <v>3541</v>
      </c>
      <c r="BF267" s="2" t="s">
        <v>3542</v>
      </c>
    </row>
    <row r="268" spans="1:58" ht="39.75" customHeight="1" x14ac:dyDescent="0.25">
      <c r="A268" s="7" t="s">
        <v>5</v>
      </c>
      <c r="B268" s="1" t="s">
        <v>0</v>
      </c>
      <c r="C268" s="1" t="s">
        <v>1</v>
      </c>
      <c r="D268" s="1" t="s">
        <v>3543</v>
      </c>
      <c r="E268" s="1" t="s">
        <v>3544</v>
      </c>
      <c r="F268" s="1" t="s">
        <v>3545</v>
      </c>
      <c r="H268" s="2" t="s">
        <v>5</v>
      </c>
      <c r="I268" s="2" t="s">
        <v>6</v>
      </c>
      <c r="J268" s="2" t="s">
        <v>5</v>
      </c>
      <c r="K268" s="2" t="s">
        <v>5</v>
      </c>
      <c r="L268" s="2" t="s">
        <v>7</v>
      </c>
      <c r="N268" s="1" t="s">
        <v>3546</v>
      </c>
      <c r="O268" s="2" t="s">
        <v>736</v>
      </c>
      <c r="Q268" s="2" t="s">
        <v>60</v>
      </c>
      <c r="R268" s="2" t="s">
        <v>1873</v>
      </c>
      <c r="T268" s="2" t="s">
        <v>13</v>
      </c>
      <c r="U268" s="3">
        <v>12</v>
      </c>
      <c r="V268" s="3">
        <v>12</v>
      </c>
      <c r="W268" s="4" t="s">
        <v>3547</v>
      </c>
      <c r="X268" s="4" t="s">
        <v>3547</v>
      </c>
      <c r="Y268" s="4" t="s">
        <v>2586</v>
      </c>
      <c r="Z268" s="4" t="s">
        <v>2586</v>
      </c>
      <c r="AA268" s="3">
        <v>523</v>
      </c>
      <c r="AB268" s="3">
        <v>443</v>
      </c>
      <c r="AC268" s="3">
        <v>443</v>
      </c>
      <c r="AD268" s="3">
        <v>4</v>
      </c>
      <c r="AE268" s="9">
        <v>4</v>
      </c>
      <c r="AF268" s="9">
        <v>23</v>
      </c>
      <c r="AG268" s="9">
        <v>23</v>
      </c>
      <c r="AH268" s="3">
        <v>10</v>
      </c>
      <c r="AI268" s="3">
        <v>10</v>
      </c>
      <c r="AJ268" s="3">
        <v>6</v>
      </c>
      <c r="AK268" s="3">
        <v>6</v>
      </c>
      <c r="AL268" s="3">
        <v>12</v>
      </c>
      <c r="AM268" s="3">
        <v>12</v>
      </c>
      <c r="AN268" s="3">
        <v>3</v>
      </c>
      <c r="AO268" s="3">
        <v>3</v>
      </c>
      <c r="AP268" s="3">
        <v>0</v>
      </c>
      <c r="AQ268" s="3">
        <v>0</v>
      </c>
      <c r="AR268" s="2" t="s">
        <v>5</v>
      </c>
      <c r="AS268" s="2" t="s">
        <v>5</v>
      </c>
      <c r="AU268" s="5" t="str">
        <f>HYPERLINK("https://creighton-primo.hosted.exlibrisgroup.com/primo-explore/search?tab=default_tab&amp;search_scope=EVERYTHING&amp;vid=01CRU&amp;lang=en_US&amp;offset=0&amp;query=any,contains,991001705249702656","Catalog Record")</f>
        <v>Catalog Record</v>
      </c>
      <c r="AV268" s="5" t="str">
        <f>HYPERLINK("http://www.worldcat.org/oclc/21561274","WorldCat Record")</f>
        <v>WorldCat Record</v>
      </c>
      <c r="AW268" s="2" t="s">
        <v>3548</v>
      </c>
      <c r="AX268" s="2" t="s">
        <v>3549</v>
      </c>
      <c r="AY268" s="2" t="s">
        <v>3550</v>
      </c>
      <c r="AZ268" s="2" t="s">
        <v>3550</v>
      </c>
      <c r="BA268" s="2" t="s">
        <v>3551</v>
      </c>
      <c r="BB268" s="2" t="s">
        <v>20</v>
      </c>
      <c r="BD268" s="2" t="s">
        <v>3552</v>
      </c>
      <c r="BE268" s="2" t="s">
        <v>3553</v>
      </c>
      <c r="BF268" s="2" t="s">
        <v>3554</v>
      </c>
    </row>
    <row r="269" spans="1:58" ht="39.75" customHeight="1" x14ac:dyDescent="0.25">
      <c r="A269" s="7" t="s">
        <v>5</v>
      </c>
      <c r="B269" s="1" t="s">
        <v>0</v>
      </c>
      <c r="C269" s="1" t="s">
        <v>1</v>
      </c>
      <c r="D269" s="1" t="s">
        <v>3555</v>
      </c>
      <c r="E269" s="1" t="s">
        <v>3556</v>
      </c>
      <c r="F269" s="1" t="s">
        <v>3557</v>
      </c>
      <c r="H269" s="2" t="s">
        <v>5</v>
      </c>
      <c r="I269" s="2" t="s">
        <v>6</v>
      </c>
      <c r="J269" s="2" t="s">
        <v>5</v>
      </c>
      <c r="K269" s="2" t="s">
        <v>5</v>
      </c>
      <c r="L269" s="2" t="s">
        <v>7</v>
      </c>
      <c r="M269" s="1" t="s">
        <v>3558</v>
      </c>
      <c r="N269" s="1" t="s">
        <v>3559</v>
      </c>
      <c r="O269" s="2" t="s">
        <v>162</v>
      </c>
      <c r="Q269" s="2" t="s">
        <v>60</v>
      </c>
      <c r="R269" s="2" t="s">
        <v>61</v>
      </c>
      <c r="T269" s="2" t="s">
        <v>13</v>
      </c>
      <c r="U269" s="3">
        <v>2</v>
      </c>
      <c r="V269" s="3">
        <v>2</v>
      </c>
      <c r="W269" s="4" t="s">
        <v>3522</v>
      </c>
      <c r="X269" s="4" t="s">
        <v>3522</v>
      </c>
      <c r="Y269" s="4" t="s">
        <v>3560</v>
      </c>
      <c r="Z269" s="4" t="s">
        <v>3560</v>
      </c>
      <c r="AA269" s="3">
        <v>1114</v>
      </c>
      <c r="AB269" s="3">
        <v>949</v>
      </c>
      <c r="AC269" s="3">
        <v>962</v>
      </c>
      <c r="AD269" s="3">
        <v>7</v>
      </c>
      <c r="AE269" s="9">
        <v>7</v>
      </c>
      <c r="AF269" s="9">
        <v>47</v>
      </c>
      <c r="AG269" s="9">
        <v>47</v>
      </c>
      <c r="AH269" s="3">
        <v>20</v>
      </c>
      <c r="AI269" s="3">
        <v>20</v>
      </c>
      <c r="AJ269" s="3">
        <v>10</v>
      </c>
      <c r="AK269" s="3">
        <v>10</v>
      </c>
      <c r="AL269" s="3">
        <v>21</v>
      </c>
      <c r="AM269" s="3">
        <v>21</v>
      </c>
      <c r="AN269" s="3">
        <v>6</v>
      </c>
      <c r="AO269" s="3">
        <v>6</v>
      </c>
      <c r="AP269" s="3">
        <v>0</v>
      </c>
      <c r="AQ269" s="3">
        <v>0</v>
      </c>
      <c r="AR269" s="2" t="s">
        <v>5</v>
      </c>
      <c r="AS269" s="2" t="s">
        <v>5</v>
      </c>
      <c r="AU269" s="5" t="str">
        <f>HYPERLINK("https://creighton-primo.hosted.exlibrisgroup.com/primo-explore/search?tab=default_tab&amp;search_scope=EVERYTHING&amp;vid=01CRU&amp;lang=en_US&amp;offset=0&amp;query=any,contains,991000604569702656","Catalog Record")</f>
        <v>Catalog Record</v>
      </c>
      <c r="AV269" s="5" t="str">
        <f>HYPERLINK("http://www.worldcat.org/oclc/98658","WorldCat Record")</f>
        <v>WorldCat Record</v>
      </c>
      <c r="AW269" s="2" t="s">
        <v>3561</v>
      </c>
      <c r="AX269" s="2" t="s">
        <v>3562</v>
      </c>
      <c r="AY269" s="2" t="s">
        <v>3563</v>
      </c>
      <c r="AZ269" s="2" t="s">
        <v>3563</v>
      </c>
      <c r="BA269" s="2" t="s">
        <v>3564</v>
      </c>
      <c r="BB269" s="2" t="s">
        <v>20</v>
      </c>
      <c r="BD269" s="2" t="s">
        <v>3565</v>
      </c>
      <c r="BE269" s="2" t="s">
        <v>3566</v>
      </c>
      <c r="BF269" s="2" t="s">
        <v>3567</v>
      </c>
    </row>
    <row r="270" spans="1:58" ht="39.75" customHeight="1" x14ac:dyDescent="0.25">
      <c r="A270" s="7" t="s">
        <v>5</v>
      </c>
      <c r="B270" s="1" t="s">
        <v>0</v>
      </c>
      <c r="C270" s="1" t="s">
        <v>1</v>
      </c>
      <c r="D270" s="1" t="s">
        <v>3568</v>
      </c>
      <c r="E270" s="1" t="s">
        <v>3569</v>
      </c>
      <c r="F270" s="1" t="s">
        <v>3570</v>
      </c>
      <c r="H270" s="2" t="s">
        <v>5</v>
      </c>
      <c r="I270" s="2" t="s">
        <v>6</v>
      </c>
      <c r="J270" s="2" t="s">
        <v>5</v>
      </c>
      <c r="K270" s="2" t="s">
        <v>5</v>
      </c>
      <c r="L270" s="2" t="s">
        <v>7</v>
      </c>
      <c r="M270" s="1" t="s">
        <v>3571</v>
      </c>
      <c r="N270" s="1" t="s">
        <v>3572</v>
      </c>
      <c r="O270" s="2" t="s">
        <v>524</v>
      </c>
      <c r="Q270" s="2" t="s">
        <v>60</v>
      </c>
      <c r="R270" s="2" t="s">
        <v>193</v>
      </c>
      <c r="T270" s="2" t="s">
        <v>13</v>
      </c>
      <c r="U270" s="3">
        <v>1</v>
      </c>
      <c r="V270" s="3">
        <v>1</v>
      </c>
      <c r="W270" s="4" t="s">
        <v>3535</v>
      </c>
      <c r="X270" s="4" t="s">
        <v>3535</v>
      </c>
      <c r="Y270" s="4" t="s">
        <v>3198</v>
      </c>
      <c r="Z270" s="4" t="s">
        <v>3198</v>
      </c>
      <c r="AA270" s="3">
        <v>329</v>
      </c>
      <c r="AB270" s="3">
        <v>210</v>
      </c>
      <c r="AC270" s="3">
        <v>526</v>
      </c>
      <c r="AD270" s="3">
        <v>1</v>
      </c>
      <c r="AE270" s="9">
        <v>4</v>
      </c>
      <c r="AF270" s="9">
        <v>7</v>
      </c>
      <c r="AG270" s="9">
        <v>22</v>
      </c>
      <c r="AH270" s="3">
        <v>1</v>
      </c>
      <c r="AI270" s="3">
        <v>6</v>
      </c>
      <c r="AJ270" s="3">
        <v>4</v>
      </c>
      <c r="AK270" s="3">
        <v>7</v>
      </c>
      <c r="AL270" s="3">
        <v>5</v>
      </c>
      <c r="AM270" s="3">
        <v>13</v>
      </c>
      <c r="AN270" s="3">
        <v>0</v>
      </c>
      <c r="AO270" s="3">
        <v>3</v>
      </c>
      <c r="AP270" s="3">
        <v>0</v>
      </c>
      <c r="AQ270" s="3">
        <v>0</v>
      </c>
      <c r="AR270" s="2" t="s">
        <v>5</v>
      </c>
      <c r="AS270" s="2" t="s">
        <v>46</v>
      </c>
      <c r="AT270" s="5" t="str">
        <f>HYPERLINK("http://catalog.hathitrust.org/Record/007128814","HathiTrust Record")</f>
        <v>HathiTrust Record</v>
      </c>
      <c r="AU270" s="5" t="str">
        <f>HYPERLINK("https://creighton-primo.hosted.exlibrisgroup.com/primo-explore/search?tab=default_tab&amp;search_scope=EVERYTHING&amp;vid=01CRU&amp;lang=en_US&amp;offset=0&amp;query=any,contains,991001007769702656","Catalog Record")</f>
        <v>Catalog Record</v>
      </c>
      <c r="AV270" s="5" t="str">
        <f>HYPERLINK("http://www.worldcat.org/oclc/173105","WorldCat Record")</f>
        <v>WorldCat Record</v>
      </c>
      <c r="AW270" s="2" t="s">
        <v>3573</v>
      </c>
      <c r="AX270" s="2" t="s">
        <v>3574</v>
      </c>
      <c r="AY270" s="2" t="s">
        <v>3575</v>
      </c>
      <c r="AZ270" s="2" t="s">
        <v>3575</v>
      </c>
      <c r="BA270" s="2" t="s">
        <v>3576</v>
      </c>
      <c r="BB270" s="2" t="s">
        <v>20</v>
      </c>
      <c r="BE270" s="2" t="s">
        <v>3577</v>
      </c>
      <c r="BF270" s="2" t="s">
        <v>3578</v>
      </c>
    </row>
    <row r="271" spans="1:58" ht="39.75" customHeight="1" x14ac:dyDescent="0.25">
      <c r="A271" s="7" t="s">
        <v>5</v>
      </c>
      <c r="B271" s="1" t="s">
        <v>0</v>
      </c>
      <c r="C271" s="1" t="s">
        <v>1</v>
      </c>
      <c r="D271" s="1" t="s">
        <v>3579</v>
      </c>
      <c r="E271" s="1" t="s">
        <v>3580</v>
      </c>
      <c r="F271" s="1" t="s">
        <v>3581</v>
      </c>
      <c r="H271" s="2" t="s">
        <v>5</v>
      </c>
      <c r="I271" s="2" t="s">
        <v>6</v>
      </c>
      <c r="J271" s="2" t="s">
        <v>5</v>
      </c>
      <c r="K271" s="2" t="s">
        <v>5</v>
      </c>
      <c r="L271" s="2" t="s">
        <v>7</v>
      </c>
      <c r="M271" s="1" t="s">
        <v>3582</v>
      </c>
      <c r="N271" s="1" t="s">
        <v>3583</v>
      </c>
      <c r="O271" s="2" t="s">
        <v>108</v>
      </c>
      <c r="Q271" s="2" t="s">
        <v>11</v>
      </c>
      <c r="R271" s="2" t="s">
        <v>28</v>
      </c>
      <c r="T271" s="2" t="s">
        <v>13</v>
      </c>
      <c r="U271" s="3">
        <v>2</v>
      </c>
      <c r="V271" s="3">
        <v>2</v>
      </c>
      <c r="W271" s="4" t="s">
        <v>2478</v>
      </c>
      <c r="X271" s="4" t="s">
        <v>2478</v>
      </c>
      <c r="Y271" s="4" t="s">
        <v>3198</v>
      </c>
      <c r="Z271" s="4" t="s">
        <v>3198</v>
      </c>
      <c r="AA271" s="3">
        <v>165</v>
      </c>
      <c r="AB271" s="3">
        <v>89</v>
      </c>
      <c r="AC271" s="3">
        <v>89</v>
      </c>
      <c r="AD271" s="3">
        <v>1</v>
      </c>
      <c r="AE271" s="9">
        <v>1</v>
      </c>
      <c r="AF271" s="9">
        <v>6</v>
      </c>
      <c r="AG271" s="9">
        <v>6</v>
      </c>
      <c r="AH271" s="3">
        <v>1</v>
      </c>
      <c r="AI271" s="3">
        <v>1</v>
      </c>
      <c r="AJ271" s="3">
        <v>4</v>
      </c>
      <c r="AK271" s="3">
        <v>4</v>
      </c>
      <c r="AL271" s="3">
        <v>3</v>
      </c>
      <c r="AM271" s="3">
        <v>3</v>
      </c>
      <c r="AN271" s="3">
        <v>0</v>
      </c>
      <c r="AO271" s="3">
        <v>0</v>
      </c>
      <c r="AP271" s="3">
        <v>0</v>
      </c>
      <c r="AQ271" s="3">
        <v>0</v>
      </c>
      <c r="AR271" s="2" t="s">
        <v>5</v>
      </c>
      <c r="AS271" s="2" t="s">
        <v>5</v>
      </c>
      <c r="AU271" s="5" t="str">
        <f>HYPERLINK("https://creighton-primo.hosted.exlibrisgroup.com/primo-explore/search?tab=default_tab&amp;search_scope=EVERYTHING&amp;vid=01CRU&amp;lang=en_US&amp;offset=0&amp;query=any,contains,991002945939702656","Catalog Record")</f>
        <v>Catalog Record</v>
      </c>
      <c r="AV271" s="5" t="str">
        <f>HYPERLINK("http://www.worldcat.org/oclc/536766","WorldCat Record")</f>
        <v>WorldCat Record</v>
      </c>
      <c r="AW271" s="2" t="s">
        <v>3584</v>
      </c>
      <c r="AX271" s="2" t="s">
        <v>3585</v>
      </c>
      <c r="AY271" s="2" t="s">
        <v>3586</v>
      </c>
      <c r="AZ271" s="2" t="s">
        <v>3586</v>
      </c>
      <c r="BA271" s="2" t="s">
        <v>3587</v>
      </c>
      <c r="BB271" s="2" t="s">
        <v>20</v>
      </c>
      <c r="BE271" s="2" t="s">
        <v>3588</v>
      </c>
      <c r="BF271" s="2" t="s">
        <v>3589</v>
      </c>
    </row>
    <row r="272" spans="1:58" ht="39.75" customHeight="1" x14ac:dyDescent="0.25">
      <c r="A272" s="7" t="s">
        <v>5</v>
      </c>
      <c r="B272" s="1" t="s">
        <v>0</v>
      </c>
      <c r="C272" s="1" t="s">
        <v>1</v>
      </c>
      <c r="D272" s="1" t="s">
        <v>3590</v>
      </c>
      <c r="E272" s="1" t="s">
        <v>3591</v>
      </c>
      <c r="F272" s="1" t="s">
        <v>3592</v>
      </c>
      <c r="H272" s="2" t="s">
        <v>5</v>
      </c>
      <c r="I272" s="2" t="s">
        <v>6</v>
      </c>
      <c r="J272" s="2" t="s">
        <v>5</v>
      </c>
      <c r="K272" s="2" t="s">
        <v>5</v>
      </c>
      <c r="L272" s="2" t="s">
        <v>7</v>
      </c>
      <c r="M272" s="1" t="s">
        <v>3593</v>
      </c>
      <c r="N272" s="1" t="s">
        <v>3594</v>
      </c>
      <c r="O272" s="2" t="s">
        <v>91</v>
      </c>
      <c r="Q272" s="2" t="s">
        <v>60</v>
      </c>
      <c r="R272" s="2" t="s">
        <v>61</v>
      </c>
      <c r="S272" s="1" t="s">
        <v>3595</v>
      </c>
      <c r="T272" s="2" t="s">
        <v>13</v>
      </c>
      <c r="U272" s="3">
        <v>1</v>
      </c>
      <c r="V272" s="3">
        <v>1</v>
      </c>
      <c r="W272" s="4" t="s">
        <v>3596</v>
      </c>
      <c r="X272" s="4" t="s">
        <v>3596</v>
      </c>
      <c r="Y272" s="4" t="s">
        <v>3597</v>
      </c>
      <c r="Z272" s="4" t="s">
        <v>3597</v>
      </c>
      <c r="AA272" s="3">
        <v>63</v>
      </c>
      <c r="AB272" s="3">
        <v>60</v>
      </c>
      <c r="AC272" s="3">
        <v>60</v>
      </c>
      <c r="AD272" s="3">
        <v>1</v>
      </c>
      <c r="AE272" s="9">
        <v>1</v>
      </c>
      <c r="AF272" s="9">
        <v>5</v>
      </c>
      <c r="AG272" s="9">
        <v>5</v>
      </c>
      <c r="AH272" s="3">
        <v>1</v>
      </c>
      <c r="AI272" s="3">
        <v>1</v>
      </c>
      <c r="AJ272" s="3">
        <v>4</v>
      </c>
      <c r="AK272" s="3">
        <v>4</v>
      </c>
      <c r="AL272" s="3">
        <v>2</v>
      </c>
      <c r="AM272" s="3">
        <v>2</v>
      </c>
      <c r="AN272" s="3">
        <v>0</v>
      </c>
      <c r="AO272" s="3">
        <v>0</v>
      </c>
      <c r="AP272" s="3">
        <v>0</v>
      </c>
      <c r="AQ272" s="3">
        <v>0</v>
      </c>
      <c r="AR272" s="2" t="s">
        <v>5</v>
      </c>
      <c r="AS272" s="2" t="s">
        <v>5</v>
      </c>
      <c r="AU272" s="5" t="str">
        <f>HYPERLINK("https://creighton-primo.hosted.exlibrisgroup.com/primo-explore/search?tab=default_tab&amp;search_scope=EVERYTHING&amp;vid=01CRU&amp;lang=en_US&amp;offset=0&amp;query=any,contains,991002267839702656","Catalog Record")</f>
        <v>Catalog Record</v>
      </c>
      <c r="AV272" s="5" t="str">
        <f>HYPERLINK("http://www.worldcat.org/oclc/29428495","WorldCat Record")</f>
        <v>WorldCat Record</v>
      </c>
      <c r="AW272" s="2" t="s">
        <v>3598</v>
      </c>
      <c r="AX272" s="2" t="s">
        <v>3599</v>
      </c>
      <c r="AY272" s="2" t="s">
        <v>3600</v>
      </c>
      <c r="AZ272" s="2" t="s">
        <v>3600</v>
      </c>
      <c r="BA272" s="2" t="s">
        <v>3601</v>
      </c>
      <c r="BB272" s="2" t="s">
        <v>20</v>
      </c>
      <c r="BD272" s="2" t="s">
        <v>3602</v>
      </c>
      <c r="BE272" s="2" t="s">
        <v>3603</v>
      </c>
      <c r="BF272" s="2" t="s">
        <v>3604</v>
      </c>
    </row>
    <row r="273" spans="1:58" ht="39.75" customHeight="1" x14ac:dyDescent="0.25">
      <c r="A273" s="7" t="s">
        <v>5</v>
      </c>
      <c r="B273" s="1" t="s">
        <v>0</v>
      </c>
      <c r="C273" s="1" t="s">
        <v>1</v>
      </c>
      <c r="D273" s="1" t="s">
        <v>3605</v>
      </c>
      <c r="E273" s="1" t="s">
        <v>3606</v>
      </c>
      <c r="F273" s="1" t="s">
        <v>3607</v>
      </c>
      <c r="H273" s="2" t="s">
        <v>5</v>
      </c>
      <c r="I273" s="2" t="s">
        <v>6</v>
      </c>
      <c r="J273" s="2" t="s">
        <v>5</v>
      </c>
      <c r="K273" s="2" t="s">
        <v>5</v>
      </c>
      <c r="L273" s="2" t="s">
        <v>7</v>
      </c>
      <c r="M273" s="1" t="s">
        <v>3608</v>
      </c>
      <c r="N273" s="1" t="s">
        <v>3609</v>
      </c>
      <c r="O273" s="2" t="s">
        <v>91</v>
      </c>
      <c r="Q273" s="2" t="s">
        <v>11</v>
      </c>
      <c r="R273" s="2" t="s">
        <v>28</v>
      </c>
      <c r="S273" s="1" t="s">
        <v>3610</v>
      </c>
      <c r="T273" s="2" t="s">
        <v>13</v>
      </c>
      <c r="U273" s="3">
        <v>1</v>
      </c>
      <c r="V273" s="3">
        <v>1</v>
      </c>
      <c r="W273" s="4" t="s">
        <v>3170</v>
      </c>
      <c r="X273" s="4" t="s">
        <v>3170</v>
      </c>
      <c r="Y273" s="4" t="s">
        <v>93</v>
      </c>
      <c r="Z273" s="4" t="s">
        <v>93</v>
      </c>
      <c r="AA273" s="3">
        <v>116</v>
      </c>
      <c r="AB273" s="3">
        <v>71</v>
      </c>
      <c r="AC273" s="3">
        <v>73</v>
      </c>
      <c r="AD273" s="3">
        <v>2</v>
      </c>
      <c r="AE273" s="9">
        <v>2</v>
      </c>
      <c r="AF273" s="9">
        <v>3</v>
      </c>
      <c r="AG273" s="9">
        <v>3</v>
      </c>
      <c r="AH273" s="3">
        <v>1</v>
      </c>
      <c r="AI273" s="3">
        <v>1</v>
      </c>
      <c r="AJ273" s="3">
        <v>1</v>
      </c>
      <c r="AK273" s="3">
        <v>1</v>
      </c>
      <c r="AL273" s="3">
        <v>2</v>
      </c>
      <c r="AM273" s="3">
        <v>2</v>
      </c>
      <c r="AN273" s="3">
        <v>1</v>
      </c>
      <c r="AO273" s="3">
        <v>1</v>
      </c>
      <c r="AP273" s="3">
        <v>0</v>
      </c>
      <c r="AQ273" s="3">
        <v>0</v>
      </c>
      <c r="AR273" s="2" t="s">
        <v>5</v>
      </c>
      <c r="AS273" s="2" t="s">
        <v>46</v>
      </c>
      <c r="AT273" s="5" t="str">
        <f>HYPERLINK("http://catalog.hathitrust.org/Record/002960247","HathiTrust Record")</f>
        <v>HathiTrust Record</v>
      </c>
      <c r="AU273" s="5" t="str">
        <f>HYPERLINK("https://creighton-primo.hosted.exlibrisgroup.com/primo-explore/search?tab=default_tab&amp;search_scope=EVERYTHING&amp;vid=01CRU&amp;lang=en_US&amp;offset=0&amp;query=any,contains,991002344859702656","Catalog Record")</f>
        <v>Catalog Record</v>
      </c>
      <c r="AV273" s="5" t="str">
        <f>HYPERLINK("http://www.worldcat.org/oclc/30523322","WorldCat Record")</f>
        <v>WorldCat Record</v>
      </c>
      <c r="AW273" s="2" t="s">
        <v>3611</v>
      </c>
      <c r="AX273" s="2" t="s">
        <v>3612</v>
      </c>
      <c r="AY273" s="2" t="s">
        <v>3613</v>
      </c>
      <c r="AZ273" s="2" t="s">
        <v>3613</v>
      </c>
      <c r="BA273" s="2" t="s">
        <v>3614</v>
      </c>
      <c r="BB273" s="2" t="s">
        <v>20</v>
      </c>
      <c r="BD273" s="2" t="s">
        <v>3615</v>
      </c>
      <c r="BE273" s="2" t="s">
        <v>3616</v>
      </c>
      <c r="BF273" s="2" t="s">
        <v>3617</v>
      </c>
    </row>
    <row r="274" spans="1:58" ht="39.75" customHeight="1" x14ac:dyDescent="0.25">
      <c r="A274" s="7" t="s">
        <v>5</v>
      </c>
      <c r="B274" s="1" t="s">
        <v>0</v>
      </c>
      <c r="C274" s="1" t="s">
        <v>1</v>
      </c>
      <c r="D274" s="1" t="s">
        <v>3618</v>
      </c>
      <c r="E274" s="1" t="s">
        <v>3619</v>
      </c>
      <c r="F274" s="1" t="s">
        <v>3620</v>
      </c>
      <c r="H274" s="2" t="s">
        <v>5</v>
      </c>
      <c r="I274" s="2" t="s">
        <v>6</v>
      </c>
      <c r="J274" s="2" t="s">
        <v>5</v>
      </c>
      <c r="K274" s="2" t="s">
        <v>5</v>
      </c>
      <c r="L274" s="2" t="s">
        <v>7</v>
      </c>
      <c r="M274" s="1" t="s">
        <v>3621</v>
      </c>
      <c r="N274" s="1" t="s">
        <v>3622</v>
      </c>
      <c r="O274" s="2" t="s">
        <v>791</v>
      </c>
      <c r="Q274" s="2" t="s">
        <v>11</v>
      </c>
      <c r="R274" s="2" t="s">
        <v>28</v>
      </c>
      <c r="T274" s="2" t="s">
        <v>13</v>
      </c>
      <c r="U274" s="3">
        <v>1</v>
      </c>
      <c r="V274" s="3">
        <v>1</v>
      </c>
      <c r="W274" s="4" t="s">
        <v>3102</v>
      </c>
      <c r="X274" s="4" t="s">
        <v>3102</v>
      </c>
      <c r="Y274" s="4" t="s">
        <v>3457</v>
      </c>
      <c r="Z274" s="4" t="s">
        <v>3457</v>
      </c>
      <c r="AA274" s="3">
        <v>250</v>
      </c>
      <c r="AB274" s="3">
        <v>166</v>
      </c>
      <c r="AC274" s="3">
        <v>319</v>
      </c>
      <c r="AD274" s="3">
        <v>2</v>
      </c>
      <c r="AE274" s="9">
        <v>2</v>
      </c>
      <c r="AF274" s="9">
        <v>5</v>
      </c>
      <c r="AG274" s="9">
        <v>9</v>
      </c>
      <c r="AH274" s="3">
        <v>0</v>
      </c>
      <c r="AI274" s="3">
        <v>2</v>
      </c>
      <c r="AJ274" s="3">
        <v>2</v>
      </c>
      <c r="AK274" s="3">
        <v>3</v>
      </c>
      <c r="AL274" s="3">
        <v>3</v>
      </c>
      <c r="AM274" s="3">
        <v>5</v>
      </c>
      <c r="AN274" s="3">
        <v>1</v>
      </c>
      <c r="AO274" s="3">
        <v>1</v>
      </c>
      <c r="AP274" s="3">
        <v>0</v>
      </c>
      <c r="AQ274" s="3">
        <v>0</v>
      </c>
      <c r="AR274" s="2" t="s">
        <v>5</v>
      </c>
      <c r="AS274" s="2" t="s">
        <v>46</v>
      </c>
      <c r="AT274" s="5" t="str">
        <f>HYPERLINK("http://catalog.hathitrust.org/Record/000702894","HathiTrust Record")</f>
        <v>HathiTrust Record</v>
      </c>
      <c r="AU274" s="5" t="str">
        <f>HYPERLINK("https://creighton-primo.hosted.exlibrisgroup.com/primo-explore/search?tab=default_tab&amp;search_scope=EVERYTHING&amp;vid=01CRU&amp;lang=en_US&amp;offset=0&amp;query=any,contains,991003969799702656","Catalog Record")</f>
        <v>Catalog Record</v>
      </c>
      <c r="AV274" s="5" t="str">
        <f>HYPERLINK("http://www.worldcat.org/oclc/1991588","WorldCat Record")</f>
        <v>WorldCat Record</v>
      </c>
      <c r="AW274" s="2" t="s">
        <v>3623</v>
      </c>
      <c r="AX274" s="2" t="s">
        <v>3624</v>
      </c>
      <c r="AY274" s="2" t="s">
        <v>3625</v>
      </c>
      <c r="AZ274" s="2" t="s">
        <v>3625</v>
      </c>
      <c r="BA274" s="2" t="s">
        <v>3626</v>
      </c>
      <c r="BB274" s="2" t="s">
        <v>20</v>
      </c>
      <c r="BE274" s="2" t="s">
        <v>3627</v>
      </c>
      <c r="BF274" s="2" t="s">
        <v>3628</v>
      </c>
    </row>
    <row r="275" spans="1:58" ht="39.75" customHeight="1" x14ac:dyDescent="0.25">
      <c r="A275" s="7" t="s">
        <v>5</v>
      </c>
      <c r="B275" s="1" t="s">
        <v>0</v>
      </c>
      <c r="C275" s="1" t="s">
        <v>1</v>
      </c>
      <c r="D275" s="1" t="s">
        <v>3629</v>
      </c>
      <c r="E275" s="1" t="s">
        <v>3630</v>
      </c>
      <c r="F275" s="1" t="s">
        <v>3631</v>
      </c>
      <c r="H275" s="2" t="s">
        <v>5</v>
      </c>
      <c r="I275" s="2" t="s">
        <v>6</v>
      </c>
      <c r="J275" s="2" t="s">
        <v>5</v>
      </c>
      <c r="K275" s="2" t="s">
        <v>5</v>
      </c>
      <c r="L275" s="2" t="s">
        <v>7</v>
      </c>
      <c r="M275" s="1" t="s">
        <v>3632</v>
      </c>
      <c r="N275" s="1" t="s">
        <v>3633</v>
      </c>
      <c r="O275" s="2" t="s">
        <v>291</v>
      </c>
      <c r="Q275" s="2" t="s">
        <v>11</v>
      </c>
      <c r="R275" s="2" t="s">
        <v>28</v>
      </c>
      <c r="T275" s="2" t="s">
        <v>13</v>
      </c>
      <c r="U275" s="3">
        <v>1</v>
      </c>
      <c r="V275" s="3">
        <v>1</v>
      </c>
      <c r="W275" s="4" t="s">
        <v>3634</v>
      </c>
      <c r="X275" s="4" t="s">
        <v>3634</v>
      </c>
      <c r="Y275" s="4" t="s">
        <v>3457</v>
      </c>
      <c r="Z275" s="4" t="s">
        <v>3457</v>
      </c>
      <c r="AA275" s="3">
        <v>52</v>
      </c>
      <c r="AB275" s="3">
        <v>44</v>
      </c>
      <c r="AC275" s="3">
        <v>81</v>
      </c>
      <c r="AD275" s="3">
        <v>1</v>
      </c>
      <c r="AE275" s="9">
        <v>1</v>
      </c>
      <c r="AF275" s="9">
        <v>1</v>
      </c>
      <c r="AG275" s="9">
        <v>2</v>
      </c>
      <c r="AH275" s="3">
        <v>0</v>
      </c>
      <c r="AI275" s="3">
        <v>0</v>
      </c>
      <c r="AJ275" s="3">
        <v>1</v>
      </c>
      <c r="AK275" s="3">
        <v>1</v>
      </c>
      <c r="AL275" s="3">
        <v>1</v>
      </c>
      <c r="AM275" s="3">
        <v>2</v>
      </c>
      <c r="AN275" s="3">
        <v>0</v>
      </c>
      <c r="AO275" s="3">
        <v>0</v>
      </c>
      <c r="AP275" s="3">
        <v>0</v>
      </c>
      <c r="AQ275" s="3">
        <v>0</v>
      </c>
      <c r="AR275" s="2" t="s">
        <v>5</v>
      </c>
      <c r="AS275" s="2" t="s">
        <v>5</v>
      </c>
      <c r="AU275" s="5" t="str">
        <f>HYPERLINK("https://creighton-primo.hosted.exlibrisgroup.com/primo-explore/search?tab=default_tab&amp;search_scope=EVERYTHING&amp;vid=01CRU&amp;lang=en_US&amp;offset=0&amp;query=any,contains,991004510299702656","Catalog Record")</f>
        <v>Catalog Record</v>
      </c>
      <c r="AV275" s="5" t="str">
        <f>HYPERLINK("http://www.worldcat.org/oclc/3759111","WorldCat Record")</f>
        <v>WorldCat Record</v>
      </c>
      <c r="AW275" s="2" t="s">
        <v>3635</v>
      </c>
      <c r="AX275" s="2" t="s">
        <v>3636</v>
      </c>
      <c r="AY275" s="2" t="s">
        <v>3637</v>
      </c>
      <c r="AZ275" s="2" t="s">
        <v>3637</v>
      </c>
      <c r="BA275" s="2" t="s">
        <v>3638</v>
      </c>
      <c r="BB275" s="2" t="s">
        <v>20</v>
      </c>
      <c r="BD275" s="2" t="s">
        <v>3639</v>
      </c>
      <c r="BE275" s="2" t="s">
        <v>3640</v>
      </c>
      <c r="BF275" s="2" t="s">
        <v>3641</v>
      </c>
    </row>
    <row r="276" spans="1:58" ht="39.75" customHeight="1" x14ac:dyDescent="0.25">
      <c r="A276" s="7" t="s">
        <v>5</v>
      </c>
      <c r="B276" s="1" t="s">
        <v>0</v>
      </c>
      <c r="C276" s="1" t="s">
        <v>1</v>
      </c>
      <c r="D276" s="1" t="s">
        <v>3642</v>
      </c>
      <c r="E276" s="1" t="s">
        <v>3643</v>
      </c>
      <c r="F276" s="1" t="s">
        <v>3644</v>
      </c>
      <c r="H276" s="2" t="s">
        <v>5</v>
      </c>
      <c r="I276" s="2" t="s">
        <v>6</v>
      </c>
      <c r="J276" s="2" t="s">
        <v>5</v>
      </c>
      <c r="K276" s="2" t="s">
        <v>5</v>
      </c>
      <c r="L276" s="2" t="s">
        <v>7</v>
      </c>
      <c r="M276" s="1" t="s">
        <v>3645</v>
      </c>
      <c r="N276" s="1" t="s">
        <v>3646</v>
      </c>
      <c r="O276" s="2" t="s">
        <v>791</v>
      </c>
      <c r="Q276" s="2" t="s">
        <v>11</v>
      </c>
      <c r="R276" s="2" t="s">
        <v>28</v>
      </c>
      <c r="T276" s="2" t="s">
        <v>13</v>
      </c>
      <c r="U276" s="3">
        <v>1</v>
      </c>
      <c r="V276" s="3">
        <v>1</v>
      </c>
      <c r="W276" s="4" t="s">
        <v>3647</v>
      </c>
      <c r="X276" s="4" t="s">
        <v>3647</v>
      </c>
      <c r="Y276" s="4" t="s">
        <v>3198</v>
      </c>
      <c r="Z276" s="4" t="s">
        <v>3198</v>
      </c>
      <c r="AA276" s="3">
        <v>45</v>
      </c>
      <c r="AB276" s="3">
        <v>31</v>
      </c>
      <c r="AC276" s="3">
        <v>45</v>
      </c>
      <c r="AD276" s="3">
        <v>1</v>
      </c>
      <c r="AE276" s="9">
        <v>1</v>
      </c>
      <c r="AF276" s="9">
        <v>0</v>
      </c>
      <c r="AG276" s="9">
        <v>0</v>
      </c>
      <c r="AH276" s="3">
        <v>0</v>
      </c>
      <c r="AI276" s="3">
        <v>0</v>
      </c>
      <c r="AJ276" s="3">
        <v>0</v>
      </c>
      <c r="AK276" s="3">
        <v>0</v>
      </c>
      <c r="AL276" s="3">
        <v>0</v>
      </c>
      <c r="AM276" s="3">
        <v>0</v>
      </c>
      <c r="AN276" s="3">
        <v>0</v>
      </c>
      <c r="AO276" s="3">
        <v>0</v>
      </c>
      <c r="AP276" s="3">
        <v>0</v>
      </c>
      <c r="AQ276" s="3">
        <v>0</v>
      </c>
      <c r="AR276" s="2" t="s">
        <v>5</v>
      </c>
      <c r="AS276" s="2" t="s">
        <v>5</v>
      </c>
      <c r="AU276" s="5" t="str">
        <f>HYPERLINK("https://creighton-primo.hosted.exlibrisgroup.com/primo-explore/search?tab=default_tab&amp;search_scope=EVERYTHING&amp;vid=01CRU&amp;lang=en_US&amp;offset=0&amp;query=any,contains,991003934119702656","Catalog Record")</f>
        <v>Catalog Record</v>
      </c>
      <c r="AV276" s="5" t="str">
        <f>HYPERLINK("http://www.worldcat.org/oclc/1907634","WorldCat Record")</f>
        <v>WorldCat Record</v>
      </c>
      <c r="AW276" s="2" t="s">
        <v>3648</v>
      </c>
      <c r="AX276" s="2" t="s">
        <v>3649</v>
      </c>
      <c r="AY276" s="2" t="s">
        <v>3650</v>
      </c>
      <c r="AZ276" s="2" t="s">
        <v>3650</v>
      </c>
      <c r="BA276" s="2" t="s">
        <v>3651</v>
      </c>
      <c r="BB276" s="2" t="s">
        <v>20</v>
      </c>
      <c r="BD276" s="2" t="s">
        <v>3652</v>
      </c>
      <c r="BE276" s="2" t="s">
        <v>3653</v>
      </c>
      <c r="BF276" s="2" t="s">
        <v>3654</v>
      </c>
    </row>
    <row r="277" spans="1:58" ht="39.75" customHeight="1" x14ac:dyDescent="0.25">
      <c r="A277" s="7" t="s">
        <v>5</v>
      </c>
      <c r="B277" s="1" t="s">
        <v>0</v>
      </c>
      <c r="C277" s="1" t="s">
        <v>1</v>
      </c>
      <c r="D277" s="1" t="s">
        <v>3655</v>
      </c>
      <c r="E277" s="1" t="s">
        <v>3656</v>
      </c>
      <c r="F277" s="1" t="s">
        <v>3657</v>
      </c>
      <c r="H277" s="2" t="s">
        <v>5</v>
      </c>
      <c r="I277" s="2" t="s">
        <v>6</v>
      </c>
      <c r="J277" s="2" t="s">
        <v>5</v>
      </c>
      <c r="K277" s="2" t="s">
        <v>5</v>
      </c>
      <c r="L277" s="2" t="s">
        <v>7</v>
      </c>
      <c r="M277" s="1" t="s">
        <v>3658</v>
      </c>
      <c r="N277" s="1" t="s">
        <v>3659</v>
      </c>
      <c r="O277" s="2" t="s">
        <v>1515</v>
      </c>
      <c r="Q277" s="2" t="s">
        <v>11</v>
      </c>
      <c r="R277" s="2" t="s">
        <v>28</v>
      </c>
      <c r="T277" s="2" t="s">
        <v>13</v>
      </c>
      <c r="U277" s="3">
        <v>1</v>
      </c>
      <c r="V277" s="3">
        <v>1</v>
      </c>
      <c r="W277" s="4" t="s">
        <v>3647</v>
      </c>
      <c r="X277" s="4" t="s">
        <v>3647</v>
      </c>
      <c r="Y277" s="4" t="s">
        <v>3457</v>
      </c>
      <c r="Z277" s="4" t="s">
        <v>3457</v>
      </c>
      <c r="AA277" s="3">
        <v>68</v>
      </c>
      <c r="AB277" s="3">
        <v>45</v>
      </c>
      <c r="AC277" s="3">
        <v>65</v>
      </c>
      <c r="AD277" s="3">
        <v>1</v>
      </c>
      <c r="AE277" s="9">
        <v>1</v>
      </c>
      <c r="AF277" s="9">
        <v>0</v>
      </c>
      <c r="AG277" s="9">
        <v>0</v>
      </c>
      <c r="AH277" s="3">
        <v>0</v>
      </c>
      <c r="AI277" s="3">
        <v>0</v>
      </c>
      <c r="AJ277" s="3">
        <v>0</v>
      </c>
      <c r="AK277" s="3">
        <v>0</v>
      </c>
      <c r="AL277" s="3">
        <v>0</v>
      </c>
      <c r="AM277" s="3">
        <v>0</v>
      </c>
      <c r="AN277" s="3">
        <v>0</v>
      </c>
      <c r="AO277" s="3">
        <v>0</v>
      </c>
      <c r="AP277" s="3">
        <v>0</v>
      </c>
      <c r="AQ277" s="3">
        <v>0</v>
      </c>
      <c r="AR277" s="2" t="s">
        <v>5</v>
      </c>
      <c r="AS277" s="2" t="s">
        <v>46</v>
      </c>
      <c r="AT277" s="5" t="str">
        <f>HYPERLINK("http://catalog.hathitrust.org/Record/000737021","HathiTrust Record")</f>
        <v>HathiTrust Record</v>
      </c>
      <c r="AU277" s="5" t="str">
        <f>HYPERLINK("https://creighton-primo.hosted.exlibrisgroup.com/primo-explore/search?tab=default_tab&amp;search_scope=EVERYTHING&amp;vid=01CRU&amp;lang=en_US&amp;offset=0&amp;query=any,contains,991005018569702656","Catalog Record")</f>
        <v>Catalog Record</v>
      </c>
      <c r="AV277" s="5" t="str">
        <f>HYPERLINK("http://www.worldcat.org/oclc/6637602","WorldCat Record")</f>
        <v>WorldCat Record</v>
      </c>
      <c r="AW277" s="2" t="s">
        <v>3660</v>
      </c>
      <c r="AX277" s="2" t="s">
        <v>3661</v>
      </c>
      <c r="AY277" s="2" t="s">
        <v>3662</v>
      </c>
      <c r="AZ277" s="2" t="s">
        <v>3662</v>
      </c>
      <c r="BA277" s="2" t="s">
        <v>3663</v>
      </c>
      <c r="BB277" s="2" t="s">
        <v>20</v>
      </c>
      <c r="BD277" s="2" t="s">
        <v>3664</v>
      </c>
      <c r="BE277" s="2" t="s">
        <v>3665</v>
      </c>
      <c r="BF277" s="2" t="s">
        <v>3666</v>
      </c>
    </row>
    <row r="278" spans="1:58" ht="39.75" customHeight="1" x14ac:dyDescent="0.25">
      <c r="A278" s="7" t="s">
        <v>5</v>
      </c>
      <c r="B278" s="1" t="s">
        <v>0</v>
      </c>
      <c r="C278" s="1" t="s">
        <v>1</v>
      </c>
      <c r="D278" s="1" t="s">
        <v>3667</v>
      </c>
      <c r="E278" s="1" t="s">
        <v>3668</v>
      </c>
      <c r="F278" s="1" t="s">
        <v>3669</v>
      </c>
      <c r="H278" s="2" t="s">
        <v>5</v>
      </c>
      <c r="I278" s="2" t="s">
        <v>6</v>
      </c>
      <c r="J278" s="2" t="s">
        <v>5</v>
      </c>
      <c r="K278" s="2" t="s">
        <v>5</v>
      </c>
      <c r="L278" s="2" t="s">
        <v>7</v>
      </c>
      <c r="M278" s="1" t="s">
        <v>3670</v>
      </c>
      <c r="N278" s="1" t="s">
        <v>3671</v>
      </c>
      <c r="O278" s="2" t="s">
        <v>392</v>
      </c>
      <c r="Q278" s="2" t="s">
        <v>11</v>
      </c>
      <c r="R278" s="2" t="s">
        <v>28</v>
      </c>
      <c r="T278" s="2" t="s">
        <v>13</v>
      </c>
      <c r="U278" s="3">
        <v>1</v>
      </c>
      <c r="V278" s="3">
        <v>1</v>
      </c>
      <c r="W278" s="4" t="s">
        <v>2558</v>
      </c>
      <c r="X278" s="4" t="s">
        <v>2558</v>
      </c>
      <c r="Y278" s="4" t="s">
        <v>3457</v>
      </c>
      <c r="Z278" s="4" t="s">
        <v>3457</v>
      </c>
      <c r="AA278" s="3">
        <v>38</v>
      </c>
      <c r="AB278" s="3">
        <v>27</v>
      </c>
      <c r="AC278" s="3">
        <v>29</v>
      </c>
      <c r="AD278" s="3">
        <v>1</v>
      </c>
      <c r="AE278" s="9">
        <v>1</v>
      </c>
      <c r="AF278" s="9">
        <v>2</v>
      </c>
      <c r="AG278" s="9">
        <v>2</v>
      </c>
      <c r="AH278" s="3">
        <v>1</v>
      </c>
      <c r="AI278" s="3">
        <v>1</v>
      </c>
      <c r="AJ278" s="3">
        <v>0</v>
      </c>
      <c r="AK278" s="3">
        <v>0</v>
      </c>
      <c r="AL278" s="3">
        <v>2</v>
      </c>
      <c r="AM278" s="3">
        <v>2</v>
      </c>
      <c r="AN278" s="3">
        <v>0</v>
      </c>
      <c r="AO278" s="3">
        <v>0</v>
      </c>
      <c r="AP278" s="3">
        <v>0</v>
      </c>
      <c r="AQ278" s="3">
        <v>0</v>
      </c>
      <c r="AR278" s="2" t="s">
        <v>5</v>
      </c>
      <c r="AS278" s="2" t="s">
        <v>46</v>
      </c>
      <c r="AT278" s="5" t="str">
        <f>HYPERLINK("http://catalog.hathitrust.org/Record/007530350","HathiTrust Record")</f>
        <v>HathiTrust Record</v>
      </c>
      <c r="AU278" s="5" t="str">
        <f>HYPERLINK("https://creighton-primo.hosted.exlibrisgroup.com/primo-explore/search?tab=default_tab&amp;search_scope=EVERYTHING&amp;vid=01CRU&amp;lang=en_US&amp;offset=0&amp;query=any,contains,991004074979702656","Catalog Record")</f>
        <v>Catalog Record</v>
      </c>
      <c r="AV278" s="5" t="str">
        <f>HYPERLINK("http://www.worldcat.org/oclc/2317314","WorldCat Record")</f>
        <v>WorldCat Record</v>
      </c>
      <c r="AW278" s="2" t="s">
        <v>3672</v>
      </c>
      <c r="AX278" s="2" t="s">
        <v>3673</v>
      </c>
      <c r="AY278" s="2" t="s">
        <v>3674</v>
      </c>
      <c r="AZ278" s="2" t="s">
        <v>3674</v>
      </c>
      <c r="BA278" s="2" t="s">
        <v>3675</v>
      </c>
      <c r="BB278" s="2" t="s">
        <v>20</v>
      </c>
      <c r="BE278" s="2" t="s">
        <v>3676</v>
      </c>
      <c r="BF278" s="2" t="s">
        <v>3677</v>
      </c>
    </row>
    <row r="279" spans="1:58" ht="39.75" customHeight="1" x14ac:dyDescent="0.25">
      <c r="A279" s="7" t="s">
        <v>5</v>
      </c>
      <c r="B279" s="1" t="s">
        <v>0</v>
      </c>
      <c r="C279" s="1" t="s">
        <v>1</v>
      </c>
      <c r="D279" s="1" t="s">
        <v>3678</v>
      </c>
      <c r="E279" s="1" t="s">
        <v>3679</v>
      </c>
      <c r="F279" s="1" t="s">
        <v>3680</v>
      </c>
      <c r="H279" s="2" t="s">
        <v>5</v>
      </c>
      <c r="I279" s="2" t="s">
        <v>6</v>
      </c>
      <c r="J279" s="2" t="s">
        <v>5</v>
      </c>
      <c r="K279" s="2" t="s">
        <v>5</v>
      </c>
      <c r="L279" s="2" t="s">
        <v>7</v>
      </c>
      <c r="M279" s="1" t="s">
        <v>3681</v>
      </c>
      <c r="N279" s="1" t="s">
        <v>3682</v>
      </c>
      <c r="O279" s="2" t="s">
        <v>995</v>
      </c>
      <c r="Q279" s="2" t="s">
        <v>60</v>
      </c>
      <c r="R279" s="2" t="s">
        <v>43</v>
      </c>
      <c r="T279" s="2" t="s">
        <v>13</v>
      </c>
      <c r="U279" s="3">
        <v>6</v>
      </c>
      <c r="V279" s="3">
        <v>6</v>
      </c>
      <c r="W279" s="4" t="s">
        <v>3683</v>
      </c>
      <c r="X279" s="4" t="s">
        <v>3683</v>
      </c>
      <c r="Y279" s="4" t="s">
        <v>2264</v>
      </c>
      <c r="Z279" s="4" t="s">
        <v>2264</v>
      </c>
      <c r="AA279" s="3">
        <v>621</v>
      </c>
      <c r="AB279" s="3">
        <v>514</v>
      </c>
      <c r="AC279" s="3">
        <v>539</v>
      </c>
      <c r="AD279" s="3">
        <v>5</v>
      </c>
      <c r="AE279" s="9">
        <v>5</v>
      </c>
      <c r="AF279" s="9">
        <v>32</v>
      </c>
      <c r="AG279" s="9">
        <v>33</v>
      </c>
      <c r="AH279" s="3">
        <v>11</v>
      </c>
      <c r="AI279" s="3">
        <v>12</v>
      </c>
      <c r="AJ279" s="3">
        <v>9</v>
      </c>
      <c r="AK279" s="3">
        <v>9</v>
      </c>
      <c r="AL279" s="3">
        <v>18</v>
      </c>
      <c r="AM279" s="3">
        <v>19</v>
      </c>
      <c r="AN279" s="3">
        <v>4</v>
      </c>
      <c r="AO279" s="3">
        <v>4</v>
      </c>
      <c r="AP279" s="3">
        <v>0</v>
      </c>
      <c r="AQ279" s="3">
        <v>0</v>
      </c>
      <c r="AR279" s="2" t="s">
        <v>5</v>
      </c>
      <c r="AS279" s="2" t="s">
        <v>46</v>
      </c>
      <c r="AT279" s="5" t="str">
        <f>HYPERLINK("http://catalog.hathitrust.org/Record/000304076","HathiTrust Record")</f>
        <v>HathiTrust Record</v>
      </c>
      <c r="AU279" s="5" t="str">
        <f>HYPERLINK("https://creighton-primo.hosted.exlibrisgroup.com/primo-explore/search?tab=default_tab&amp;search_scope=EVERYTHING&amp;vid=01CRU&amp;lang=en_US&amp;offset=0&amp;query=any,contains,991005154219702656","Catalog Record")</f>
        <v>Catalog Record</v>
      </c>
      <c r="AV279" s="5" t="str">
        <f>HYPERLINK("http://www.worldcat.org/oclc/7737735","WorldCat Record")</f>
        <v>WorldCat Record</v>
      </c>
      <c r="AW279" s="2" t="s">
        <v>3684</v>
      </c>
      <c r="AX279" s="2" t="s">
        <v>3685</v>
      </c>
      <c r="AY279" s="2" t="s">
        <v>3686</v>
      </c>
      <c r="AZ279" s="2" t="s">
        <v>3686</v>
      </c>
      <c r="BA279" s="2" t="s">
        <v>3687</v>
      </c>
      <c r="BB279" s="2" t="s">
        <v>20</v>
      </c>
      <c r="BD279" s="2" t="s">
        <v>3688</v>
      </c>
      <c r="BE279" s="2" t="s">
        <v>3689</v>
      </c>
      <c r="BF279" s="2" t="s">
        <v>3690</v>
      </c>
    </row>
    <row r="280" spans="1:58" ht="39.75" customHeight="1" x14ac:dyDescent="0.25">
      <c r="A280" s="7" t="s">
        <v>5</v>
      </c>
      <c r="B280" s="1" t="s">
        <v>0</v>
      </c>
      <c r="C280" s="1" t="s">
        <v>1</v>
      </c>
      <c r="D280" s="1" t="s">
        <v>3691</v>
      </c>
      <c r="E280" s="1" t="s">
        <v>3692</v>
      </c>
      <c r="F280" s="1" t="s">
        <v>3693</v>
      </c>
      <c r="H280" s="2" t="s">
        <v>5</v>
      </c>
      <c r="I280" s="2" t="s">
        <v>6</v>
      </c>
      <c r="J280" s="2" t="s">
        <v>5</v>
      </c>
      <c r="K280" s="2" t="s">
        <v>5</v>
      </c>
      <c r="L280" s="2" t="s">
        <v>7</v>
      </c>
      <c r="M280" s="1" t="s">
        <v>3694</v>
      </c>
      <c r="N280" s="1" t="s">
        <v>3695</v>
      </c>
      <c r="O280" s="2" t="s">
        <v>494</v>
      </c>
      <c r="Q280" s="2" t="s">
        <v>11</v>
      </c>
      <c r="R280" s="2" t="s">
        <v>28</v>
      </c>
      <c r="T280" s="2" t="s">
        <v>13</v>
      </c>
      <c r="U280" s="3">
        <v>1</v>
      </c>
      <c r="V280" s="3">
        <v>1</v>
      </c>
      <c r="W280" s="4" t="s">
        <v>3696</v>
      </c>
      <c r="X280" s="4" t="s">
        <v>3696</v>
      </c>
      <c r="Y280" s="4" t="s">
        <v>3697</v>
      </c>
      <c r="Z280" s="4" t="s">
        <v>3697</v>
      </c>
      <c r="AA280" s="3">
        <v>72</v>
      </c>
      <c r="AB280" s="3">
        <v>46</v>
      </c>
      <c r="AC280" s="3">
        <v>48</v>
      </c>
      <c r="AD280" s="3">
        <v>2</v>
      </c>
      <c r="AE280" s="9">
        <v>2</v>
      </c>
      <c r="AF280" s="9">
        <v>1</v>
      </c>
      <c r="AG280" s="9">
        <v>1</v>
      </c>
      <c r="AH280" s="3">
        <v>0</v>
      </c>
      <c r="AI280" s="3">
        <v>0</v>
      </c>
      <c r="AJ280" s="3">
        <v>0</v>
      </c>
      <c r="AK280" s="3">
        <v>0</v>
      </c>
      <c r="AL280" s="3">
        <v>0</v>
      </c>
      <c r="AM280" s="3">
        <v>0</v>
      </c>
      <c r="AN280" s="3">
        <v>1</v>
      </c>
      <c r="AO280" s="3">
        <v>1</v>
      </c>
      <c r="AP280" s="3">
        <v>0</v>
      </c>
      <c r="AQ280" s="3">
        <v>0</v>
      </c>
      <c r="AR280" s="2" t="s">
        <v>5</v>
      </c>
      <c r="AS280" s="2" t="s">
        <v>46</v>
      </c>
      <c r="AT280" s="5" t="str">
        <f>HYPERLINK("http://catalog.hathitrust.org/Record/000301321","HathiTrust Record")</f>
        <v>HathiTrust Record</v>
      </c>
      <c r="AU280" s="5" t="str">
        <f>HYPERLINK("https://creighton-primo.hosted.exlibrisgroup.com/primo-explore/search?tab=default_tab&amp;search_scope=EVERYTHING&amp;vid=01CRU&amp;lang=en_US&amp;offset=0&amp;query=any,contains,991004755819702656","Catalog Record")</f>
        <v>Catalog Record</v>
      </c>
      <c r="AV280" s="5" t="str">
        <f>HYPERLINK("http://www.worldcat.org/oclc/5171975","WorldCat Record")</f>
        <v>WorldCat Record</v>
      </c>
      <c r="AW280" s="2" t="s">
        <v>3698</v>
      </c>
      <c r="AX280" s="2" t="s">
        <v>3699</v>
      </c>
      <c r="AY280" s="2" t="s">
        <v>3700</v>
      </c>
      <c r="AZ280" s="2" t="s">
        <v>3700</v>
      </c>
      <c r="BA280" s="2" t="s">
        <v>3701</v>
      </c>
      <c r="BB280" s="2" t="s">
        <v>20</v>
      </c>
      <c r="BD280" s="2" t="s">
        <v>3702</v>
      </c>
      <c r="BE280" s="2" t="s">
        <v>3703</v>
      </c>
      <c r="BF280" s="2" t="s">
        <v>3704</v>
      </c>
    </row>
    <row r="281" spans="1:58" ht="39.75" customHeight="1" x14ac:dyDescent="0.25">
      <c r="A281" s="7" t="s">
        <v>5</v>
      </c>
      <c r="B281" s="1" t="s">
        <v>0</v>
      </c>
      <c r="C281" s="1" t="s">
        <v>1</v>
      </c>
      <c r="D281" s="1" t="s">
        <v>3705</v>
      </c>
      <c r="E281" s="1" t="s">
        <v>3706</v>
      </c>
      <c r="F281" s="1" t="s">
        <v>3707</v>
      </c>
      <c r="H281" s="2" t="s">
        <v>5</v>
      </c>
      <c r="I281" s="2" t="s">
        <v>6</v>
      </c>
      <c r="J281" s="2" t="s">
        <v>5</v>
      </c>
      <c r="K281" s="2" t="s">
        <v>5</v>
      </c>
      <c r="L281" s="2" t="s">
        <v>7</v>
      </c>
      <c r="M281" s="1" t="s">
        <v>3708</v>
      </c>
      <c r="N281" s="1" t="s">
        <v>3709</v>
      </c>
      <c r="O281" s="2" t="s">
        <v>276</v>
      </c>
      <c r="P281" s="1" t="s">
        <v>3710</v>
      </c>
      <c r="Q281" s="2" t="s">
        <v>60</v>
      </c>
      <c r="R281" s="2" t="s">
        <v>61</v>
      </c>
      <c r="S281" s="1" t="s">
        <v>3711</v>
      </c>
      <c r="T281" s="2" t="s">
        <v>13</v>
      </c>
      <c r="U281" s="3">
        <v>1</v>
      </c>
      <c r="V281" s="3">
        <v>1</v>
      </c>
      <c r="W281" s="4" t="s">
        <v>3712</v>
      </c>
      <c r="X281" s="4" t="s">
        <v>3712</v>
      </c>
      <c r="Y281" s="4" t="s">
        <v>3712</v>
      </c>
      <c r="Z281" s="4" t="s">
        <v>3712</v>
      </c>
      <c r="AA281" s="3">
        <v>261</v>
      </c>
      <c r="AB281" s="3">
        <v>226</v>
      </c>
      <c r="AC281" s="3">
        <v>228</v>
      </c>
      <c r="AD281" s="3">
        <v>4</v>
      </c>
      <c r="AE281" s="9">
        <v>4</v>
      </c>
      <c r="AF281" s="9">
        <v>9</v>
      </c>
      <c r="AG281" s="9">
        <v>9</v>
      </c>
      <c r="AH281" s="3">
        <v>2</v>
      </c>
      <c r="AI281" s="3">
        <v>2</v>
      </c>
      <c r="AJ281" s="3">
        <v>1</v>
      </c>
      <c r="AK281" s="3">
        <v>1</v>
      </c>
      <c r="AL281" s="3">
        <v>6</v>
      </c>
      <c r="AM281" s="3">
        <v>6</v>
      </c>
      <c r="AN281" s="3">
        <v>3</v>
      </c>
      <c r="AO281" s="3">
        <v>3</v>
      </c>
      <c r="AP281" s="3">
        <v>0</v>
      </c>
      <c r="AQ281" s="3">
        <v>0</v>
      </c>
      <c r="AR281" s="2" t="s">
        <v>5</v>
      </c>
      <c r="AS281" s="2" t="s">
        <v>46</v>
      </c>
      <c r="AT281" s="5" t="str">
        <f>HYPERLINK("http://catalog.hathitrust.org/Record/000730520","HathiTrust Record")</f>
        <v>HathiTrust Record</v>
      </c>
      <c r="AU281" s="5" t="str">
        <f>HYPERLINK("https://creighton-primo.hosted.exlibrisgroup.com/primo-explore/search?tab=default_tab&amp;search_scope=EVERYTHING&amp;vid=01CRU&amp;lang=en_US&amp;offset=0&amp;query=any,contains,991004120019702656","Catalog Record")</f>
        <v>Catalog Record</v>
      </c>
      <c r="AV281" s="5" t="str">
        <f>HYPERLINK("http://www.worldcat.org/oclc/2882926","WorldCat Record")</f>
        <v>WorldCat Record</v>
      </c>
      <c r="AW281" s="2" t="s">
        <v>3713</v>
      </c>
      <c r="AX281" s="2" t="s">
        <v>3714</v>
      </c>
      <c r="AY281" s="2" t="s">
        <v>3715</v>
      </c>
      <c r="AZ281" s="2" t="s">
        <v>3715</v>
      </c>
      <c r="BA281" s="2" t="s">
        <v>3716</v>
      </c>
      <c r="BB281" s="2" t="s">
        <v>20</v>
      </c>
      <c r="BD281" s="2" t="s">
        <v>3717</v>
      </c>
      <c r="BE281" s="2" t="s">
        <v>3718</v>
      </c>
      <c r="BF281" s="2" t="s">
        <v>3719</v>
      </c>
    </row>
    <row r="282" spans="1:58" ht="39.75" customHeight="1" x14ac:dyDescent="0.25">
      <c r="A282" s="7" t="s">
        <v>5</v>
      </c>
      <c r="B282" s="1" t="s">
        <v>0</v>
      </c>
      <c r="C282" s="1" t="s">
        <v>1</v>
      </c>
      <c r="D282" s="1" t="s">
        <v>3720</v>
      </c>
      <c r="E282" s="1" t="s">
        <v>3721</v>
      </c>
      <c r="F282" s="1" t="s">
        <v>3722</v>
      </c>
      <c r="H282" s="2" t="s">
        <v>5</v>
      </c>
      <c r="I282" s="2" t="s">
        <v>6</v>
      </c>
      <c r="J282" s="2" t="s">
        <v>5</v>
      </c>
      <c r="K282" s="2" t="s">
        <v>5</v>
      </c>
      <c r="L282" s="2" t="s">
        <v>7</v>
      </c>
      <c r="M282" s="1" t="s">
        <v>3723</v>
      </c>
      <c r="N282" s="1" t="s">
        <v>3724</v>
      </c>
      <c r="O282" s="2" t="s">
        <v>886</v>
      </c>
      <c r="Q282" s="2" t="s">
        <v>60</v>
      </c>
      <c r="R282" s="2" t="s">
        <v>422</v>
      </c>
      <c r="S282" s="1" t="s">
        <v>3725</v>
      </c>
      <c r="T282" s="2" t="s">
        <v>13</v>
      </c>
      <c r="U282" s="3">
        <v>10</v>
      </c>
      <c r="V282" s="3">
        <v>10</v>
      </c>
      <c r="W282" s="4" t="s">
        <v>3726</v>
      </c>
      <c r="X282" s="4" t="s">
        <v>3726</v>
      </c>
      <c r="Y282" s="4" t="s">
        <v>3727</v>
      </c>
      <c r="Z282" s="4" t="s">
        <v>3727</v>
      </c>
      <c r="AA282" s="3">
        <v>340</v>
      </c>
      <c r="AB282" s="3">
        <v>283</v>
      </c>
      <c r="AC282" s="3">
        <v>290</v>
      </c>
      <c r="AD282" s="3">
        <v>2</v>
      </c>
      <c r="AE282" s="9">
        <v>2</v>
      </c>
      <c r="AF282" s="9">
        <v>8</v>
      </c>
      <c r="AG282" s="9">
        <v>8</v>
      </c>
      <c r="AH282" s="3">
        <v>0</v>
      </c>
      <c r="AI282" s="3">
        <v>0</v>
      </c>
      <c r="AJ282" s="3">
        <v>4</v>
      </c>
      <c r="AK282" s="3">
        <v>4</v>
      </c>
      <c r="AL282" s="3">
        <v>5</v>
      </c>
      <c r="AM282" s="3">
        <v>5</v>
      </c>
      <c r="AN282" s="3">
        <v>1</v>
      </c>
      <c r="AO282" s="3">
        <v>1</v>
      </c>
      <c r="AP282" s="3">
        <v>0</v>
      </c>
      <c r="AQ282" s="3">
        <v>0</v>
      </c>
      <c r="AR282" s="2" t="s">
        <v>5</v>
      </c>
      <c r="AS282" s="2" t="s">
        <v>46</v>
      </c>
      <c r="AT282" s="5" t="str">
        <f>HYPERLINK("http://catalog.hathitrust.org/Record/001180627","HathiTrust Record")</f>
        <v>HathiTrust Record</v>
      </c>
      <c r="AU282" s="5" t="str">
        <f>HYPERLINK("https://creighton-primo.hosted.exlibrisgroup.com/primo-explore/search?tab=default_tab&amp;search_scope=EVERYTHING&amp;vid=01CRU&amp;lang=en_US&amp;offset=0&amp;query=any,contains,991003483999702656","Catalog Record")</f>
        <v>Catalog Record</v>
      </c>
      <c r="AV282" s="5" t="str">
        <f>HYPERLINK("http://www.worldcat.org/oclc/1031311","WorldCat Record")</f>
        <v>WorldCat Record</v>
      </c>
      <c r="AW282" s="2" t="s">
        <v>3728</v>
      </c>
      <c r="AX282" s="2" t="s">
        <v>3729</v>
      </c>
      <c r="AY282" s="2" t="s">
        <v>3730</v>
      </c>
      <c r="AZ282" s="2" t="s">
        <v>3730</v>
      </c>
      <c r="BA282" s="2" t="s">
        <v>3731</v>
      </c>
      <c r="BB282" s="2" t="s">
        <v>20</v>
      </c>
      <c r="BD282" s="2" t="s">
        <v>3732</v>
      </c>
      <c r="BE282" s="2" t="s">
        <v>3733</v>
      </c>
      <c r="BF282" s="2" t="s">
        <v>3734</v>
      </c>
    </row>
    <row r="283" spans="1:58" ht="39.75" customHeight="1" x14ac:dyDescent="0.25">
      <c r="A283" s="7" t="s">
        <v>5</v>
      </c>
      <c r="B283" s="1" t="s">
        <v>0</v>
      </c>
      <c r="C283" s="1" t="s">
        <v>1</v>
      </c>
      <c r="D283" s="1" t="s">
        <v>3735</v>
      </c>
      <c r="E283" s="1" t="s">
        <v>3736</v>
      </c>
      <c r="F283" s="1" t="s">
        <v>3737</v>
      </c>
      <c r="H283" s="2" t="s">
        <v>5</v>
      </c>
      <c r="I283" s="2" t="s">
        <v>6</v>
      </c>
      <c r="J283" s="2" t="s">
        <v>5</v>
      </c>
      <c r="K283" s="2" t="s">
        <v>5</v>
      </c>
      <c r="L283" s="2" t="s">
        <v>7</v>
      </c>
      <c r="M283" s="1" t="s">
        <v>3738</v>
      </c>
      <c r="N283" s="1" t="s">
        <v>3739</v>
      </c>
      <c r="O283" s="2" t="s">
        <v>3740</v>
      </c>
      <c r="Q283" s="2" t="s">
        <v>11</v>
      </c>
      <c r="R283" s="2" t="s">
        <v>28</v>
      </c>
      <c r="T283" s="2" t="s">
        <v>13</v>
      </c>
      <c r="U283" s="3">
        <v>2</v>
      </c>
      <c r="V283" s="3">
        <v>2</v>
      </c>
      <c r="W283" s="4" t="s">
        <v>738</v>
      </c>
      <c r="X283" s="4" t="s">
        <v>738</v>
      </c>
      <c r="Y283" s="4" t="s">
        <v>15</v>
      </c>
      <c r="Z283" s="4" t="s">
        <v>15</v>
      </c>
      <c r="AA283" s="3">
        <v>22</v>
      </c>
      <c r="AB283" s="3">
        <v>15</v>
      </c>
      <c r="AC283" s="3">
        <v>65</v>
      </c>
      <c r="AD283" s="3">
        <v>1</v>
      </c>
      <c r="AE283" s="9">
        <v>3</v>
      </c>
      <c r="AF283" s="9">
        <v>1</v>
      </c>
      <c r="AG283" s="9">
        <v>5</v>
      </c>
      <c r="AH283" s="3">
        <v>0</v>
      </c>
      <c r="AI283" s="3">
        <v>2</v>
      </c>
      <c r="AJ283" s="3">
        <v>0</v>
      </c>
      <c r="AK283" s="3">
        <v>1</v>
      </c>
      <c r="AL283" s="3">
        <v>1</v>
      </c>
      <c r="AM283" s="3">
        <v>2</v>
      </c>
      <c r="AN283" s="3">
        <v>0</v>
      </c>
      <c r="AO283" s="3">
        <v>2</v>
      </c>
      <c r="AP283" s="3">
        <v>0</v>
      </c>
      <c r="AQ283" s="3">
        <v>0</v>
      </c>
      <c r="AR283" s="2" t="s">
        <v>5</v>
      </c>
      <c r="AS283" s="2" t="s">
        <v>5</v>
      </c>
      <c r="AU283" s="5" t="str">
        <f>HYPERLINK("https://creighton-primo.hosted.exlibrisgroup.com/primo-explore/search?tab=default_tab&amp;search_scope=EVERYTHING&amp;vid=01CRU&amp;lang=en_US&amp;offset=0&amp;query=any,contains,991004796139702656","Catalog Record")</f>
        <v>Catalog Record</v>
      </c>
      <c r="AV283" s="5" t="str">
        <f>HYPERLINK("http://www.worldcat.org/oclc/5187405","WorldCat Record")</f>
        <v>WorldCat Record</v>
      </c>
      <c r="AW283" s="2" t="s">
        <v>3741</v>
      </c>
      <c r="AX283" s="2" t="s">
        <v>3742</v>
      </c>
      <c r="AY283" s="2" t="s">
        <v>3743</v>
      </c>
      <c r="AZ283" s="2" t="s">
        <v>3743</v>
      </c>
      <c r="BA283" s="2" t="s">
        <v>3744</v>
      </c>
      <c r="BB283" s="2" t="s">
        <v>20</v>
      </c>
      <c r="BE283" s="2" t="s">
        <v>3745</v>
      </c>
      <c r="BF283" s="2" t="s">
        <v>3746</v>
      </c>
    </row>
    <row r="284" spans="1:58" ht="39.75" customHeight="1" x14ac:dyDescent="0.25">
      <c r="A284" s="7" t="s">
        <v>5</v>
      </c>
      <c r="B284" s="1" t="s">
        <v>0</v>
      </c>
      <c r="C284" s="1" t="s">
        <v>1</v>
      </c>
      <c r="D284" s="1" t="s">
        <v>3747</v>
      </c>
      <c r="E284" s="1" t="s">
        <v>3748</v>
      </c>
      <c r="F284" s="1" t="s">
        <v>3749</v>
      </c>
      <c r="H284" s="2" t="s">
        <v>5</v>
      </c>
      <c r="I284" s="2" t="s">
        <v>6</v>
      </c>
      <c r="J284" s="2" t="s">
        <v>5</v>
      </c>
      <c r="K284" s="2" t="s">
        <v>5</v>
      </c>
      <c r="L284" s="2" t="s">
        <v>7</v>
      </c>
      <c r="N284" s="1" t="s">
        <v>3750</v>
      </c>
      <c r="O284" s="2" t="s">
        <v>42</v>
      </c>
      <c r="P284" s="1" t="s">
        <v>3751</v>
      </c>
      <c r="Q284" s="2" t="s">
        <v>11</v>
      </c>
      <c r="R284" s="2" t="s">
        <v>28</v>
      </c>
      <c r="T284" s="2" t="s">
        <v>13</v>
      </c>
      <c r="U284" s="3">
        <v>4</v>
      </c>
      <c r="V284" s="3">
        <v>4</v>
      </c>
      <c r="W284" s="4" t="s">
        <v>3170</v>
      </c>
      <c r="X284" s="4" t="s">
        <v>3170</v>
      </c>
      <c r="Y284" s="4" t="s">
        <v>1406</v>
      </c>
      <c r="Z284" s="4" t="s">
        <v>1406</v>
      </c>
      <c r="AA284" s="3">
        <v>196</v>
      </c>
      <c r="AB284" s="3">
        <v>103</v>
      </c>
      <c r="AC284" s="3">
        <v>106</v>
      </c>
      <c r="AD284" s="3">
        <v>3</v>
      </c>
      <c r="AE284" s="9">
        <v>3</v>
      </c>
      <c r="AF284" s="9">
        <v>7</v>
      </c>
      <c r="AG284" s="9">
        <v>7</v>
      </c>
      <c r="AH284" s="3">
        <v>3</v>
      </c>
      <c r="AI284" s="3">
        <v>3</v>
      </c>
      <c r="AJ284" s="3">
        <v>1</v>
      </c>
      <c r="AK284" s="3">
        <v>1</v>
      </c>
      <c r="AL284" s="3">
        <v>4</v>
      </c>
      <c r="AM284" s="3">
        <v>4</v>
      </c>
      <c r="AN284" s="3">
        <v>2</v>
      </c>
      <c r="AO284" s="3">
        <v>2</v>
      </c>
      <c r="AP284" s="3">
        <v>0</v>
      </c>
      <c r="AQ284" s="3">
        <v>0</v>
      </c>
      <c r="AR284" s="2" t="s">
        <v>5</v>
      </c>
      <c r="AS284" s="2" t="s">
        <v>46</v>
      </c>
      <c r="AT284" s="5" t="str">
        <f>HYPERLINK("http://catalog.hathitrust.org/Record/002063028","HathiTrust Record")</f>
        <v>HathiTrust Record</v>
      </c>
      <c r="AU284" s="5" t="str">
        <f>HYPERLINK("https://creighton-primo.hosted.exlibrisgroup.com/primo-explore/search?tab=default_tab&amp;search_scope=EVERYTHING&amp;vid=01CRU&amp;lang=en_US&amp;offset=0&amp;query=any,contains,991001694159702656","Catalog Record")</f>
        <v>Catalog Record</v>
      </c>
      <c r="AV284" s="5" t="str">
        <f>HYPERLINK("http://www.worldcat.org/oclc/21469293","WorldCat Record")</f>
        <v>WorldCat Record</v>
      </c>
      <c r="AW284" s="2" t="s">
        <v>3752</v>
      </c>
      <c r="AX284" s="2" t="s">
        <v>3753</v>
      </c>
      <c r="AY284" s="2" t="s">
        <v>3754</v>
      </c>
      <c r="AZ284" s="2" t="s">
        <v>3754</v>
      </c>
      <c r="BA284" s="2" t="s">
        <v>3755</v>
      </c>
      <c r="BB284" s="2" t="s">
        <v>20</v>
      </c>
      <c r="BD284" s="2" t="s">
        <v>3756</v>
      </c>
      <c r="BE284" s="2" t="s">
        <v>3757</v>
      </c>
      <c r="BF284" s="2" t="s">
        <v>3758</v>
      </c>
    </row>
    <row r="285" spans="1:58" ht="39.75" customHeight="1" x14ac:dyDescent="0.25">
      <c r="A285" s="7" t="s">
        <v>5</v>
      </c>
      <c r="B285" s="1" t="s">
        <v>0</v>
      </c>
      <c r="C285" s="1" t="s">
        <v>1</v>
      </c>
      <c r="D285" s="1" t="s">
        <v>3759</v>
      </c>
      <c r="E285" s="1" t="s">
        <v>3760</v>
      </c>
      <c r="F285" s="1" t="s">
        <v>3761</v>
      </c>
      <c r="H285" s="2" t="s">
        <v>5</v>
      </c>
      <c r="I285" s="2" t="s">
        <v>6</v>
      </c>
      <c r="J285" s="2" t="s">
        <v>5</v>
      </c>
      <c r="K285" s="2" t="s">
        <v>5</v>
      </c>
      <c r="L285" s="2" t="s">
        <v>7</v>
      </c>
      <c r="M285" s="1" t="s">
        <v>3762</v>
      </c>
      <c r="N285" s="1" t="s">
        <v>3763</v>
      </c>
      <c r="O285" s="2" t="s">
        <v>639</v>
      </c>
      <c r="Q285" s="2" t="s">
        <v>60</v>
      </c>
      <c r="R285" s="2" t="s">
        <v>43</v>
      </c>
      <c r="T285" s="2" t="s">
        <v>13</v>
      </c>
      <c r="U285" s="3">
        <v>1</v>
      </c>
      <c r="V285" s="3">
        <v>1</v>
      </c>
      <c r="W285" s="4" t="s">
        <v>3764</v>
      </c>
      <c r="X285" s="4" t="s">
        <v>3764</v>
      </c>
      <c r="Y285" s="4" t="s">
        <v>15</v>
      </c>
      <c r="Z285" s="4" t="s">
        <v>15</v>
      </c>
      <c r="AA285" s="3">
        <v>458</v>
      </c>
      <c r="AB285" s="3">
        <v>382</v>
      </c>
      <c r="AC285" s="3">
        <v>389</v>
      </c>
      <c r="AD285" s="3">
        <v>4</v>
      </c>
      <c r="AE285" s="9">
        <v>4</v>
      </c>
      <c r="AF285" s="9">
        <v>17</v>
      </c>
      <c r="AG285" s="9">
        <v>17</v>
      </c>
      <c r="AH285" s="3">
        <v>4</v>
      </c>
      <c r="AI285" s="3">
        <v>4</v>
      </c>
      <c r="AJ285" s="3">
        <v>5</v>
      </c>
      <c r="AK285" s="3">
        <v>5</v>
      </c>
      <c r="AL285" s="3">
        <v>9</v>
      </c>
      <c r="AM285" s="3">
        <v>9</v>
      </c>
      <c r="AN285" s="3">
        <v>3</v>
      </c>
      <c r="AO285" s="3">
        <v>3</v>
      </c>
      <c r="AP285" s="3">
        <v>0</v>
      </c>
      <c r="AQ285" s="3">
        <v>0</v>
      </c>
      <c r="AR285" s="2" t="s">
        <v>5</v>
      </c>
      <c r="AS285" s="2" t="s">
        <v>46</v>
      </c>
      <c r="AT285" s="5" t="str">
        <f>HYPERLINK("http://catalog.hathitrust.org/Record/000843256","HathiTrust Record")</f>
        <v>HathiTrust Record</v>
      </c>
      <c r="AU285" s="5" t="str">
        <f>HYPERLINK("https://creighton-primo.hosted.exlibrisgroup.com/primo-explore/search?tab=default_tab&amp;search_scope=EVERYTHING&amp;vid=01CRU&amp;lang=en_US&amp;offset=0&amp;query=any,contains,991001062659702656","Catalog Record")</f>
        <v>Catalog Record</v>
      </c>
      <c r="AV285" s="5" t="str">
        <f>HYPERLINK("http://www.worldcat.org/oclc/15791331","WorldCat Record")</f>
        <v>WorldCat Record</v>
      </c>
      <c r="AW285" s="2" t="s">
        <v>3765</v>
      </c>
      <c r="AX285" s="2" t="s">
        <v>3766</v>
      </c>
      <c r="AY285" s="2" t="s">
        <v>3767</v>
      </c>
      <c r="AZ285" s="2" t="s">
        <v>3767</v>
      </c>
      <c r="BA285" s="2" t="s">
        <v>3768</v>
      </c>
      <c r="BB285" s="2" t="s">
        <v>20</v>
      </c>
      <c r="BD285" s="2" t="s">
        <v>3769</v>
      </c>
      <c r="BE285" s="2" t="s">
        <v>3770</v>
      </c>
      <c r="BF285" s="2" t="s">
        <v>3771</v>
      </c>
    </row>
    <row r="286" spans="1:58" ht="39.75" customHeight="1" x14ac:dyDescent="0.25">
      <c r="A286" s="7" t="s">
        <v>5</v>
      </c>
      <c r="B286" s="1" t="s">
        <v>0</v>
      </c>
      <c r="C286" s="1" t="s">
        <v>1</v>
      </c>
      <c r="D286" s="1" t="s">
        <v>3772</v>
      </c>
      <c r="E286" s="1" t="s">
        <v>3773</v>
      </c>
      <c r="F286" s="1" t="s">
        <v>3774</v>
      </c>
      <c r="H286" s="2" t="s">
        <v>5</v>
      </c>
      <c r="I286" s="2" t="s">
        <v>6</v>
      </c>
      <c r="J286" s="2" t="s">
        <v>5</v>
      </c>
      <c r="K286" s="2" t="s">
        <v>5</v>
      </c>
      <c r="L286" s="2" t="s">
        <v>7</v>
      </c>
      <c r="M286" s="1" t="s">
        <v>3775</v>
      </c>
      <c r="N286" s="1" t="s">
        <v>3776</v>
      </c>
      <c r="O286" s="2" t="s">
        <v>639</v>
      </c>
      <c r="P286" s="1" t="s">
        <v>3751</v>
      </c>
      <c r="Q286" s="2" t="s">
        <v>11</v>
      </c>
      <c r="R286" s="2" t="s">
        <v>28</v>
      </c>
      <c r="S286" s="1" t="s">
        <v>437</v>
      </c>
      <c r="T286" s="2" t="s">
        <v>13</v>
      </c>
      <c r="U286" s="3">
        <v>2</v>
      </c>
      <c r="V286" s="3">
        <v>2</v>
      </c>
      <c r="W286" s="4" t="s">
        <v>3777</v>
      </c>
      <c r="X286" s="4" t="s">
        <v>3777</v>
      </c>
      <c r="Y286" s="4" t="s">
        <v>3778</v>
      </c>
      <c r="Z286" s="4" t="s">
        <v>3778</v>
      </c>
      <c r="AA286" s="3">
        <v>154</v>
      </c>
      <c r="AB286" s="3">
        <v>84</v>
      </c>
      <c r="AC286" s="3">
        <v>91</v>
      </c>
      <c r="AD286" s="3">
        <v>2</v>
      </c>
      <c r="AE286" s="9">
        <v>2</v>
      </c>
      <c r="AF286" s="9">
        <v>1</v>
      </c>
      <c r="AG286" s="9">
        <v>1</v>
      </c>
      <c r="AH286" s="3">
        <v>0</v>
      </c>
      <c r="AI286" s="3">
        <v>0</v>
      </c>
      <c r="AJ286" s="3">
        <v>0</v>
      </c>
      <c r="AK286" s="3">
        <v>0</v>
      </c>
      <c r="AL286" s="3">
        <v>0</v>
      </c>
      <c r="AM286" s="3">
        <v>0</v>
      </c>
      <c r="AN286" s="3">
        <v>1</v>
      </c>
      <c r="AO286" s="3">
        <v>1</v>
      </c>
      <c r="AP286" s="3">
        <v>0</v>
      </c>
      <c r="AQ286" s="3">
        <v>0</v>
      </c>
      <c r="AR286" s="2" t="s">
        <v>5</v>
      </c>
      <c r="AS286" s="2" t="s">
        <v>46</v>
      </c>
      <c r="AT286" s="5" t="str">
        <f>HYPERLINK("http://catalog.hathitrust.org/Record/001091281","HathiTrust Record")</f>
        <v>HathiTrust Record</v>
      </c>
      <c r="AU286" s="5" t="str">
        <f>HYPERLINK("https://creighton-primo.hosted.exlibrisgroup.com/primo-explore/search?tab=default_tab&amp;search_scope=EVERYTHING&amp;vid=01CRU&amp;lang=en_US&amp;offset=0&amp;query=any,contains,991001581859702656","Catalog Record")</f>
        <v>Catalog Record</v>
      </c>
      <c r="AV286" s="5" t="str">
        <f>HYPERLINK("http://www.worldcat.org/oclc/20491070","WorldCat Record")</f>
        <v>WorldCat Record</v>
      </c>
      <c r="AW286" s="2" t="s">
        <v>3779</v>
      </c>
      <c r="AX286" s="2" t="s">
        <v>3780</v>
      </c>
      <c r="AY286" s="2" t="s">
        <v>3781</v>
      </c>
      <c r="AZ286" s="2" t="s">
        <v>3781</v>
      </c>
      <c r="BA286" s="2" t="s">
        <v>3782</v>
      </c>
      <c r="BB286" s="2" t="s">
        <v>20</v>
      </c>
      <c r="BD286" s="2" t="s">
        <v>3783</v>
      </c>
      <c r="BE286" s="2" t="s">
        <v>3784</v>
      </c>
      <c r="BF286" s="2" t="s">
        <v>3785</v>
      </c>
    </row>
    <row r="287" spans="1:58" ht="39.75" customHeight="1" x14ac:dyDescent="0.25">
      <c r="A287" s="7" t="s">
        <v>5</v>
      </c>
      <c r="B287" s="1" t="s">
        <v>0</v>
      </c>
      <c r="C287" s="1" t="s">
        <v>1</v>
      </c>
      <c r="D287" s="1" t="s">
        <v>3786</v>
      </c>
      <c r="E287" s="1" t="s">
        <v>3787</v>
      </c>
      <c r="F287" s="1" t="s">
        <v>3788</v>
      </c>
      <c r="H287" s="2" t="s">
        <v>5</v>
      </c>
      <c r="I287" s="2" t="s">
        <v>6</v>
      </c>
      <c r="J287" s="2" t="s">
        <v>5</v>
      </c>
      <c r="K287" s="2" t="s">
        <v>5</v>
      </c>
      <c r="L287" s="2" t="s">
        <v>7</v>
      </c>
      <c r="M287" s="1" t="s">
        <v>3789</v>
      </c>
      <c r="N287" s="1" t="s">
        <v>3790</v>
      </c>
      <c r="O287" s="2" t="s">
        <v>322</v>
      </c>
      <c r="Q287" s="2" t="s">
        <v>11</v>
      </c>
      <c r="R287" s="2" t="s">
        <v>28</v>
      </c>
      <c r="S287" s="1" t="s">
        <v>3791</v>
      </c>
      <c r="T287" s="2" t="s">
        <v>13</v>
      </c>
      <c r="U287" s="3">
        <v>3</v>
      </c>
      <c r="V287" s="3">
        <v>3</v>
      </c>
      <c r="W287" s="4" t="s">
        <v>3792</v>
      </c>
      <c r="X287" s="4" t="s">
        <v>3792</v>
      </c>
      <c r="Y287" s="4" t="s">
        <v>3793</v>
      </c>
      <c r="Z287" s="4" t="s">
        <v>3793</v>
      </c>
      <c r="AA287" s="3">
        <v>108</v>
      </c>
      <c r="AB287" s="3">
        <v>75</v>
      </c>
      <c r="AC287" s="3">
        <v>80</v>
      </c>
      <c r="AD287" s="3">
        <v>2</v>
      </c>
      <c r="AE287" s="9">
        <v>2</v>
      </c>
      <c r="AF287" s="9">
        <v>6</v>
      </c>
      <c r="AG287" s="9">
        <v>6</v>
      </c>
      <c r="AH287" s="3">
        <v>0</v>
      </c>
      <c r="AI287" s="3">
        <v>0</v>
      </c>
      <c r="AJ287" s="3">
        <v>2</v>
      </c>
      <c r="AK287" s="3">
        <v>2</v>
      </c>
      <c r="AL287" s="3">
        <v>4</v>
      </c>
      <c r="AM287" s="3">
        <v>4</v>
      </c>
      <c r="AN287" s="3">
        <v>1</v>
      </c>
      <c r="AO287" s="3">
        <v>1</v>
      </c>
      <c r="AP287" s="3">
        <v>0</v>
      </c>
      <c r="AQ287" s="3">
        <v>0</v>
      </c>
      <c r="AR287" s="2" t="s">
        <v>5</v>
      </c>
      <c r="AS287" s="2" t="s">
        <v>46</v>
      </c>
      <c r="AT287" s="5" t="str">
        <f>HYPERLINK("http://catalog.hathitrust.org/Record/002865254","HathiTrust Record")</f>
        <v>HathiTrust Record</v>
      </c>
      <c r="AU287" s="5" t="str">
        <f>HYPERLINK("https://creighton-primo.hosted.exlibrisgroup.com/primo-explore/search?tab=default_tab&amp;search_scope=EVERYTHING&amp;vid=01CRU&amp;lang=en_US&amp;offset=0&amp;query=any,contains,991002427049702656","Catalog Record")</f>
        <v>Catalog Record</v>
      </c>
      <c r="AV287" s="5" t="str">
        <f>HYPERLINK("http://www.worldcat.org/oclc/31609834","WorldCat Record")</f>
        <v>WorldCat Record</v>
      </c>
      <c r="AW287" s="2" t="s">
        <v>3794</v>
      </c>
      <c r="AX287" s="2" t="s">
        <v>3795</v>
      </c>
      <c r="AY287" s="2" t="s">
        <v>3796</v>
      </c>
      <c r="AZ287" s="2" t="s">
        <v>3796</v>
      </c>
      <c r="BA287" s="2" t="s">
        <v>3797</v>
      </c>
      <c r="BB287" s="2" t="s">
        <v>20</v>
      </c>
      <c r="BD287" s="2" t="s">
        <v>3798</v>
      </c>
      <c r="BE287" s="2" t="s">
        <v>3799</v>
      </c>
      <c r="BF287" s="2" t="s">
        <v>3800</v>
      </c>
    </row>
    <row r="288" spans="1:58" ht="39.75" customHeight="1" x14ac:dyDescent="0.25">
      <c r="A288" s="7" t="s">
        <v>5</v>
      </c>
      <c r="B288" s="1" t="s">
        <v>0</v>
      </c>
      <c r="C288" s="1" t="s">
        <v>1</v>
      </c>
      <c r="D288" s="1" t="s">
        <v>3801</v>
      </c>
      <c r="E288" s="1" t="s">
        <v>3802</v>
      </c>
      <c r="F288" s="1" t="s">
        <v>3803</v>
      </c>
      <c r="H288" s="2" t="s">
        <v>5</v>
      </c>
      <c r="I288" s="2" t="s">
        <v>6</v>
      </c>
      <c r="J288" s="2" t="s">
        <v>5</v>
      </c>
      <c r="K288" s="2" t="s">
        <v>5</v>
      </c>
      <c r="L288" s="2" t="s">
        <v>7</v>
      </c>
      <c r="M288" s="1" t="s">
        <v>2664</v>
      </c>
      <c r="N288" s="1" t="s">
        <v>3804</v>
      </c>
      <c r="O288" s="2" t="s">
        <v>421</v>
      </c>
      <c r="Q288" s="2" t="s">
        <v>60</v>
      </c>
      <c r="R288" s="2" t="s">
        <v>323</v>
      </c>
      <c r="T288" s="2" t="s">
        <v>13</v>
      </c>
      <c r="U288" s="3">
        <v>5</v>
      </c>
      <c r="V288" s="3">
        <v>5</v>
      </c>
      <c r="W288" s="4" t="s">
        <v>2017</v>
      </c>
      <c r="X288" s="4" t="s">
        <v>2017</v>
      </c>
      <c r="Y288" s="4" t="s">
        <v>15</v>
      </c>
      <c r="Z288" s="4" t="s">
        <v>15</v>
      </c>
      <c r="AA288" s="3">
        <v>983</v>
      </c>
      <c r="AB288" s="3">
        <v>847</v>
      </c>
      <c r="AC288" s="3">
        <v>852</v>
      </c>
      <c r="AD288" s="3">
        <v>4</v>
      </c>
      <c r="AE288" s="9">
        <v>4</v>
      </c>
      <c r="AF288" s="9">
        <v>34</v>
      </c>
      <c r="AG288" s="9">
        <v>34</v>
      </c>
      <c r="AH288" s="3">
        <v>17</v>
      </c>
      <c r="AI288" s="3">
        <v>17</v>
      </c>
      <c r="AJ288" s="3">
        <v>8</v>
      </c>
      <c r="AK288" s="3">
        <v>8</v>
      </c>
      <c r="AL288" s="3">
        <v>16</v>
      </c>
      <c r="AM288" s="3">
        <v>16</v>
      </c>
      <c r="AN288" s="3">
        <v>3</v>
      </c>
      <c r="AO288" s="3">
        <v>3</v>
      </c>
      <c r="AP288" s="3">
        <v>0</v>
      </c>
      <c r="AQ288" s="3">
        <v>0</v>
      </c>
      <c r="AR288" s="2" t="s">
        <v>5</v>
      </c>
      <c r="AS288" s="2" t="s">
        <v>5</v>
      </c>
      <c r="AU288" s="5" t="str">
        <f>HYPERLINK("https://creighton-primo.hosted.exlibrisgroup.com/primo-explore/search?tab=default_tab&amp;search_scope=EVERYTHING&amp;vid=01CRU&amp;lang=en_US&amp;offset=0&amp;query=any,contains,991000064959702656","Catalog Record")</f>
        <v>Catalog Record</v>
      </c>
      <c r="AV288" s="5" t="str">
        <f>HYPERLINK("http://www.worldcat.org/oclc/8763158","WorldCat Record")</f>
        <v>WorldCat Record</v>
      </c>
      <c r="AW288" s="2" t="s">
        <v>3805</v>
      </c>
      <c r="AX288" s="2" t="s">
        <v>3806</v>
      </c>
      <c r="AY288" s="2" t="s">
        <v>3807</v>
      </c>
      <c r="AZ288" s="2" t="s">
        <v>3807</v>
      </c>
      <c r="BA288" s="2" t="s">
        <v>3808</v>
      </c>
      <c r="BB288" s="2" t="s">
        <v>20</v>
      </c>
      <c r="BD288" s="2" t="s">
        <v>3809</v>
      </c>
      <c r="BE288" s="2" t="s">
        <v>3810</v>
      </c>
      <c r="BF288" s="2" t="s">
        <v>3811</v>
      </c>
    </row>
    <row r="289" spans="1:58" ht="39.75" customHeight="1" x14ac:dyDescent="0.25">
      <c r="A289" s="7" t="s">
        <v>5</v>
      </c>
      <c r="B289" s="1" t="s">
        <v>0</v>
      </c>
      <c r="C289" s="1" t="s">
        <v>1</v>
      </c>
      <c r="D289" s="1" t="s">
        <v>3812</v>
      </c>
      <c r="E289" s="1" t="s">
        <v>3813</v>
      </c>
      <c r="F289" s="1" t="s">
        <v>3814</v>
      </c>
      <c r="H289" s="2" t="s">
        <v>5</v>
      </c>
      <c r="I289" s="2" t="s">
        <v>6</v>
      </c>
      <c r="J289" s="2" t="s">
        <v>5</v>
      </c>
      <c r="K289" s="2" t="s">
        <v>5</v>
      </c>
      <c r="L289" s="2" t="s">
        <v>7</v>
      </c>
      <c r="M289" s="1" t="s">
        <v>3815</v>
      </c>
      <c r="N289" s="1" t="s">
        <v>3816</v>
      </c>
      <c r="O289" s="2" t="s">
        <v>3817</v>
      </c>
      <c r="Q289" s="2" t="s">
        <v>60</v>
      </c>
      <c r="R289" s="2" t="s">
        <v>292</v>
      </c>
      <c r="T289" s="2" t="s">
        <v>13</v>
      </c>
      <c r="U289" s="3">
        <v>1</v>
      </c>
      <c r="V289" s="3">
        <v>1</v>
      </c>
      <c r="W289" s="4" t="s">
        <v>3818</v>
      </c>
      <c r="X289" s="4" t="s">
        <v>3818</v>
      </c>
      <c r="Y289" s="4" t="s">
        <v>3819</v>
      </c>
      <c r="Z289" s="4" t="s">
        <v>3819</v>
      </c>
      <c r="AA289" s="3">
        <v>365</v>
      </c>
      <c r="AB289" s="3">
        <v>274</v>
      </c>
      <c r="AC289" s="3">
        <v>302</v>
      </c>
      <c r="AD289" s="3">
        <v>3</v>
      </c>
      <c r="AE289" s="9">
        <v>4</v>
      </c>
      <c r="AF289" s="9">
        <v>16</v>
      </c>
      <c r="AG289" s="9">
        <v>20</v>
      </c>
      <c r="AH289" s="3">
        <v>4</v>
      </c>
      <c r="AI289" s="3">
        <v>7</v>
      </c>
      <c r="AJ289" s="3">
        <v>5</v>
      </c>
      <c r="AK289" s="3">
        <v>6</v>
      </c>
      <c r="AL289" s="3">
        <v>10</v>
      </c>
      <c r="AM289" s="3">
        <v>10</v>
      </c>
      <c r="AN289" s="3">
        <v>2</v>
      </c>
      <c r="AO289" s="3">
        <v>3</v>
      </c>
      <c r="AP289" s="3">
        <v>0</v>
      </c>
      <c r="AQ289" s="3">
        <v>0</v>
      </c>
      <c r="AR289" s="2" t="s">
        <v>5</v>
      </c>
      <c r="AS289" s="2" t="s">
        <v>5</v>
      </c>
      <c r="AU289" s="5" t="str">
        <f>HYPERLINK("https://creighton-primo.hosted.exlibrisgroup.com/primo-explore/search?tab=default_tab&amp;search_scope=EVERYTHING&amp;vid=01CRU&amp;lang=en_US&amp;offset=0&amp;query=any,contains,991003790379702656","Catalog Record")</f>
        <v>Catalog Record</v>
      </c>
      <c r="AV289" s="5" t="str">
        <f>HYPERLINK("http://www.worldcat.org/oclc/35174743","WorldCat Record")</f>
        <v>WorldCat Record</v>
      </c>
      <c r="AW289" s="2" t="s">
        <v>3820</v>
      </c>
      <c r="AX289" s="2" t="s">
        <v>3821</v>
      </c>
      <c r="AY289" s="2" t="s">
        <v>3822</v>
      </c>
      <c r="AZ289" s="2" t="s">
        <v>3822</v>
      </c>
      <c r="BA289" s="2" t="s">
        <v>3823</v>
      </c>
      <c r="BB289" s="2" t="s">
        <v>20</v>
      </c>
      <c r="BD289" s="2" t="s">
        <v>3824</v>
      </c>
      <c r="BE289" s="2" t="s">
        <v>3825</v>
      </c>
      <c r="BF289" s="2" t="s">
        <v>3826</v>
      </c>
    </row>
    <row r="290" spans="1:58" ht="39.75" customHeight="1" x14ac:dyDescent="0.25">
      <c r="A290" s="7" t="s">
        <v>5</v>
      </c>
      <c r="B290" s="1" t="s">
        <v>0</v>
      </c>
      <c r="C290" s="1" t="s">
        <v>1</v>
      </c>
      <c r="D290" s="1" t="s">
        <v>3827</v>
      </c>
      <c r="E290" s="1" t="s">
        <v>3828</v>
      </c>
      <c r="F290" s="1" t="s">
        <v>3829</v>
      </c>
      <c r="H290" s="2" t="s">
        <v>5</v>
      </c>
      <c r="I290" s="2" t="s">
        <v>6</v>
      </c>
      <c r="J290" s="2" t="s">
        <v>5</v>
      </c>
      <c r="K290" s="2" t="s">
        <v>5</v>
      </c>
      <c r="L290" s="2" t="s">
        <v>7</v>
      </c>
      <c r="M290" s="1" t="s">
        <v>3830</v>
      </c>
      <c r="N290" s="1" t="s">
        <v>3831</v>
      </c>
      <c r="O290" s="2" t="s">
        <v>1515</v>
      </c>
      <c r="Q290" s="2" t="s">
        <v>60</v>
      </c>
      <c r="R290" s="2" t="s">
        <v>193</v>
      </c>
      <c r="S290" s="1" t="s">
        <v>3832</v>
      </c>
      <c r="T290" s="2" t="s">
        <v>13</v>
      </c>
      <c r="U290" s="3">
        <v>1</v>
      </c>
      <c r="V290" s="3">
        <v>1</v>
      </c>
      <c r="W290" s="4" t="s">
        <v>3833</v>
      </c>
      <c r="X290" s="4" t="s">
        <v>3833</v>
      </c>
      <c r="Y290" s="4" t="s">
        <v>3833</v>
      </c>
      <c r="Z290" s="4" t="s">
        <v>3833</v>
      </c>
      <c r="AA290" s="3">
        <v>626</v>
      </c>
      <c r="AB290" s="3">
        <v>486</v>
      </c>
      <c r="AC290" s="3">
        <v>489</v>
      </c>
      <c r="AD290" s="3">
        <v>4</v>
      </c>
      <c r="AE290" s="9">
        <v>4</v>
      </c>
      <c r="AF290" s="9">
        <v>22</v>
      </c>
      <c r="AG290" s="9">
        <v>22</v>
      </c>
      <c r="AH290" s="3">
        <v>10</v>
      </c>
      <c r="AI290" s="3">
        <v>10</v>
      </c>
      <c r="AJ290" s="3">
        <v>6</v>
      </c>
      <c r="AK290" s="3">
        <v>6</v>
      </c>
      <c r="AL290" s="3">
        <v>10</v>
      </c>
      <c r="AM290" s="3">
        <v>10</v>
      </c>
      <c r="AN290" s="3">
        <v>3</v>
      </c>
      <c r="AO290" s="3">
        <v>3</v>
      </c>
      <c r="AP290" s="3">
        <v>0</v>
      </c>
      <c r="AQ290" s="3">
        <v>0</v>
      </c>
      <c r="AR290" s="2" t="s">
        <v>5</v>
      </c>
      <c r="AS290" s="2" t="s">
        <v>46</v>
      </c>
      <c r="AT290" s="5" t="str">
        <f>HYPERLINK("http://catalog.hathitrust.org/Record/000731307","HathiTrust Record")</f>
        <v>HathiTrust Record</v>
      </c>
      <c r="AU290" s="5" t="str">
        <f>HYPERLINK("https://creighton-primo.hosted.exlibrisgroup.com/primo-explore/search?tab=default_tab&amp;search_scope=EVERYTHING&amp;vid=01CRU&amp;lang=en_US&amp;offset=0&amp;query=any,contains,991003995869702656","Catalog Record")</f>
        <v>Catalog Record</v>
      </c>
      <c r="AV290" s="5" t="str">
        <f>HYPERLINK("http://www.worldcat.org/oclc/7088606","WorldCat Record")</f>
        <v>WorldCat Record</v>
      </c>
      <c r="AW290" s="2" t="s">
        <v>3834</v>
      </c>
      <c r="AX290" s="2" t="s">
        <v>3835</v>
      </c>
      <c r="AY290" s="2" t="s">
        <v>3836</v>
      </c>
      <c r="AZ290" s="2" t="s">
        <v>3836</v>
      </c>
      <c r="BA290" s="2" t="s">
        <v>3837</v>
      </c>
      <c r="BB290" s="2" t="s">
        <v>20</v>
      </c>
      <c r="BD290" s="2" t="s">
        <v>3838</v>
      </c>
      <c r="BE290" s="2" t="s">
        <v>3839</v>
      </c>
      <c r="BF290" s="2" t="s">
        <v>3840</v>
      </c>
    </row>
    <row r="291" spans="1:58" ht="39.75" customHeight="1" x14ac:dyDescent="0.25">
      <c r="A291" s="7" t="s">
        <v>5</v>
      </c>
      <c r="B291" s="1" t="s">
        <v>0</v>
      </c>
      <c r="C291" s="1" t="s">
        <v>1</v>
      </c>
      <c r="D291" s="1" t="s">
        <v>3841</v>
      </c>
      <c r="E291" s="1" t="s">
        <v>3842</v>
      </c>
      <c r="F291" s="1" t="s">
        <v>3843</v>
      </c>
      <c r="H291" s="2" t="s">
        <v>5</v>
      </c>
      <c r="I291" s="2" t="s">
        <v>6</v>
      </c>
      <c r="J291" s="2" t="s">
        <v>5</v>
      </c>
      <c r="K291" s="2" t="s">
        <v>5</v>
      </c>
      <c r="L291" s="2" t="s">
        <v>7</v>
      </c>
      <c r="M291" s="1" t="s">
        <v>3844</v>
      </c>
      <c r="N291" s="1" t="s">
        <v>3845</v>
      </c>
      <c r="O291" s="2" t="s">
        <v>736</v>
      </c>
      <c r="Q291" s="2" t="s">
        <v>60</v>
      </c>
      <c r="R291" s="2" t="s">
        <v>43</v>
      </c>
      <c r="T291" s="2" t="s">
        <v>13</v>
      </c>
      <c r="U291" s="3">
        <v>1</v>
      </c>
      <c r="V291" s="3">
        <v>1</v>
      </c>
      <c r="W291" s="4" t="s">
        <v>3846</v>
      </c>
      <c r="X291" s="4" t="s">
        <v>3846</v>
      </c>
      <c r="Y291" s="4" t="s">
        <v>3266</v>
      </c>
      <c r="Z291" s="4" t="s">
        <v>3266</v>
      </c>
      <c r="AA291" s="3">
        <v>380</v>
      </c>
      <c r="AB291" s="3">
        <v>318</v>
      </c>
      <c r="AC291" s="3">
        <v>325</v>
      </c>
      <c r="AD291" s="3">
        <v>4</v>
      </c>
      <c r="AE291" s="9">
        <v>4</v>
      </c>
      <c r="AF291" s="9">
        <v>15</v>
      </c>
      <c r="AG291" s="9">
        <v>15</v>
      </c>
      <c r="AH291" s="3">
        <v>2</v>
      </c>
      <c r="AI291" s="3">
        <v>2</v>
      </c>
      <c r="AJ291" s="3">
        <v>5</v>
      </c>
      <c r="AK291" s="3">
        <v>5</v>
      </c>
      <c r="AL291" s="3">
        <v>9</v>
      </c>
      <c r="AM291" s="3">
        <v>9</v>
      </c>
      <c r="AN291" s="3">
        <v>3</v>
      </c>
      <c r="AO291" s="3">
        <v>3</v>
      </c>
      <c r="AP291" s="3">
        <v>0</v>
      </c>
      <c r="AQ291" s="3">
        <v>0</v>
      </c>
      <c r="AR291" s="2" t="s">
        <v>5</v>
      </c>
      <c r="AS291" s="2" t="s">
        <v>46</v>
      </c>
      <c r="AT291" s="5" t="str">
        <f>HYPERLINK("http://catalog.hathitrust.org/Record/002238254","HathiTrust Record")</f>
        <v>HathiTrust Record</v>
      </c>
      <c r="AU291" s="5" t="str">
        <f>HYPERLINK("https://creighton-primo.hosted.exlibrisgroup.com/primo-explore/search?tab=default_tab&amp;search_scope=EVERYTHING&amp;vid=01CRU&amp;lang=en_US&amp;offset=0&amp;query=any,contains,991001688029702656","Catalog Record")</f>
        <v>Catalog Record</v>
      </c>
      <c r="AV291" s="5" t="str">
        <f>HYPERLINK("http://www.worldcat.org/oclc/21409835","WorldCat Record")</f>
        <v>WorldCat Record</v>
      </c>
      <c r="AW291" s="2" t="s">
        <v>3847</v>
      </c>
      <c r="AX291" s="2" t="s">
        <v>3848</v>
      </c>
      <c r="AY291" s="2" t="s">
        <v>3849</v>
      </c>
      <c r="AZ291" s="2" t="s">
        <v>3849</v>
      </c>
      <c r="BA291" s="2" t="s">
        <v>3850</v>
      </c>
      <c r="BB291" s="2" t="s">
        <v>20</v>
      </c>
      <c r="BD291" s="2" t="s">
        <v>3851</v>
      </c>
      <c r="BE291" s="2" t="s">
        <v>3852</v>
      </c>
      <c r="BF291" s="2" t="s">
        <v>3853</v>
      </c>
    </row>
    <row r="292" spans="1:58" ht="39.75" customHeight="1" x14ac:dyDescent="0.25">
      <c r="A292" s="7" t="s">
        <v>5</v>
      </c>
      <c r="B292" s="1" t="s">
        <v>0</v>
      </c>
      <c r="C292" s="1" t="s">
        <v>1</v>
      </c>
      <c r="D292" s="1" t="s">
        <v>3854</v>
      </c>
      <c r="E292" s="1" t="s">
        <v>3855</v>
      </c>
      <c r="F292" s="1" t="s">
        <v>3856</v>
      </c>
      <c r="H292" s="2" t="s">
        <v>5</v>
      </c>
      <c r="I292" s="2" t="s">
        <v>6</v>
      </c>
      <c r="J292" s="2" t="s">
        <v>5</v>
      </c>
      <c r="K292" s="2" t="s">
        <v>5</v>
      </c>
      <c r="L292" s="2" t="s">
        <v>7</v>
      </c>
      <c r="M292" s="1" t="s">
        <v>3857</v>
      </c>
      <c r="N292" s="1" t="s">
        <v>3858</v>
      </c>
      <c r="O292" s="2" t="s">
        <v>886</v>
      </c>
      <c r="Q292" s="2" t="s">
        <v>11</v>
      </c>
      <c r="R292" s="2" t="s">
        <v>871</v>
      </c>
      <c r="T292" s="2" t="s">
        <v>13</v>
      </c>
      <c r="U292" s="3">
        <v>3</v>
      </c>
      <c r="V292" s="3">
        <v>3</v>
      </c>
      <c r="W292" s="4" t="s">
        <v>3859</v>
      </c>
      <c r="X292" s="4" t="s">
        <v>3859</v>
      </c>
      <c r="Y292" s="4" t="s">
        <v>3860</v>
      </c>
      <c r="Z292" s="4" t="s">
        <v>3860</v>
      </c>
      <c r="AA292" s="3">
        <v>687</v>
      </c>
      <c r="AB292" s="3">
        <v>631</v>
      </c>
      <c r="AC292" s="3">
        <v>735</v>
      </c>
      <c r="AD292" s="3">
        <v>6</v>
      </c>
      <c r="AE292" s="9">
        <v>6</v>
      </c>
      <c r="AF292" s="9">
        <v>29</v>
      </c>
      <c r="AG292" s="9">
        <v>34</v>
      </c>
      <c r="AH292" s="3">
        <v>10</v>
      </c>
      <c r="AI292" s="3">
        <v>14</v>
      </c>
      <c r="AJ292" s="3">
        <v>7</v>
      </c>
      <c r="AK292" s="3">
        <v>8</v>
      </c>
      <c r="AL292" s="3">
        <v>13</v>
      </c>
      <c r="AM292" s="3">
        <v>16</v>
      </c>
      <c r="AN292" s="3">
        <v>5</v>
      </c>
      <c r="AO292" s="3">
        <v>5</v>
      </c>
      <c r="AP292" s="3">
        <v>0</v>
      </c>
      <c r="AQ292" s="3">
        <v>0</v>
      </c>
      <c r="AR292" s="2" t="s">
        <v>5</v>
      </c>
      <c r="AS292" s="2" t="s">
        <v>46</v>
      </c>
      <c r="AT292" s="5" t="str">
        <f>HYPERLINK("http://catalog.hathitrust.org/Record/001202138","HathiTrust Record")</f>
        <v>HathiTrust Record</v>
      </c>
      <c r="AU292" s="5" t="str">
        <f>HYPERLINK("https://creighton-primo.hosted.exlibrisgroup.com/primo-explore/search?tab=default_tab&amp;search_scope=EVERYTHING&amp;vid=01CRU&amp;lang=en_US&amp;offset=0&amp;query=any,contains,991003481119702656","Catalog Record")</f>
        <v>Catalog Record</v>
      </c>
      <c r="AV292" s="5" t="str">
        <f>HYPERLINK("http://www.worldcat.org/oclc/1028829","WorldCat Record")</f>
        <v>WorldCat Record</v>
      </c>
      <c r="AW292" s="2" t="s">
        <v>3861</v>
      </c>
      <c r="AX292" s="2" t="s">
        <v>3862</v>
      </c>
      <c r="AY292" s="2" t="s">
        <v>3863</v>
      </c>
      <c r="AZ292" s="2" t="s">
        <v>3863</v>
      </c>
      <c r="BA292" s="2" t="s">
        <v>3864</v>
      </c>
      <c r="BB292" s="2" t="s">
        <v>20</v>
      </c>
      <c r="BD292" s="2" t="s">
        <v>3865</v>
      </c>
      <c r="BE292" s="2" t="s">
        <v>3866</v>
      </c>
      <c r="BF292" s="2" t="s">
        <v>3867</v>
      </c>
    </row>
    <row r="293" spans="1:58" ht="39.75" customHeight="1" x14ac:dyDescent="0.25">
      <c r="A293" s="7" t="s">
        <v>5</v>
      </c>
      <c r="B293" s="1" t="s">
        <v>0</v>
      </c>
      <c r="C293" s="1" t="s">
        <v>1</v>
      </c>
      <c r="D293" s="1" t="s">
        <v>3868</v>
      </c>
      <c r="E293" s="1" t="s">
        <v>3869</v>
      </c>
      <c r="F293" s="1" t="s">
        <v>3870</v>
      </c>
      <c r="H293" s="2" t="s">
        <v>5</v>
      </c>
      <c r="I293" s="2" t="s">
        <v>6</v>
      </c>
      <c r="J293" s="2" t="s">
        <v>5</v>
      </c>
      <c r="K293" s="2" t="s">
        <v>5</v>
      </c>
      <c r="L293" s="2" t="s">
        <v>7</v>
      </c>
      <c r="M293" s="1" t="s">
        <v>3871</v>
      </c>
      <c r="N293" s="1" t="s">
        <v>3872</v>
      </c>
      <c r="O293" s="2" t="s">
        <v>1473</v>
      </c>
      <c r="P293" s="1" t="s">
        <v>2170</v>
      </c>
      <c r="Q293" s="2" t="s">
        <v>60</v>
      </c>
      <c r="R293" s="2" t="s">
        <v>61</v>
      </c>
      <c r="T293" s="2" t="s">
        <v>13</v>
      </c>
      <c r="U293" s="3">
        <v>2</v>
      </c>
      <c r="V293" s="3">
        <v>2</v>
      </c>
      <c r="W293" s="4" t="s">
        <v>3873</v>
      </c>
      <c r="X293" s="4" t="s">
        <v>3873</v>
      </c>
      <c r="Y293" s="4" t="s">
        <v>3873</v>
      </c>
      <c r="Z293" s="4" t="s">
        <v>3873</v>
      </c>
      <c r="AA293" s="3">
        <v>296</v>
      </c>
      <c r="AB293" s="3">
        <v>276</v>
      </c>
      <c r="AC293" s="3">
        <v>354</v>
      </c>
      <c r="AD293" s="3">
        <v>3</v>
      </c>
      <c r="AE293" s="9">
        <v>4</v>
      </c>
      <c r="AF293" s="9">
        <v>11</v>
      </c>
      <c r="AG293" s="9">
        <v>12</v>
      </c>
      <c r="AH293" s="3">
        <v>2</v>
      </c>
      <c r="AI293" s="3">
        <v>2</v>
      </c>
      <c r="AJ293" s="3">
        <v>5</v>
      </c>
      <c r="AK293" s="3">
        <v>5</v>
      </c>
      <c r="AL293" s="3">
        <v>5</v>
      </c>
      <c r="AM293" s="3">
        <v>5</v>
      </c>
      <c r="AN293" s="3">
        <v>2</v>
      </c>
      <c r="AO293" s="3">
        <v>3</v>
      </c>
      <c r="AP293" s="3">
        <v>0</v>
      </c>
      <c r="AQ293" s="3">
        <v>0</v>
      </c>
      <c r="AR293" s="2" t="s">
        <v>5</v>
      </c>
      <c r="AS293" s="2" t="s">
        <v>5</v>
      </c>
      <c r="AU293" s="5" t="str">
        <f>HYPERLINK("https://creighton-primo.hosted.exlibrisgroup.com/primo-explore/search?tab=default_tab&amp;search_scope=EVERYTHING&amp;vid=01CRU&amp;lang=en_US&amp;offset=0&amp;query=any,contains,991003918819702656","Catalog Record")</f>
        <v>Catalog Record</v>
      </c>
      <c r="AV293" s="5" t="str">
        <f>HYPERLINK("http://www.worldcat.org/oclc/52799534","WorldCat Record")</f>
        <v>WorldCat Record</v>
      </c>
      <c r="AW293" s="2" t="s">
        <v>3874</v>
      </c>
      <c r="AX293" s="2" t="s">
        <v>3875</v>
      </c>
      <c r="AY293" s="2" t="s">
        <v>3876</v>
      </c>
      <c r="AZ293" s="2" t="s">
        <v>3876</v>
      </c>
      <c r="BA293" s="2" t="s">
        <v>3877</v>
      </c>
      <c r="BB293" s="2" t="s">
        <v>20</v>
      </c>
      <c r="BD293" s="2" t="s">
        <v>3878</v>
      </c>
      <c r="BE293" s="2" t="s">
        <v>3879</v>
      </c>
      <c r="BF293" s="2" t="s">
        <v>3880</v>
      </c>
    </row>
    <row r="294" spans="1:58" ht="39.75" customHeight="1" x14ac:dyDescent="0.25">
      <c r="A294" s="7" t="s">
        <v>5</v>
      </c>
      <c r="B294" s="1" t="s">
        <v>0</v>
      </c>
      <c r="C294" s="1" t="s">
        <v>1</v>
      </c>
      <c r="D294" s="1" t="s">
        <v>3881</v>
      </c>
      <c r="E294" s="1" t="s">
        <v>3882</v>
      </c>
      <c r="F294" s="1" t="s">
        <v>3883</v>
      </c>
      <c r="H294" s="2" t="s">
        <v>5</v>
      </c>
      <c r="I294" s="2" t="s">
        <v>6</v>
      </c>
      <c r="J294" s="2" t="s">
        <v>5</v>
      </c>
      <c r="K294" s="2" t="s">
        <v>5</v>
      </c>
      <c r="L294" s="2" t="s">
        <v>7</v>
      </c>
      <c r="M294" s="1" t="s">
        <v>3884</v>
      </c>
      <c r="N294" s="1" t="s">
        <v>3885</v>
      </c>
      <c r="O294" s="2" t="s">
        <v>1390</v>
      </c>
      <c r="P294" s="1" t="s">
        <v>3886</v>
      </c>
      <c r="Q294" s="2" t="s">
        <v>11</v>
      </c>
      <c r="R294" s="2" t="s">
        <v>28</v>
      </c>
      <c r="T294" s="2" t="s">
        <v>13</v>
      </c>
      <c r="U294" s="3">
        <v>2</v>
      </c>
      <c r="V294" s="3">
        <v>2</v>
      </c>
      <c r="W294" s="4" t="s">
        <v>3887</v>
      </c>
      <c r="X294" s="4" t="s">
        <v>3887</v>
      </c>
      <c r="Y294" s="4" t="s">
        <v>3888</v>
      </c>
      <c r="Z294" s="4" t="s">
        <v>3888</v>
      </c>
      <c r="AA294" s="3">
        <v>67</v>
      </c>
      <c r="AB294" s="3">
        <v>33</v>
      </c>
      <c r="AC294" s="3">
        <v>275</v>
      </c>
      <c r="AD294" s="3">
        <v>1</v>
      </c>
      <c r="AE294" s="9">
        <v>3</v>
      </c>
      <c r="AF294" s="9">
        <v>2</v>
      </c>
      <c r="AG294" s="9">
        <v>13</v>
      </c>
      <c r="AH294" s="3">
        <v>0</v>
      </c>
      <c r="AI294" s="3">
        <v>2</v>
      </c>
      <c r="AJ294" s="3">
        <v>1</v>
      </c>
      <c r="AK294" s="3">
        <v>2</v>
      </c>
      <c r="AL294" s="3">
        <v>2</v>
      </c>
      <c r="AM294" s="3">
        <v>10</v>
      </c>
      <c r="AN294" s="3">
        <v>0</v>
      </c>
      <c r="AO294" s="3">
        <v>2</v>
      </c>
      <c r="AP294" s="3">
        <v>0</v>
      </c>
      <c r="AQ294" s="3">
        <v>0</v>
      </c>
      <c r="AR294" s="2" t="s">
        <v>5</v>
      </c>
      <c r="AS294" s="2" t="s">
        <v>46</v>
      </c>
      <c r="AT294" s="5" t="str">
        <f>HYPERLINK("http://catalog.hathitrust.org/Record/000724708","HathiTrust Record")</f>
        <v>HathiTrust Record</v>
      </c>
      <c r="AU294" s="5" t="str">
        <f>HYPERLINK("https://creighton-primo.hosted.exlibrisgroup.com/primo-explore/search?tab=default_tab&amp;search_scope=EVERYTHING&amp;vid=01CRU&amp;lang=en_US&amp;offset=0&amp;query=any,contains,991005130169702656","Catalog Record")</f>
        <v>Catalog Record</v>
      </c>
      <c r="AV294" s="5" t="str">
        <f>HYPERLINK("http://www.worldcat.org/oclc/7570651","WorldCat Record")</f>
        <v>WorldCat Record</v>
      </c>
      <c r="AW294" s="2" t="s">
        <v>3889</v>
      </c>
      <c r="AX294" s="2" t="s">
        <v>3890</v>
      </c>
      <c r="AY294" s="2" t="s">
        <v>3891</v>
      </c>
      <c r="AZ294" s="2" t="s">
        <v>3891</v>
      </c>
      <c r="BA294" s="2" t="s">
        <v>3892</v>
      </c>
      <c r="BB294" s="2" t="s">
        <v>20</v>
      </c>
      <c r="BD294" s="2" t="s">
        <v>3893</v>
      </c>
      <c r="BE294" s="2" t="s">
        <v>3894</v>
      </c>
      <c r="BF294" s="2" t="s">
        <v>3895</v>
      </c>
    </row>
    <row r="295" spans="1:58" ht="39.75" customHeight="1" x14ac:dyDescent="0.25">
      <c r="A295" s="7" t="s">
        <v>5</v>
      </c>
      <c r="B295" s="1" t="s">
        <v>0</v>
      </c>
      <c r="C295" s="1" t="s">
        <v>1</v>
      </c>
      <c r="D295" s="1" t="s">
        <v>3896</v>
      </c>
      <c r="E295" s="1" t="s">
        <v>3897</v>
      </c>
      <c r="F295" s="1" t="s">
        <v>3898</v>
      </c>
      <c r="H295" s="2" t="s">
        <v>5</v>
      </c>
      <c r="I295" s="2" t="s">
        <v>6</v>
      </c>
      <c r="J295" s="2" t="s">
        <v>5</v>
      </c>
      <c r="K295" s="2" t="s">
        <v>5</v>
      </c>
      <c r="L295" s="2" t="s">
        <v>7</v>
      </c>
      <c r="M295" s="1" t="s">
        <v>3899</v>
      </c>
      <c r="N295" s="1" t="s">
        <v>3900</v>
      </c>
      <c r="O295" s="2" t="s">
        <v>480</v>
      </c>
      <c r="Q295" s="2" t="s">
        <v>60</v>
      </c>
      <c r="R295" s="2" t="s">
        <v>193</v>
      </c>
      <c r="S295" s="1" t="s">
        <v>3901</v>
      </c>
      <c r="T295" s="2" t="s">
        <v>13</v>
      </c>
      <c r="U295" s="3">
        <v>6</v>
      </c>
      <c r="V295" s="3">
        <v>6</v>
      </c>
      <c r="W295" s="4" t="s">
        <v>3859</v>
      </c>
      <c r="X295" s="4" t="s">
        <v>3859</v>
      </c>
      <c r="Y295" s="4" t="s">
        <v>3902</v>
      </c>
      <c r="Z295" s="4" t="s">
        <v>3902</v>
      </c>
      <c r="AA295" s="3">
        <v>305</v>
      </c>
      <c r="AB295" s="3">
        <v>231</v>
      </c>
      <c r="AC295" s="3">
        <v>239</v>
      </c>
      <c r="AD295" s="3">
        <v>2</v>
      </c>
      <c r="AE295" s="9">
        <v>2</v>
      </c>
      <c r="AF295" s="9">
        <v>10</v>
      </c>
      <c r="AG295" s="9">
        <v>10</v>
      </c>
      <c r="AH295" s="3">
        <v>0</v>
      </c>
      <c r="AI295" s="3">
        <v>0</v>
      </c>
      <c r="AJ295" s="3">
        <v>2</v>
      </c>
      <c r="AK295" s="3">
        <v>2</v>
      </c>
      <c r="AL295" s="3">
        <v>8</v>
      </c>
      <c r="AM295" s="3">
        <v>8</v>
      </c>
      <c r="AN295" s="3">
        <v>1</v>
      </c>
      <c r="AO295" s="3">
        <v>1</v>
      </c>
      <c r="AP295" s="3">
        <v>0</v>
      </c>
      <c r="AQ295" s="3">
        <v>0</v>
      </c>
      <c r="AR295" s="2" t="s">
        <v>5</v>
      </c>
      <c r="AS295" s="2" t="s">
        <v>46</v>
      </c>
      <c r="AT295" s="5" t="str">
        <f>HYPERLINK("http://catalog.hathitrust.org/Record/001202922","HathiTrust Record")</f>
        <v>HathiTrust Record</v>
      </c>
      <c r="AU295" s="5" t="str">
        <f>HYPERLINK("https://creighton-primo.hosted.exlibrisgroup.com/primo-explore/search?tab=default_tab&amp;search_scope=EVERYTHING&amp;vid=01CRU&amp;lang=en_US&amp;offset=0&amp;query=any,contains,991002817609702656","Catalog Record")</f>
        <v>Catalog Record</v>
      </c>
      <c r="AV295" s="5" t="str">
        <f>HYPERLINK("http://www.worldcat.org/oclc/462288","WorldCat Record")</f>
        <v>WorldCat Record</v>
      </c>
      <c r="AW295" s="2" t="s">
        <v>3903</v>
      </c>
      <c r="AX295" s="2" t="s">
        <v>3904</v>
      </c>
      <c r="AY295" s="2" t="s">
        <v>3905</v>
      </c>
      <c r="AZ295" s="2" t="s">
        <v>3905</v>
      </c>
      <c r="BA295" s="2" t="s">
        <v>3906</v>
      </c>
      <c r="BB295" s="2" t="s">
        <v>20</v>
      </c>
      <c r="BE295" s="2" t="s">
        <v>3907</v>
      </c>
      <c r="BF295" s="2" t="s">
        <v>3908</v>
      </c>
    </row>
    <row r="296" spans="1:58" ht="39.75" customHeight="1" x14ac:dyDescent="0.25">
      <c r="A296" s="7" t="s">
        <v>5</v>
      </c>
      <c r="B296" s="1" t="s">
        <v>0</v>
      </c>
      <c r="C296" s="1" t="s">
        <v>1</v>
      </c>
      <c r="D296" s="1" t="s">
        <v>3909</v>
      </c>
      <c r="E296" s="1" t="s">
        <v>3910</v>
      </c>
      <c r="F296" s="1" t="s">
        <v>3911</v>
      </c>
      <c r="H296" s="2" t="s">
        <v>5</v>
      </c>
      <c r="I296" s="2" t="s">
        <v>6</v>
      </c>
      <c r="J296" s="2" t="s">
        <v>5</v>
      </c>
      <c r="K296" s="2" t="s">
        <v>5</v>
      </c>
      <c r="L296" s="2" t="s">
        <v>7</v>
      </c>
      <c r="M296" s="1" t="s">
        <v>3912</v>
      </c>
      <c r="N296" s="1" t="s">
        <v>3913</v>
      </c>
      <c r="O296" s="2" t="s">
        <v>3817</v>
      </c>
      <c r="Q296" s="2" t="s">
        <v>11</v>
      </c>
      <c r="R296" s="2" t="s">
        <v>61</v>
      </c>
      <c r="S296" s="1" t="s">
        <v>3914</v>
      </c>
      <c r="T296" s="2" t="s">
        <v>13</v>
      </c>
      <c r="U296" s="3">
        <v>3</v>
      </c>
      <c r="V296" s="3">
        <v>3</v>
      </c>
      <c r="W296" s="4" t="s">
        <v>3887</v>
      </c>
      <c r="X296" s="4" t="s">
        <v>3887</v>
      </c>
      <c r="Y296" s="4" t="s">
        <v>3915</v>
      </c>
      <c r="Z296" s="4" t="s">
        <v>3915</v>
      </c>
      <c r="AA296" s="3">
        <v>141</v>
      </c>
      <c r="AB296" s="3">
        <v>89</v>
      </c>
      <c r="AC296" s="3">
        <v>107</v>
      </c>
      <c r="AD296" s="3">
        <v>2</v>
      </c>
      <c r="AE296" s="9">
        <v>2</v>
      </c>
      <c r="AF296" s="9">
        <v>6</v>
      </c>
      <c r="AG296" s="9">
        <v>7</v>
      </c>
      <c r="AH296" s="3">
        <v>1</v>
      </c>
      <c r="AI296" s="3">
        <v>2</v>
      </c>
      <c r="AJ296" s="3">
        <v>2</v>
      </c>
      <c r="AK296" s="3">
        <v>2</v>
      </c>
      <c r="AL296" s="3">
        <v>5</v>
      </c>
      <c r="AM296" s="3">
        <v>6</v>
      </c>
      <c r="AN296" s="3">
        <v>1</v>
      </c>
      <c r="AO296" s="3">
        <v>1</v>
      </c>
      <c r="AP296" s="3">
        <v>0</v>
      </c>
      <c r="AQ296" s="3">
        <v>0</v>
      </c>
      <c r="AR296" s="2" t="s">
        <v>5</v>
      </c>
      <c r="AS296" s="2" t="s">
        <v>46</v>
      </c>
      <c r="AT296" s="5" t="str">
        <f>HYPERLINK("http://catalog.hathitrust.org/Record/003941846","HathiTrust Record")</f>
        <v>HathiTrust Record</v>
      </c>
      <c r="AU296" s="5" t="str">
        <f>HYPERLINK("https://creighton-primo.hosted.exlibrisgroup.com/primo-explore/search?tab=default_tab&amp;search_scope=EVERYTHING&amp;vid=01CRU&amp;lang=en_US&amp;offset=0&amp;query=any,contains,991005410819702656","Catalog Record")</f>
        <v>Catalog Record</v>
      </c>
      <c r="AV296" s="5" t="str">
        <f>HYPERLINK("http://www.worldcat.org/oclc/19627182","WorldCat Record")</f>
        <v>WorldCat Record</v>
      </c>
      <c r="AW296" s="2" t="s">
        <v>3916</v>
      </c>
      <c r="AX296" s="2" t="s">
        <v>3917</v>
      </c>
      <c r="AY296" s="2" t="s">
        <v>3918</v>
      </c>
      <c r="AZ296" s="2" t="s">
        <v>3918</v>
      </c>
      <c r="BA296" s="2" t="s">
        <v>3919</v>
      </c>
      <c r="BB296" s="2" t="s">
        <v>20</v>
      </c>
      <c r="BD296" s="2" t="s">
        <v>3920</v>
      </c>
      <c r="BE296" s="2" t="s">
        <v>3921</v>
      </c>
      <c r="BF296" s="2" t="s">
        <v>3922</v>
      </c>
    </row>
    <row r="297" spans="1:58" ht="39.75" customHeight="1" x14ac:dyDescent="0.25">
      <c r="A297" s="7" t="s">
        <v>5</v>
      </c>
      <c r="B297" s="1" t="s">
        <v>0</v>
      </c>
      <c r="C297" s="1" t="s">
        <v>1</v>
      </c>
      <c r="D297" s="1" t="s">
        <v>3923</v>
      </c>
      <c r="E297" s="1" t="s">
        <v>3924</v>
      </c>
      <c r="F297" s="1" t="s">
        <v>3925</v>
      </c>
      <c r="H297" s="2" t="s">
        <v>5</v>
      </c>
      <c r="I297" s="2" t="s">
        <v>6</v>
      </c>
      <c r="J297" s="2" t="s">
        <v>5</v>
      </c>
      <c r="K297" s="2" t="s">
        <v>5</v>
      </c>
      <c r="L297" s="2" t="s">
        <v>7</v>
      </c>
      <c r="M297" s="1" t="s">
        <v>3926</v>
      </c>
      <c r="N297" s="1" t="s">
        <v>3927</v>
      </c>
      <c r="O297" s="2" t="s">
        <v>2448</v>
      </c>
      <c r="Q297" s="2" t="s">
        <v>60</v>
      </c>
      <c r="R297" s="2" t="s">
        <v>3928</v>
      </c>
      <c r="T297" s="2" t="s">
        <v>13</v>
      </c>
      <c r="U297" s="3">
        <v>1</v>
      </c>
      <c r="V297" s="3">
        <v>1</v>
      </c>
      <c r="W297" s="4" t="s">
        <v>2450</v>
      </c>
      <c r="X297" s="4" t="s">
        <v>2450</v>
      </c>
      <c r="Y297" s="4" t="s">
        <v>2450</v>
      </c>
      <c r="Z297" s="4" t="s">
        <v>2450</v>
      </c>
      <c r="AA297" s="3">
        <v>287</v>
      </c>
      <c r="AB297" s="3">
        <v>225</v>
      </c>
      <c r="AC297" s="3">
        <v>232</v>
      </c>
      <c r="AD297" s="3">
        <v>2</v>
      </c>
      <c r="AE297" s="9">
        <v>2</v>
      </c>
      <c r="AF297" s="9">
        <v>13</v>
      </c>
      <c r="AG297" s="9">
        <v>13</v>
      </c>
      <c r="AH297" s="3">
        <v>2</v>
      </c>
      <c r="AI297" s="3">
        <v>2</v>
      </c>
      <c r="AJ297" s="3">
        <v>4</v>
      </c>
      <c r="AK297" s="3">
        <v>4</v>
      </c>
      <c r="AL297" s="3">
        <v>8</v>
      </c>
      <c r="AM297" s="3">
        <v>8</v>
      </c>
      <c r="AN297" s="3">
        <v>1</v>
      </c>
      <c r="AO297" s="3">
        <v>1</v>
      </c>
      <c r="AP297" s="3">
        <v>0</v>
      </c>
      <c r="AQ297" s="3">
        <v>0</v>
      </c>
      <c r="AR297" s="2" t="s">
        <v>5</v>
      </c>
      <c r="AS297" s="2" t="s">
        <v>46</v>
      </c>
      <c r="AT297" s="5" t="str">
        <f>HYPERLINK("http://catalog.hathitrust.org/Record/004045899","HathiTrust Record")</f>
        <v>HathiTrust Record</v>
      </c>
      <c r="AU297" s="5" t="str">
        <f>HYPERLINK("https://creighton-primo.hosted.exlibrisgroup.com/primo-explore/search?tab=default_tab&amp;search_scope=EVERYTHING&amp;vid=01CRU&amp;lang=en_US&amp;offset=0&amp;query=any,contains,991004272829702656","Catalog Record")</f>
        <v>Catalog Record</v>
      </c>
      <c r="AV297" s="5" t="str">
        <f>HYPERLINK("http://www.worldcat.org/oclc/40218700","WorldCat Record")</f>
        <v>WorldCat Record</v>
      </c>
      <c r="AW297" s="2" t="s">
        <v>3929</v>
      </c>
      <c r="AX297" s="2" t="s">
        <v>3930</v>
      </c>
      <c r="AY297" s="2" t="s">
        <v>3931</v>
      </c>
      <c r="AZ297" s="2" t="s">
        <v>3931</v>
      </c>
      <c r="BA297" s="2" t="s">
        <v>3932</v>
      </c>
      <c r="BB297" s="2" t="s">
        <v>20</v>
      </c>
      <c r="BD297" s="2" t="s">
        <v>3933</v>
      </c>
      <c r="BE297" s="2" t="s">
        <v>3934</v>
      </c>
      <c r="BF297" s="2" t="s">
        <v>3935</v>
      </c>
    </row>
    <row r="298" spans="1:58" ht="39.75" customHeight="1" x14ac:dyDescent="0.25">
      <c r="A298" s="7" t="s">
        <v>5</v>
      </c>
      <c r="B298" s="1" t="s">
        <v>0</v>
      </c>
      <c r="C298" s="1" t="s">
        <v>1</v>
      </c>
      <c r="D298" s="1" t="s">
        <v>3936</v>
      </c>
      <c r="E298" s="1" t="s">
        <v>3937</v>
      </c>
      <c r="F298" s="1" t="s">
        <v>3938</v>
      </c>
      <c r="H298" s="2" t="s">
        <v>5</v>
      </c>
      <c r="I298" s="2" t="s">
        <v>6</v>
      </c>
      <c r="J298" s="2" t="s">
        <v>5</v>
      </c>
      <c r="K298" s="2" t="s">
        <v>5</v>
      </c>
      <c r="L298" s="2" t="s">
        <v>7</v>
      </c>
      <c r="M298" s="1" t="s">
        <v>3939</v>
      </c>
      <c r="N298" s="1" t="s">
        <v>3940</v>
      </c>
      <c r="O298" s="2" t="s">
        <v>3941</v>
      </c>
      <c r="Q298" s="2" t="s">
        <v>60</v>
      </c>
      <c r="R298" s="2" t="s">
        <v>3942</v>
      </c>
      <c r="S298" s="1" t="s">
        <v>3943</v>
      </c>
      <c r="T298" s="2" t="s">
        <v>13</v>
      </c>
      <c r="U298" s="3">
        <v>1</v>
      </c>
      <c r="V298" s="3">
        <v>1</v>
      </c>
      <c r="W298" s="4" t="s">
        <v>2797</v>
      </c>
      <c r="X298" s="4" t="s">
        <v>2797</v>
      </c>
      <c r="Y298" s="4" t="s">
        <v>2797</v>
      </c>
      <c r="Z298" s="4" t="s">
        <v>2797</v>
      </c>
      <c r="AA298" s="3">
        <v>391</v>
      </c>
      <c r="AB298" s="3">
        <v>304</v>
      </c>
      <c r="AC298" s="3">
        <v>310</v>
      </c>
      <c r="AD298" s="3">
        <v>3</v>
      </c>
      <c r="AE298" s="9">
        <v>3</v>
      </c>
      <c r="AF298" s="9">
        <v>20</v>
      </c>
      <c r="AG298" s="9">
        <v>20</v>
      </c>
      <c r="AH298" s="3">
        <v>7</v>
      </c>
      <c r="AI298" s="3">
        <v>7</v>
      </c>
      <c r="AJ298" s="3">
        <v>8</v>
      </c>
      <c r="AK298" s="3">
        <v>8</v>
      </c>
      <c r="AL298" s="3">
        <v>9</v>
      </c>
      <c r="AM298" s="3">
        <v>9</v>
      </c>
      <c r="AN298" s="3">
        <v>2</v>
      </c>
      <c r="AO298" s="3">
        <v>2</v>
      </c>
      <c r="AP298" s="3">
        <v>0</v>
      </c>
      <c r="AQ298" s="3">
        <v>0</v>
      </c>
      <c r="AR298" s="2" t="s">
        <v>5</v>
      </c>
      <c r="AS298" s="2" t="s">
        <v>46</v>
      </c>
      <c r="AT298" s="5" t="str">
        <f>HYPERLINK("http://catalog.hathitrust.org/Record/004197602","HathiTrust Record")</f>
        <v>HathiTrust Record</v>
      </c>
      <c r="AU298" s="5" t="str">
        <f>HYPERLINK("https://creighton-primo.hosted.exlibrisgroup.com/primo-explore/search?tab=default_tab&amp;search_scope=EVERYTHING&amp;vid=01CRU&amp;lang=en_US&amp;offset=0&amp;query=any,contains,991004342829702656","Catalog Record")</f>
        <v>Catalog Record</v>
      </c>
      <c r="AV298" s="5" t="str">
        <f>HYPERLINK("http://www.worldcat.org/oclc/44876946","WorldCat Record")</f>
        <v>WorldCat Record</v>
      </c>
      <c r="AW298" s="2" t="s">
        <v>3944</v>
      </c>
      <c r="AX298" s="2" t="s">
        <v>3945</v>
      </c>
      <c r="AY298" s="2" t="s">
        <v>3946</v>
      </c>
      <c r="AZ298" s="2" t="s">
        <v>3946</v>
      </c>
      <c r="BA298" s="2" t="s">
        <v>3947</v>
      </c>
      <c r="BB298" s="2" t="s">
        <v>20</v>
      </c>
      <c r="BD298" s="2" t="s">
        <v>3948</v>
      </c>
      <c r="BE298" s="2" t="s">
        <v>3949</v>
      </c>
      <c r="BF298" s="2" t="s">
        <v>3950</v>
      </c>
    </row>
    <row r="299" spans="1:58" ht="39.75" customHeight="1" x14ac:dyDescent="0.25">
      <c r="A299" s="7" t="s">
        <v>5</v>
      </c>
      <c r="B299" s="1" t="s">
        <v>0</v>
      </c>
      <c r="C299" s="1" t="s">
        <v>1</v>
      </c>
      <c r="D299" s="1" t="s">
        <v>3951</v>
      </c>
      <c r="E299" s="1" t="s">
        <v>3952</v>
      </c>
      <c r="F299" s="1" t="s">
        <v>3953</v>
      </c>
      <c r="H299" s="2" t="s">
        <v>5</v>
      </c>
      <c r="I299" s="2" t="s">
        <v>6</v>
      </c>
      <c r="J299" s="2" t="s">
        <v>5</v>
      </c>
      <c r="K299" s="2" t="s">
        <v>5</v>
      </c>
      <c r="L299" s="2" t="s">
        <v>7</v>
      </c>
      <c r="M299" s="1" t="s">
        <v>3954</v>
      </c>
      <c r="N299" s="1" t="s">
        <v>3955</v>
      </c>
      <c r="O299" s="2" t="s">
        <v>736</v>
      </c>
      <c r="Q299" s="2" t="s">
        <v>11</v>
      </c>
      <c r="R299" s="2" t="s">
        <v>28</v>
      </c>
      <c r="T299" s="2" t="s">
        <v>13</v>
      </c>
      <c r="U299" s="3">
        <v>1</v>
      </c>
      <c r="V299" s="3">
        <v>1</v>
      </c>
      <c r="W299" s="4" t="s">
        <v>3956</v>
      </c>
      <c r="X299" s="4" t="s">
        <v>3956</v>
      </c>
      <c r="Y299" s="4" t="s">
        <v>3957</v>
      </c>
      <c r="Z299" s="4" t="s">
        <v>3957</v>
      </c>
      <c r="AA299" s="3">
        <v>104</v>
      </c>
      <c r="AB299" s="3">
        <v>68</v>
      </c>
      <c r="AC299" s="3">
        <v>104</v>
      </c>
      <c r="AD299" s="3">
        <v>1</v>
      </c>
      <c r="AE299" s="9">
        <v>2</v>
      </c>
      <c r="AF299" s="9">
        <v>3</v>
      </c>
      <c r="AG299" s="9">
        <v>6</v>
      </c>
      <c r="AH299" s="3">
        <v>0</v>
      </c>
      <c r="AI299" s="3">
        <v>1</v>
      </c>
      <c r="AJ299" s="3">
        <v>2</v>
      </c>
      <c r="AK299" s="3">
        <v>3</v>
      </c>
      <c r="AL299" s="3">
        <v>2</v>
      </c>
      <c r="AM299" s="3">
        <v>2</v>
      </c>
      <c r="AN299" s="3">
        <v>0</v>
      </c>
      <c r="AO299" s="3">
        <v>1</v>
      </c>
      <c r="AP299" s="3">
        <v>0</v>
      </c>
      <c r="AQ299" s="3">
        <v>0</v>
      </c>
      <c r="AR299" s="2" t="s">
        <v>5</v>
      </c>
      <c r="AS299" s="2" t="s">
        <v>46</v>
      </c>
      <c r="AT299" s="5" t="str">
        <f>HYPERLINK("http://catalog.hathitrust.org/Record/002530597","HathiTrust Record")</f>
        <v>HathiTrust Record</v>
      </c>
      <c r="AU299" s="5" t="str">
        <f>HYPERLINK("https://creighton-primo.hosted.exlibrisgroup.com/primo-explore/search?tab=default_tab&amp;search_scope=EVERYTHING&amp;vid=01CRU&amp;lang=en_US&amp;offset=0&amp;query=any,contains,991001956439702656","Catalog Record")</f>
        <v>Catalog Record</v>
      </c>
      <c r="AV299" s="5" t="str">
        <f>HYPERLINK("http://www.worldcat.org/oclc/24785396","WorldCat Record")</f>
        <v>WorldCat Record</v>
      </c>
      <c r="AW299" s="2" t="s">
        <v>3958</v>
      </c>
      <c r="AX299" s="2" t="s">
        <v>3959</v>
      </c>
      <c r="AY299" s="2" t="s">
        <v>3960</v>
      </c>
      <c r="AZ299" s="2" t="s">
        <v>3960</v>
      </c>
      <c r="BA299" s="2" t="s">
        <v>3961</v>
      </c>
      <c r="BB299" s="2" t="s">
        <v>20</v>
      </c>
      <c r="BD299" s="2" t="s">
        <v>3962</v>
      </c>
      <c r="BE299" s="2" t="s">
        <v>3963</v>
      </c>
      <c r="BF299" s="2" t="s">
        <v>3964</v>
      </c>
    </row>
    <row r="300" spans="1:58" ht="39.75" customHeight="1" x14ac:dyDescent="0.25">
      <c r="A300" s="7" t="s">
        <v>5</v>
      </c>
      <c r="B300" s="1" t="s">
        <v>0</v>
      </c>
      <c r="C300" s="1" t="s">
        <v>1</v>
      </c>
      <c r="D300" s="1" t="s">
        <v>3965</v>
      </c>
      <c r="E300" s="1" t="s">
        <v>3966</v>
      </c>
      <c r="F300" s="1" t="s">
        <v>3967</v>
      </c>
      <c r="H300" s="2" t="s">
        <v>5</v>
      </c>
      <c r="I300" s="2" t="s">
        <v>6</v>
      </c>
      <c r="J300" s="2" t="s">
        <v>5</v>
      </c>
      <c r="K300" s="2" t="s">
        <v>5</v>
      </c>
      <c r="L300" s="2" t="s">
        <v>7</v>
      </c>
      <c r="M300" s="1" t="s">
        <v>3968</v>
      </c>
      <c r="N300" s="1" t="s">
        <v>3969</v>
      </c>
      <c r="O300" s="2" t="s">
        <v>42</v>
      </c>
      <c r="Q300" s="2" t="s">
        <v>60</v>
      </c>
      <c r="R300" s="2" t="s">
        <v>277</v>
      </c>
      <c r="T300" s="2" t="s">
        <v>13</v>
      </c>
      <c r="U300" s="3">
        <v>2</v>
      </c>
      <c r="V300" s="3">
        <v>2</v>
      </c>
      <c r="W300" s="4" t="s">
        <v>3970</v>
      </c>
      <c r="X300" s="4" t="s">
        <v>3970</v>
      </c>
      <c r="Y300" s="4" t="s">
        <v>3971</v>
      </c>
      <c r="Z300" s="4" t="s">
        <v>3971</v>
      </c>
      <c r="AA300" s="3">
        <v>843</v>
      </c>
      <c r="AB300" s="3">
        <v>727</v>
      </c>
      <c r="AC300" s="3">
        <v>751</v>
      </c>
      <c r="AD300" s="3">
        <v>4</v>
      </c>
      <c r="AE300" s="9">
        <v>4</v>
      </c>
      <c r="AF300" s="9">
        <v>32</v>
      </c>
      <c r="AG300" s="9">
        <v>33</v>
      </c>
      <c r="AH300" s="3">
        <v>12</v>
      </c>
      <c r="AI300" s="3">
        <v>12</v>
      </c>
      <c r="AJ300" s="3">
        <v>8</v>
      </c>
      <c r="AK300" s="3">
        <v>9</v>
      </c>
      <c r="AL300" s="3">
        <v>18</v>
      </c>
      <c r="AM300" s="3">
        <v>19</v>
      </c>
      <c r="AN300" s="3">
        <v>3</v>
      </c>
      <c r="AO300" s="3">
        <v>3</v>
      </c>
      <c r="AP300" s="3">
        <v>0</v>
      </c>
      <c r="AQ300" s="3">
        <v>0</v>
      </c>
      <c r="AR300" s="2" t="s">
        <v>5</v>
      </c>
      <c r="AS300" s="2" t="s">
        <v>46</v>
      </c>
      <c r="AT300" s="5" t="str">
        <f>HYPERLINK("http://catalog.hathitrust.org/Record/004514521","HathiTrust Record")</f>
        <v>HathiTrust Record</v>
      </c>
      <c r="AU300" s="5" t="str">
        <f>HYPERLINK("https://creighton-primo.hosted.exlibrisgroup.com/primo-explore/search?tab=default_tab&amp;search_scope=EVERYTHING&amp;vid=01CRU&amp;lang=en_US&amp;offset=0&amp;query=any,contains,991001604549702656","Catalog Record")</f>
        <v>Catalog Record</v>
      </c>
      <c r="AV300" s="5" t="str">
        <f>HYPERLINK("http://www.worldcat.org/oclc/20690705","WorldCat Record")</f>
        <v>WorldCat Record</v>
      </c>
      <c r="AW300" s="2" t="s">
        <v>3972</v>
      </c>
      <c r="AX300" s="2" t="s">
        <v>3973</v>
      </c>
      <c r="AY300" s="2" t="s">
        <v>3974</v>
      </c>
      <c r="AZ300" s="2" t="s">
        <v>3974</v>
      </c>
      <c r="BA300" s="2" t="s">
        <v>3975</v>
      </c>
      <c r="BB300" s="2" t="s">
        <v>20</v>
      </c>
      <c r="BD300" s="2" t="s">
        <v>3976</v>
      </c>
      <c r="BE300" s="2" t="s">
        <v>3977</v>
      </c>
      <c r="BF300" s="2" t="s">
        <v>3978</v>
      </c>
    </row>
    <row r="301" spans="1:58" ht="39.75" customHeight="1" x14ac:dyDescent="0.25">
      <c r="A301" s="7" t="s">
        <v>5</v>
      </c>
      <c r="B301" s="1" t="s">
        <v>0</v>
      </c>
      <c r="C301" s="1" t="s">
        <v>1</v>
      </c>
      <c r="D301" s="1" t="s">
        <v>3979</v>
      </c>
      <c r="E301" s="1" t="s">
        <v>3980</v>
      </c>
      <c r="F301" s="1" t="s">
        <v>3981</v>
      </c>
      <c r="G301" s="2" t="s">
        <v>101</v>
      </c>
      <c r="H301" s="2" t="s">
        <v>46</v>
      </c>
      <c r="I301" s="2" t="s">
        <v>6</v>
      </c>
      <c r="J301" s="2" t="s">
        <v>5</v>
      </c>
      <c r="K301" s="2" t="s">
        <v>5</v>
      </c>
      <c r="L301" s="2" t="s">
        <v>7</v>
      </c>
      <c r="M301" s="1" t="s">
        <v>1048</v>
      </c>
      <c r="N301" s="1" t="s">
        <v>3982</v>
      </c>
      <c r="O301" s="2" t="s">
        <v>901</v>
      </c>
      <c r="Q301" s="2" t="s">
        <v>60</v>
      </c>
      <c r="R301" s="2" t="s">
        <v>323</v>
      </c>
      <c r="T301" s="2" t="s">
        <v>13</v>
      </c>
      <c r="U301" s="3">
        <v>2</v>
      </c>
      <c r="V301" s="3">
        <v>4</v>
      </c>
      <c r="W301" s="4" t="s">
        <v>1746</v>
      </c>
      <c r="X301" s="4" t="s">
        <v>1746</v>
      </c>
      <c r="Y301" s="4" t="s">
        <v>3902</v>
      </c>
      <c r="Z301" s="4" t="s">
        <v>3902</v>
      </c>
      <c r="AA301" s="3">
        <v>772</v>
      </c>
      <c r="AB301" s="3">
        <v>660</v>
      </c>
      <c r="AC301" s="3">
        <v>703</v>
      </c>
      <c r="AD301" s="3">
        <v>8</v>
      </c>
      <c r="AE301" s="9">
        <v>8</v>
      </c>
      <c r="AF301" s="9">
        <v>41</v>
      </c>
      <c r="AG301" s="9">
        <v>43</v>
      </c>
      <c r="AH301" s="3">
        <v>14</v>
      </c>
      <c r="AI301" s="3">
        <v>16</v>
      </c>
      <c r="AJ301" s="3">
        <v>10</v>
      </c>
      <c r="AK301" s="3">
        <v>10</v>
      </c>
      <c r="AL301" s="3">
        <v>21</v>
      </c>
      <c r="AM301" s="3">
        <v>22</v>
      </c>
      <c r="AN301" s="3">
        <v>7</v>
      </c>
      <c r="AO301" s="3">
        <v>7</v>
      </c>
      <c r="AP301" s="3">
        <v>0</v>
      </c>
      <c r="AQ301" s="3">
        <v>0</v>
      </c>
      <c r="AR301" s="2" t="s">
        <v>46</v>
      </c>
      <c r="AS301" s="2" t="s">
        <v>5</v>
      </c>
      <c r="AT301" s="5" t="str">
        <f>HYPERLINK("http://catalog.hathitrust.org/Record/007122362","HathiTrust Record")</f>
        <v>HathiTrust Record</v>
      </c>
      <c r="AU301" s="5" t="str">
        <f>HYPERLINK("https://creighton-primo.hosted.exlibrisgroup.com/primo-explore/search?tab=default_tab&amp;search_scope=EVERYTHING&amp;vid=01CRU&amp;lang=en_US&amp;offset=0&amp;query=any,contains,991002423509702656","Catalog Record")</f>
        <v>Catalog Record</v>
      </c>
      <c r="AV301" s="5" t="str">
        <f>HYPERLINK("http://www.worldcat.org/oclc/343862","WorldCat Record")</f>
        <v>WorldCat Record</v>
      </c>
      <c r="AW301" s="2" t="s">
        <v>3983</v>
      </c>
      <c r="AX301" s="2" t="s">
        <v>3984</v>
      </c>
      <c r="AY301" s="2" t="s">
        <v>3985</v>
      </c>
      <c r="AZ301" s="2" t="s">
        <v>3985</v>
      </c>
      <c r="BA301" s="2" t="s">
        <v>3986</v>
      </c>
      <c r="BB301" s="2" t="s">
        <v>20</v>
      </c>
      <c r="BE301" s="2" t="s">
        <v>3987</v>
      </c>
      <c r="BF301" s="2" t="s">
        <v>3988</v>
      </c>
    </row>
    <row r="302" spans="1:58" ht="39.75" customHeight="1" x14ac:dyDescent="0.25">
      <c r="A302" s="7" t="s">
        <v>5</v>
      </c>
      <c r="B302" s="1" t="s">
        <v>0</v>
      </c>
      <c r="C302" s="1" t="s">
        <v>1</v>
      </c>
      <c r="D302" s="1" t="s">
        <v>3979</v>
      </c>
      <c r="E302" s="1" t="s">
        <v>3980</v>
      </c>
      <c r="F302" s="1" t="s">
        <v>3981</v>
      </c>
      <c r="G302" s="2" t="s">
        <v>73</v>
      </c>
      <c r="H302" s="2" t="s">
        <v>46</v>
      </c>
      <c r="I302" s="2" t="s">
        <v>6</v>
      </c>
      <c r="J302" s="2" t="s">
        <v>5</v>
      </c>
      <c r="K302" s="2" t="s">
        <v>5</v>
      </c>
      <c r="L302" s="2" t="s">
        <v>7</v>
      </c>
      <c r="M302" s="1" t="s">
        <v>1048</v>
      </c>
      <c r="N302" s="1" t="s">
        <v>3982</v>
      </c>
      <c r="O302" s="2" t="s">
        <v>901</v>
      </c>
      <c r="Q302" s="2" t="s">
        <v>60</v>
      </c>
      <c r="R302" s="2" t="s">
        <v>323</v>
      </c>
      <c r="T302" s="2" t="s">
        <v>13</v>
      </c>
      <c r="U302" s="3">
        <v>2</v>
      </c>
      <c r="V302" s="3">
        <v>4</v>
      </c>
      <c r="W302" s="4" t="s">
        <v>1746</v>
      </c>
      <c r="X302" s="4" t="s">
        <v>1746</v>
      </c>
      <c r="Y302" s="4" t="s">
        <v>3902</v>
      </c>
      <c r="Z302" s="4" t="s">
        <v>3902</v>
      </c>
      <c r="AA302" s="3">
        <v>772</v>
      </c>
      <c r="AB302" s="3">
        <v>660</v>
      </c>
      <c r="AC302" s="3">
        <v>703</v>
      </c>
      <c r="AD302" s="3">
        <v>8</v>
      </c>
      <c r="AE302" s="9">
        <v>8</v>
      </c>
      <c r="AF302" s="9">
        <v>41</v>
      </c>
      <c r="AG302" s="9">
        <v>43</v>
      </c>
      <c r="AH302" s="3">
        <v>14</v>
      </c>
      <c r="AI302" s="3">
        <v>16</v>
      </c>
      <c r="AJ302" s="3">
        <v>10</v>
      </c>
      <c r="AK302" s="3">
        <v>10</v>
      </c>
      <c r="AL302" s="3">
        <v>21</v>
      </c>
      <c r="AM302" s="3">
        <v>22</v>
      </c>
      <c r="AN302" s="3">
        <v>7</v>
      </c>
      <c r="AO302" s="3">
        <v>7</v>
      </c>
      <c r="AP302" s="3">
        <v>0</v>
      </c>
      <c r="AQ302" s="3">
        <v>0</v>
      </c>
      <c r="AR302" s="2" t="s">
        <v>46</v>
      </c>
      <c r="AS302" s="2" t="s">
        <v>5</v>
      </c>
      <c r="AT302" s="5" t="str">
        <f>HYPERLINK("http://catalog.hathitrust.org/Record/007122362","HathiTrust Record")</f>
        <v>HathiTrust Record</v>
      </c>
      <c r="AU302" s="5" t="str">
        <f>HYPERLINK("https://creighton-primo.hosted.exlibrisgroup.com/primo-explore/search?tab=default_tab&amp;search_scope=EVERYTHING&amp;vid=01CRU&amp;lang=en_US&amp;offset=0&amp;query=any,contains,991002423509702656","Catalog Record")</f>
        <v>Catalog Record</v>
      </c>
      <c r="AV302" s="5" t="str">
        <f>HYPERLINK("http://www.worldcat.org/oclc/343862","WorldCat Record")</f>
        <v>WorldCat Record</v>
      </c>
      <c r="AW302" s="2" t="s">
        <v>3983</v>
      </c>
      <c r="AX302" s="2" t="s">
        <v>3984</v>
      </c>
      <c r="AY302" s="2" t="s">
        <v>3985</v>
      </c>
      <c r="AZ302" s="2" t="s">
        <v>3985</v>
      </c>
      <c r="BA302" s="2" t="s">
        <v>3986</v>
      </c>
      <c r="BB302" s="2" t="s">
        <v>20</v>
      </c>
      <c r="BE302" s="2" t="s">
        <v>3989</v>
      </c>
      <c r="BF302" s="2" t="s">
        <v>3990</v>
      </c>
    </row>
    <row r="303" spans="1:58" ht="39.75" customHeight="1" x14ac:dyDescent="0.25">
      <c r="A303" s="7" t="s">
        <v>5</v>
      </c>
      <c r="B303" s="1" t="s">
        <v>0</v>
      </c>
      <c r="C303" s="1" t="s">
        <v>1</v>
      </c>
      <c r="D303" s="1" t="s">
        <v>3991</v>
      </c>
      <c r="E303" s="1" t="s">
        <v>3992</v>
      </c>
      <c r="F303" s="1" t="s">
        <v>3993</v>
      </c>
      <c r="H303" s="2" t="s">
        <v>5</v>
      </c>
      <c r="I303" s="2" t="s">
        <v>6</v>
      </c>
      <c r="J303" s="2" t="s">
        <v>5</v>
      </c>
      <c r="K303" s="2" t="s">
        <v>5</v>
      </c>
      <c r="L303" s="2" t="s">
        <v>7</v>
      </c>
      <c r="M303" s="1" t="s">
        <v>3994</v>
      </c>
      <c r="N303" s="1" t="s">
        <v>3995</v>
      </c>
      <c r="O303" s="2" t="s">
        <v>508</v>
      </c>
      <c r="Q303" s="2" t="s">
        <v>60</v>
      </c>
      <c r="R303" s="2" t="s">
        <v>3996</v>
      </c>
      <c r="T303" s="2" t="s">
        <v>13</v>
      </c>
      <c r="U303" s="3">
        <v>1</v>
      </c>
      <c r="V303" s="3">
        <v>1</v>
      </c>
      <c r="W303" s="4" t="s">
        <v>3819</v>
      </c>
      <c r="X303" s="4" t="s">
        <v>3819</v>
      </c>
      <c r="Y303" s="4" t="s">
        <v>3997</v>
      </c>
      <c r="Z303" s="4" t="s">
        <v>3997</v>
      </c>
      <c r="AA303" s="3">
        <v>220</v>
      </c>
      <c r="AB303" s="3">
        <v>185</v>
      </c>
      <c r="AC303" s="3">
        <v>185</v>
      </c>
      <c r="AD303" s="3">
        <v>3</v>
      </c>
      <c r="AE303" s="9">
        <v>3</v>
      </c>
      <c r="AF303" s="9">
        <v>12</v>
      </c>
      <c r="AG303" s="9">
        <v>12</v>
      </c>
      <c r="AH303" s="3">
        <v>2</v>
      </c>
      <c r="AI303" s="3">
        <v>2</v>
      </c>
      <c r="AJ303" s="3">
        <v>5</v>
      </c>
      <c r="AK303" s="3">
        <v>5</v>
      </c>
      <c r="AL303" s="3">
        <v>7</v>
      </c>
      <c r="AM303" s="3">
        <v>7</v>
      </c>
      <c r="AN303" s="3">
        <v>2</v>
      </c>
      <c r="AO303" s="3">
        <v>2</v>
      </c>
      <c r="AP303" s="3">
        <v>0</v>
      </c>
      <c r="AQ303" s="3">
        <v>0</v>
      </c>
      <c r="AR303" s="2" t="s">
        <v>5</v>
      </c>
      <c r="AS303" s="2" t="s">
        <v>5</v>
      </c>
      <c r="AU303" s="5" t="str">
        <f>HYPERLINK("https://creighton-primo.hosted.exlibrisgroup.com/primo-explore/search?tab=default_tab&amp;search_scope=EVERYTHING&amp;vid=01CRU&amp;lang=en_US&amp;offset=0&amp;query=any,contains,991003792019702656","Catalog Record")</f>
        <v>Catalog Record</v>
      </c>
      <c r="AV303" s="5" t="str">
        <f>HYPERLINK("http://www.worldcat.org/oclc/44972210","WorldCat Record")</f>
        <v>WorldCat Record</v>
      </c>
      <c r="AW303" s="2" t="s">
        <v>3998</v>
      </c>
      <c r="AX303" s="2" t="s">
        <v>3999</v>
      </c>
      <c r="AY303" s="2" t="s">
        <v>4000</v>
      </c>
      <c r="AZ303" s="2" t="s">
        <v>4000</v>
      </c>
      <c r="BA303" s="2" t="s">
        <v>4001</v>
      </c>
      <c r="BB303" s="2" t="s">
        <v>20</v>
      </c>
      <c r="BD303" s="2" t="s">
        <v>4002</v>
      </c>
      <c r="BE303" s="2" t="s">
        <v>4003</v>
      </c>
      <c r="BF303" s="2" t="s">
        <v>4004</v>
      </c>
    </row>
    <row r="304" spans="1:58" ht="39.75" customHeight="1" x14ac:dyDescent="0.25">
      <c r="A304" s="7" t="s">
        <v>5</v>
      </c>
      <c r="B304" s="1" t="s">
        <v>0</v>
      </c>
      <c r="C304" s="1" t="s">
        <v>1</v>
      </c>
      <c r="D304" s="1" t="s">
        <v>4005</v>
      </c>
      <c r="E304" s="1" t="s">
        <v>4006</v>
      </c>
      <c r="F304" s="1" t="s">
        <v>4007</v>
      </c>
      <c r="G304" s="2" t="s">
        <v>73</v>
      </c>
      <c r="H304" s="2" t="s">
        <v>46</v>
      </c>
      <c r="I304" s="2" t="s">
        <v>6</v>
      </c>
      <c r="J304" s="2" t="s">
        <v>5</v>
      </c>
      <c r="K304" s="2" t="s">
        <v>5</v>
      </c>
      <c r="L304" s="2" t="s">
        <v>7</v>
      </c>
      <c r="M304" s="1" t="s">
        <v>4008</v>
      </c>
      <c r="N304" s="1" t="s">
        <v>4009</v>
      </c>
      <c r="O304" s="2" t="s">
        <v>148</v>
      </c>
      <c r="Q304" s="2" t="s">
        <v>4010</v>
      </c>
      <c r="R304" s="2" t="s">
        <v>4011</v>
      </c>
      <c r="S304" s="1" t="s">
        <v>4012</v>
      </c>
      <c r="T304" s="2" t="s">
        <v>13</v>
      </c>
      <c r="U304" s="3">
        <v>5</v>
      </c>
      <c r="V304" s="3">
        <v>15</v>
      </c>
      <c r="W304" s="4" t="s">
        <v>4013</v>
      </c>
      <c r="X304" s="4" t="s">
        <v>4013</v>
      </c>
      <c r="Y304" s="4" t="s">
        <v>4014</v>
      </c>
      <c r="Z304" s="4" t="s">
        <v>4014</v>
      </c>
      <c r="AA304" s="3">
        <v>126</v>
      </c>
      <c r="AB304" s="3">
        <v>93</v>
      </c>
      <c r="AC304" s="3">
        <v>96</v>
      </c>
      <c r="AD304" s="3">
        <v>1</v>
      </c>
      <c r="AE304" s="9">
        <v>1</v>
      </c>
      <c r="AF304" s="9">
        <v>3</v>
      </c>
      <c r="AG304" s="9">
        <v>3</v>
      </c>
      <c r="AH304" s="3">
        <v>1</v>
      </c>
      <c r="AI304" s="3">
        <v>1</v>
      </c>
      <c r="AJ304" s="3">
        <v>1</v>
      </c>
      <c r="AK304" s="3">
        <v>1</v>
      </c>
      <c r="AL304" s="3">
        <v>2</v>
      </c>
      <c r="AM304" s="3">
        <v>2</v>
      </c>
      <c r="AN304" s="3">
        <v>0</v>
      </c>
      <c r="AO304" s="3">
        <v>0</v>
      </c>
      <c r="AP304" s="3">
        <v>0</v>
      </c>
      <c r="AQ304" s="3">
        <v>0</v>
      </c>
      <c r="AR304" s="2" t="s">
        <v>5</v>
      </c>
      <c r="AS304" s="2" t="s">
        <v>46</v>
      </c>
      <c r="AT304" s="5" t="str">
        <f>HYPERLINK("http://catalog.hathitrust.org/Record/001226684","HathiTrust Record")</f>
        <v>HathiTrust Record</v>
      </c>
      <c r="AU304" s="5" t="str">
        <f>HYPERLINK("https://creighton-primo.hosted.exlibrisgroup.com/primo-explore/search?tab=default_tab&amp;search_scope=EVERYTHING&amp;vid=01CRU&amp;lang=en_US&amp;offset=0&amp;query=any,contains,991003460279702656","Catalog Record")</f>
        <v>Catalog Record</v>
      </c>
      <c r="AV304" s="5" t="str">
        <f>HYPERLINK("http://www.worldcat.org/oclc/1001370","WorldCat Record")</f>
        <v>WorldCat Record</v>
      </c>
      <c r="AW304" s="2" t="s">
        <v>4015</v>
      </c>
      <c r="AX304" s="2" t="s">
        <v>4016</v>
      </c>
      <c r="AY304" s="2" t="s">
        <v>4017</v>
      </c>
      <c r="AZ304" s="2" t="s">
        <v>4017</v>
      </c>
      <c r="BA304" s="2" t="s">
        <v>4018</v>
      </c>
      <c r="BB304" s="2" t="s">
        <v>20</v>
      </c>
      <c r="BE304" s="2" t="s">
        <v>4019</v>
      </c>
      <c r="BF304" s="2" t="s">
        <v>4020</v>
      </c>
    </row>
    <row r="305" spans="1:58" ht="39.75" customHeight="1" x14ac:dyDescent="0.25">
      <c r="A305" s="7" t="s">
        <v>5</v>
      </c>
      <c r="B305" s="1" t="s">
        <v>0</v>
      </c>
      <c r="C305" s="1" t="s">
        <v>1</v>
      </c>
      <c r="D305" s="1" t="s">
        <v>4005</v>
      </c>
      <c r="E305" s="1" t="s">
        <v>4006</v>
      </c>
      <c r="F305" s="1" t="s">
        <v>4007</v>
      </c>
      <c r="G305" s="2" t="s">
        <v>4021</v>
      </c>
      <c r="H305" s="2" t="s">
        <v>46</v>
      </c>
      <c r="I305" s="2" t="s">
        <v>6</v>
      </c>
      <c r="J305" s="2" t="s">
        <v>5</v>
      </c>
      <c r="K305" s="2" t="s">
        <v>5</v>
      </c>
      <c r="L305" s="2" t="s">
        <v>7</v>
      </c>
      <c r="M305" s="1" t="s">
        <v>4008</v>
      </c>
      <c r="N305" s="1" t="s">
        <v>4009</v>
      </c>
      <c r="O305" s="2" t="s">
        <v>148</v>
      </c>
      <c r="Q305" s="2" t="s">
        <v>4010</v>
      </c>
      <c r="R305" s="2" t="s">
        <v>4011</v>
      </c>
      <c r="S305" s="1" t="s">
        <v>4012</v>
      </c>
      <c r="T305" s="2" t="s">
        <v>13</v>
      </c>
      <c r="U305" s="3">
        <v>5</v>
      </c>
      <c r="V305" s="3">
        <v>15</v>
      </c>
      <c r="W305" s="4" t="s">
        <v>4013</v>
      </c>
      <c r="X305" s="4" t="s">
        <v>4013</v>
      </c>
      <c r="Y305" s="4" t="s">
        <v>4014</v>
      </c>
      <c r="Z305" s="4" t="s">
        <v>4014</v>
      </c>
      <c r="AA305" s="3">
        <v>126</v>
      </c>
      <c r="AB305" s="3">
        <v>93</v>
      </c>
      <c r="AC305" s="3">
        <v>96</v>
      </c>
      <c r="AD305" s="3">
        <v>1</v>
      </c>
      <c r="AE305" s="9">
        <v>1</v>
      </c>
      <c r="AF305" s="9">
        <v>3</v>
      </c>
      <c r="AG305" s="9">
        <v>3</v>
      </c>
      <c r="AH305" s="3">
        <v>1</v>
      </c>
      <c r="AI305" s="3">
        <v>1</v>
      </c>
      <c r="AJ305" s="3">
        <v>1</v>
      </c>
      <c r="AK305" s="3">
        <v>1</v>
      </c>
      <c r="AL305" s="3">
        <v>2</v>
      </c>
      <c r="AM305" s="3">
        <v>2</v>
      </c>
      <c r="AN305" s="3">
        <v>0</v>
      </c>
      <c r="AO305" s="3">
        <v>0</v>
      </c>
      <c r="AP305" s="3">
        <v>0</v>
      </c>
      <c r="AQ305" s="3">
        <v>0</v>
      </c>
      <c r="AR305" s="2" t="s">
        <v>5</v>
      </c>
      <c r="AS305" s="2" t="s">
        <v>46</v>
      </c>
      <c r="AT305" s="5" t="str">
        <f>HYPERLINK("http://catalog.hathitrust.org/Record/001226684","HathiTrust Record")</f>
        <v>HathiTrust Record</v>
      </c>
      <c r="AU305" s="5" t="str">
        <f>HYPERLINK("https://creighton-primo.hosted.exlibrisgroup.com/primo-explore/search?tab=default_tab&amp;search_scope=EVERYTHING&amp;vid=01CRU&amp;lang=en_US&amp;offset=0&amp;query=any,contains,991003460279702656","Catalog Record")</f>
        <v>Catalog Record</v>
      </c>
      <c r="AV305" s="5" t="str">
        <f>HYPERLINK("http://www.worldcat.org/oclc/1001370","WorldCat Record")</f>
        <v>WorldCat Record</v>
      </c>
      <c r="AW305" s="2" t="s">
        <v>4015</v>
      </c>
      <c r="AX305" s="2" t="s">
        <v>4016</v>
      </c>
      <c r="AY305" s="2" t="s">
        <v>4017</v>
      </c>
      <c r="AZ305" s="2" t="s">
        <v>4017</v>
      </c>
      <c r="BA305" s="2" t="s">
        <v>4018</v>
      </c>
      <c r="BB305" s="2" t="s">
        <v>20</v>
      </c>
      <c r="BE305" s="2" t="s">
        <v>4022</v>
      </c>
      <c r="BF305" s="2" t="s">
        <v>4023</v>
      </c>
    </row>
    <row r="306" spans="1:58" ht="39.75" customHeight="1" x14ac:dyDescent="0.25">
      <c r="A306" s="7" t="s">
        <v>5</v>
      </c>
      <c r="B306" s="1" t="s">
        <v>0</v>
      </c>
      <c r="C306" s="1" t="s">
        <v>1</v>
      </c>
      <c r="D306" s="1" t="s">
        <v>4005</v>
      </c>
      <c r="E306" s="1" t="s">
        <v>4006</v>
      </c>
      <c r="F306" s="1" t="s">
        <v>4007</v>
      </c>
      <c r="G306" s="2" t="s">
        <v>101</v>
      </c>
      <c r="H306" s="2" t="s">
        <v>46</v>
      </c>
      <c r="I306" s="2" t="s">
        <v>6</v>
      </c>
      <c r="J306" s="2" t="s">
        <v>5</v>
      </c>
      <c r="K306" s="2" t="s">
        <v>5</v>
      </c>
      <c r="L306" s="2" t="s">
        <v>7</v>
      </c>
      <c r="M306" s="1" t="s">
        <v>4008</v>
      </c>
      <c r="N306" s="1" t="s">
        <v>4009</v>
      </c>
      <c r="O306" s="2" t="s">
        <v>148</v>
      </c>
      <c r="Q306" s="2" t="s">
        <v>4010</v>
      </c>
      <c r="R306" s="2" t="s">
        <v>4011</v>
      </c>
      <c r="S306" s="1" t="s">
        <v>4012</v>
      </c>
      <c r="T306" s="2" t="s">
        <v>13</v>
      </c>
      <c r="U306" s="3">
        <v>5</v>
      </c>
      <c r="V306" s="3">
        <v>15</v>
      </c>
      <c r="W306" s="4" t="s">
        <v>4013</v>
      </c>
      <c r="X306" s="4" t="s">
        <v>4013</v>
      </c>
      <c r="Y306" s="4" t="s">
        <v>4014</v>
      </c>
      <c r="Z306" s="4" t="s">
        <v>4014</v>
      </c>
      <c r="AA306" s="3">
        <v>126</v>
      </c>
      <c r="AB306" s="3">
        <v>93</v>
      </c>
      <c r="AC306" s="3">
        <v>96</v>
      </c>
      <c r="AD306" s="3">
        <v>1</v>
      </c>
      <c r="AE306" s="9">
        <v>1</v>
      </c>
      <c r="AF306" s="9">
        <v>3</v>
      </c>
      <c r="AG306" s="9">
        <v>3</v>
      </c>
      <c r="AH306" s="3">
        <v>1</v>
      </c>
      <c r="AI306" s="3">
        <v>1</v>
      </c>
      <c r="AJ306" s="3">
        <v>1</v>
      </c>
      <c r="AK306" s="3">
        <v>1</v>
      </c>
      <c r="AL306" s="3">
        <v>2</v>
      </c>
      <c r="AM306" s="3">
        <v>2</v>
      </c>
      <c r="AN306" s="3">
        <v>0</v>
      </c>
      <c r="AO306" s="3">
        <v>0</v>
      </c>
      <c r="AP306" s="3">
        <v>0</v>
      </c>
      <c r="AQ306" s="3">
        <v>0</v>
      </c>
      <c r="AR306" s="2" t="s">
        <v>5</v>
      </c>
      <c r="AS306" s="2" t="s">
        <v>46</v>
      </c>
      <c r="AT306" s="5" t="str">
        <f>HYPERLINK("http://catalog.hathitrust.org/Record/001226684","HathiTrust Record")</f>
        <v>HathiTrust Record</v>
      </c>
      <c r="AU306" s="5" t="str">
        <f>HYPERLINK("https://creighton-primo.hosted.exlibrisgroup.com/primo-explore/search?tab=default_tab&amp;search_scope=EVERYTHING&amp;vid=01CRU&amp;lang=en_US&amp;offset=0&amp;query=any,contains,991003460279702656","Catalog Record")</f>
        <v>Catalog Record</v>
      </c>
      <c r="AV306" s="5" t="str">
        <f>HYPERLINK("http://www.worldcat.org/oclc/1001370","WorldCat Record")</f>
        <v>WorldCat Record</v>
      </c>
      <c r="AW306" s="2" t="s">
        <v>4015</v>
      </c>
      <c r="AX306" s="2" t="s">
        <v>4016</v>
      </c>
      <c r="AY306" s="2" t="s">
        <v>4017</v>
      </c>
      <c r="AZ306" s="2" t="s">
        <v>4017</v>
      </c>
      <c r="BA306" s="2" t="s">
        <v>4018</v>
      </c>
      <c r="BB306" s="2" t="s">
        <v>20</v>
      </c>
      <c r="BE306" s="2" t="s">
        <v>4024</v>
      </c>
      <c r="BF306" s="2" t="s">
        <v>4025</v>
      </c>
    </row>
    <row r="307" spans="1:58" ht="39.75" customHeight="1" x14ac:dyDescent="0.25">
      <c r="A307" s="7" t="s">
        <v>5</v>
      </c>
      <c r="B307" s="1" t="s">
        <v>0</v>
      </c>
      <c r="C307" s="1" t="s">
        <v>1</v>
      </c>
      <c r="D307" s="1" t="s">
        <v>4026</v>
      </c>
      <c r="E307" s="1" t="s">
        <v>4027</v>
      </c>
      <c r="F307" s="1" t="s">
        <v>4028</v>
      </c>
      <c r="H307" s="2" t="s">
        <v>5</v>
      </c>
      <c r="I307" s="2" t="s">
        <v>6</v>
      </c>
      <c r="J307" s="2" t="s">
        <v>5</v>
      </c>
      <c r="K307" s="2" t="s">
        <v>5</v>
      </c>
      <c r="L307" s="2" t="s">
        <v>7</v>
      </c>
      <c r="M307" s="1" t="s">
        <v>4029</v>
      </c>
      <c r="N307" s="1" t="s">
        <v>4030</v>
      </c>
      <c r="O307" s="2" t="s">
        <v>508</v>
      </c>
      <c r="Q307" s="2" t="s">
        <v>60</v>
      </c>
      <c r="R307" s="2" t="s">
        <v>323</v>
      </c>
      <c r="T307" s="2" t="s">
        <v>13</v>
      </c>
      <c r="U307" s="3">
        <v>1</v>
      </c>
      <c r="V307" s="3">
        <v>1</v>
      </c>
      <c r="W307" s="4" t="s">
        <v>4031</v>
      </c>
      <c r="X307" s="4" t="s">
        <v>4031</v>
      </c>
      <c r="Y307" s="4" t="s">
        <v>4032</v>
      </c>
      <c r="Z307" s="4" t="s">
        <v>4032</v>
      </c>
      <c r="AA307" s="3">
        <v>346</v>
      </c>
      <c r="AB307" s="3">
        <v>284</v>
      </c>
      <c r="AC307" s="3">
        <v>284</v>
      </c>
      <c r="AD307" s="3">
        <v>3</v>
      </c>
      <c r="AE307" s="9">
        <v>3</v>
      </c>
      <c r="AF307" s="9">
        <v>18</v>
      </c>
      <c r="AG307" s="9">
        <v>18</v>
      </c>
      <c r="AH307" s="3">
        <v>9</v>
      </c>
      <c r="AI307" s="3">
        <v>9</v>
      </c>
      <c r="AJ307" s="3">
        <v>5</v>
      </c>
      <c r="AK307" s="3">
        <v>5</v>
      </c>
      <c r="AL307" s="3">
        <v>10</v>
      </c>
      <c r="AM307" s="3">
        <v>10</v>
      </c>
      <c r="AN307" s="3">
        <v>2</v>
      </c>
      <c r="AO307" s="3">
        <v>2</v>
      </c>
      <c r="AP307" s="3">
        <v>0</v>
      </c>
      <c r="AQ307" s="3">
        <v>0</v>
      </c>
      <c r="AR307" s="2" t="s">
        <v>5</v>
      </c>
      <c r="AS307" s="2" t="s">
        <v>5</v>
      </c>
      <c r="AU307" s="5" t="str">
        <f>HYPERLINK("https://creighton-primo.hosted.exlibrisgroup.com/primo-explore/search?tab=default_tab&amp;search_scope=EVERYTHING&amp;vid=01CRU&amp;lang=en_US&amp;offset=0&amp;query=any,contains,991003824369702656","Catalog Record")</f>
        <v>Catalog Record</v>
      </c>
      <c r="AV307" s="5" t="str">
        <f>HYPERLINK("http://www.worldcat.org/oclc/43913115","WorldCat Record")</f>
        <v>WorldCat Record</v>
      </c>
      <c r="AW307" s="2" t="s">
        <v>4033</v>
      </c>
      <c r="AX307" s="2" t="s">
        <v>4034</v>
      </c>
      <c r="AY307" s="2" t="s">
        <v>4035</v>
      </c>
      <c r="AZ307" s="2" t="s">
        <v>4035</v>
      </c>
      <c r="BA307" s="2" t="s">
        <v>4036</v>
      </c>
      <c r="BB307" s="2" t="s">
        <v>20</v>
      </c>
      <c r="BD307" s="2" t="s">
        <v>4037</v>
      </c>
      <c r="BE307" s="2" t="s">
        <v>4038</v>
      </c>
      <c r="BF307" s="2" t="s">
        <v>4039</v>
      </c>
    </row>
    <row r="308" spans="1:58" ht="39.75" customHeight="1" x14ac:dyDescent="0.25">
      <c r="A308" s="7" t="s">
        <v>5</v>
      </c>
      <c r="B308" s="1" t="s">
        <v>0</v>
      </c>
      <c r="C308" s="1" t="s">
        <v>1</v>
      </c>
      <c r="D308" s="1" t="s">
        <v>4040</v>
      </c>
      <c r="E308" s="1" t="s">
        <v>4041</v>
      </c>
      <c r="F308" s="1" t="s">
        <v>4042</v>
      </c>
      <c r="H308" s="2" t="s">
        <v>5</v>
      </c>
      <c r="I308" s="2" t="s">
        <v>6</v>
      </c>
      <c r="J308" s="2" t="s">
        <v>5</v>
      </c>
      <c r="K308" s="2" t="s">
        <v>5</v>
      </c>
      <c r="L308" s="2" t="s">
        <v>7</v>
      </c>
      <c r="M308" s="1" t="s">
        <v>4043</v>
      </c>
      <c r="N308" s="1" t="s">
        <v>4044</v>
      </c>
      <c r="O308" s="2" t="s">
        <v>108</v>
      </c>
      <c r="Q308" s="2" t="s">
        <v>11</v>
      </c>
      <c r="R308" s="2" t="s">
        <v>234</v>
      </c>
      <c r="S308" s="1" t="s">
        <v>4045</v>
      </c>
      <c r="T308" s="2" t="s">
        <v>13</v>
      </c>
      <c r="U308" s="3">
        <v>2</v>
      </c>
      <c r="V308" s="3">
        <v>2</v>
      </c>
      <c r="W308" s="4" t="s">
        <v>3777</v>
      </c>
      <c r="X308" s="4" t="s">
        <v>3777</v>
      </c>
      <c r="Y308" s="4" t="s">
        <v>122</v>
      </c>
      <c r="Z308" s="4" t="s">
        <v>122</v>
      </c>
      <c r="AA308" s="3">
        <v>117</v>
      </c>
      <c r="AB308" s="3">
        <v>61</v>
      </c>
      <c r="AC308" s="3">
        <v>133</v>
      </c>
      <c r="AD308" s="3">
        <v>1</v>
      </c>
      <c r="AE308" s="9">
        <v>2</v>
      </c>
      <c r="AF308" s="9">
        <v>2</v>
      </c>
      <c r="AG308" s="9">
        <v>6</v>
      </c>
      <c r="AH308" s="3">
        <v>1</v>
      </c>
      <c r="AI308" s="3">
        <v>1</v>
      </c>
      <c r="AJ308" s="3">
        <v>0</v>
      </c>
      <c r="AK308" s="3">
        <v>2</v>
      </c>
      <c r="AL308" s="3">
        <v>2</v>
      </c>
      <c r="AM308" s="3">
        <v>4</v>
      </c>
      <c r="AN308" s="3">
        <v>0</v>
      </c>
      <c r="AO308" s="3">
        <v>1</v>
      </c>
      <c r="AP308" s="3">
        <v>0</v>
      </c>
      <c r="AQ308" s="3">
        <v>0</v>
      </c>
      <c r="AR308" s="2" t="s">
        <v>5</v>
      </c>
      <c r="AS308" s="2" t="s">
        <v>46</v>
      </c>
      <c r="AT308" s="5" t="str">
        <f>HYPERLINK("http://catalog.hathitrust.org/Record/102074511","HathiTrust Record")</f>
        <v>HathiTrust Record</v>
      </c>
      <c r="AU308" s="5" t="str">
        <f>HYPERLINK("https://creighton-primo.hosted.exlibrisgroup.com/primo-explore/search?tab=default_tab&amp;search_scope=EVERYTHING&amp;vid=01CRU&amp;lang=en_US&amp;offset=0&amp;query=any,contains,991003285549702656","Catalog Record")</f>
        <v>Catalog Record</v>
      </c>
      <c r="AV308" s="5" t="str">
        <f>HYPERLINK("http://www.worldcat.org/oclc/807393","WorldCat Record")</f>
        <v>WorldCat Record</v>
      </c>
      <c r="AW308" s="2" t="s">
        <v>4046</v>
      </c>
      <c r="AX308" s="2" t="s">
        <v>4047</v>
      </c>
      <c r="AY308" s="2" t="s">
        <v>4048</v>
      </c>
      <c r="AZ308" s="2" t="s">
        <v>4048</v>
      </c>
      <c r="BA308" s="2" t="s">
        <v>4049</v>
      </c>
      <c r="BB308" s="2" t="s">
        <v>20</v>
      </c>
      <c r="BE308" s="2" t="s">
        <v>4050</v>
      </c>
      <c r="BF308" s="2" t="s">
        <v>4051</v>
      </c>
    </row>
    <row r="309" spans="1:58" ht="39.75" customHeight="1" x14ac:dyDescent="0.25">
      <c r="A309" s="7" t="s">
        <v>5</v>
      </c>
      <c r="B309" s="1" t="s">
        <v>0</v>
      </c>
      <c r="C309" s="1" t="s">
        <v>1</v>
      </c>
      <c r="D309" s="1" t="s">
        <v>4052</v>
      </c>
      <c r="E309" s="1" t="s">
        <v>4053</v>
      </c>
      <c r="F309" s="1" t="s">
        <v>4054</v>
      </c>
      <c r="H309" s="2" t="s">
        <v>5</v>
      </c>
      <c r="I309" s="2" t="s">
        <v>6</v>
      </c>
      <c r="J309" s="2" t="s">
        <v>5</v>
      </c>
      <c r="K309" s="2" t="s">
        <v>5</v>
      </c>
      <c r="L309" s="2" t="s">
        <v>7</v>
      </c>
      <c r="M309" s="1" t="s">
        <v>4055</v>
      </c>
      <c r="N309" s="1" t="s">
        <v>4056</v>
      </c>
      <c r="O309" s="2" t="s">
        <v>322</v>
      </c>
      <c r="Q309" s="2" t="s">
        <v>11</v>
      </c>
      <c r="R309" s="2" t="s">
        <v>28</v>
      </c>
      <c r="T309" s="2" t="s">
        <v>13</v>
      </c>
      <c r="U309" s="3">
        <v>2</v>
      </c>
      <c r="V309" s="3">
        <v>2</v>
      </c>
      <c r="W309" s="4" t="s">
        <v>92</v>
      </c>
      <c r="X309" s="4" t="s">
        <v>92</v>
      </c>
      <c r="Y309" s="4" t="s">
        <v>4057</v>
      </c>
      <c r="Z309" s="4" t="s">
        <v>4057</v>
      </c>
      <c r="AA309" s="3">
        <v>56</v>
      </c>
      <c r="AB309" s="3">
        <v>29</v>
      </c>
      <c r="AC309" s="3">
        <v>29</v>
      </c>
      <c r="AD309" s="3">
        <v>1</v>
      </c>
      <c r="AE309" s="9">
        <v>1</v>
      </c>
      <c r="AF309" s="9">
        <v>2</v>
      </c>
      <c r="AG309" s="9">
        <v>2</v>
      </c>
      <c r="AH309" s="3">
        <v>1</v>
      </c>
      <c r="AI309" s="3">
        <v>1</v>
      </c>
      <c r="AJ309" s="3">
        <v>0</v>
      </c>
      <c r="AK309" s="3">
        <v>0</v>
      </c>
      <c r="AL309" s="3">
        <v>1</v>
      </c>
      <c r="AM309" s="3">
        <v>1</v>
      </c>
      <c r="AN309" s="3">
        <v>0</v>
      </c>
      <c r="AO309" s="3">
        <v>0</v>
      </c>
      <c r="AP309" s="3">
        <v>0</v>
      </c>
      <c r="AQ309" s="3">
        <v>0</v>
      </c>
      <c r="AR309" s="2" t="s">
        <v>5</v>
      </c>
      <c r="AS309" s="2" t="s">
        <v>5</v>
      </c>
      <c r="AU309" s="5" t="str">
        <f>HYPERLINK("https://creighton-primo.hosted.exlibrisgroup.com/primo-explore/search?tab=default_tab&amp;search_scope=EVERYTHING&amp;vid=01CRU&amp;lang=en_US&amp;offset=0&amp;query=any,contains,991002235729702656","Catalog Record")</f>
        <v>Catalog Record</v>
      </c>
      <c r="AV309" s="5" t="str">
        <f>HYPERLINK("http://www.worldcat.org/oclc/28829934","WorldCat Record")</f>
        <v>WorldCat Record</v>
      </c>
      <c r="AW309" s="2" t="s">
        <v>4058</v>
      </c>
      <c r="AX309" s="2" t="s">
        <v>4059</v>
      </c>
      <c r="AY309" s="2" t="s">
        <v>4060</v>
      </c>
      <c r="AZ309" s="2" t="s">
        <v>4060</v>
      </c>
      <c r="BA309" s="2" t="s">
        <v>4061</v>
      </c>
      <c r="BB309" s="2" t="s">
        <v>20</v>
      </c>
      <c r="BD309" s="2" t="s">
        <v>4062</v>
      </c>
      <c r="BE309" s="2" t="s">
        <v>4063</v>
      </c>
      <c r="BF309" s="2" t="s">
        <v>4064</v>
      </c>
    </row>
    <row r="310" spans="1:58" ht="39.75" customHeight="1" x14ac:dyDescent="0.25">
      <c r="A310" s="7" t="s">
        <v>5</v>
      </c>
      <c r="B310" s="1" t="s">
        <v>0</v>
      </c>
      <c r="C310" s="1" t="s">
        <v>1</v>
      </c>
      <c r="D310" s="1" t="s">
        <v>4065</v>
      </c>
      <c r="E310" s="1" t="s">
        <v>4066</v>
      </c>
      <c r="F310" s="1" t="s">
        <v>4067</v>
      </c>
      <c r="H310" s="2" t="s">
        <v>5</v>
      </c>
      <c r="I310" s="2" t="s">
        <v>6</v>
      </c>
      <c r="J310" s="2" t="s">
        <v>5</v>
      </c>
      <c r="K310" s="2" t="s">
        <v>5</v>
      </c>
      <c r="L310" s="2" t="s">
        <v>7</v>
      </c>
      <c r="M310" s="1" t="s">
        <v>4068</v>
      </c>
      <c r="N310" s="1" t="s">
        <v>4069</v>
      </c>
      <c r="O310" s="2" t="s">
        <v>248</v>
      </c>
      <c r="Q310" s="2" t="s">
        <v>11</v>
      </c>
      <c r="R310" s="2" t="s">
        <v>1236</v>
      </c>
      <c r="T310" s="2" t="s">
        <v>13</v>
      </c>
      <c r="U310" s="3">
        <v>2</v>
      </c>
      <c r="V310" s="3">
        <v>2</v>
      </c>
      <c r="W310" s="4" t="s">
        <v>2017</v>
      </c>
      <c r="X310" s="4" t="s">
        <v>2017</v>
      </c>
      <c r="Y310" s="4" t="s">
        <v>15</v>
      </c>
      <c r="Z310" s="4" t="s">
        <v>15</v>
      </c>
      <c r="AA310" s="3">
        <v>225</v>
      </c>
      <c r="AB310" s="3">
        <v>186</v>
      </c>
      <c r="AC310" s="3">
        <v>231</v>
      </c>
      <c r="AD310" s="3">
        <v>3</v>
      </c>
      <c r="AE310" s="9">
        <v>3</v>
      </c>
      <c r="AF310" s="9">
        <v>10</v>
      </c>
      <c r="AG310" s="9">
        <v>11</v>
      </c>
      <c r="AH310" s="3">
        <v>5</v>
      </c>
      <c r="AI310" s="3">
        <v>5</v>
      </c>
      <c r="AJ310" s="3">
        <v>2</v>
      </c>
      <c r="AK310" s="3">
        <v>2</v>
      </c>
      <c r="AL310" s="3">
        <v>5</v>
      </c>
      <c r="AM310" s="3">
        <v>6</v>
      </c>
      <c r="AN310" s="3">
        <v>2</v>
      </c>
      <c r="AO310" s="3">
        <v>2</v>
      </c>
      <c r="AP310" s="3">
        <v>0</v>
      </c>
      <c r="AQ310" s="3">
        <v>0</v>
      </c>
      <c r="AR310" s="2" t="s">
        <v>5</v>
      </c>
      <c r="AS310" s="2" t="s">
        <v>46</v>
      </c>
      <c r="AT310" s="5" t="str">
        <f>HYPERLINK("http://catalog.hathitrust.org/Record/001202190","HathiTrust Record")</f>
        <v>HathiTrust Record</v>
      </c>
      <c r="AU310" s="5" t="str">
        <f>HYPERLINK("https://creighton-primo.hosted.exlibrisgroup.com/primo-explore/search?tab=default_tab&amp;search_scope=EVERYTHING&amp;vid=01CRU&amp;lang=en_US&amp;offset=0&amp;query=any,contains,991002882679702656","Catalog Record")</f>
        <v>Catalog Record</v>
      </c>
      <c r="AV310" s="5" t="str">
        <f>HYPERLINK("http://www.worldcat.org/oclc/506599","WorldCat Record")</f>
        <v>WorldCat Record</v>
      </c>
      <c r="AW310" s="2" t="s">
        <v>4070</v>
      </c>
      <c r="AX310" s="2" t="s">
        <v>4071</v>
      </c>
      <c r="AY310" s="2" t="s">
        <v>4072</v>
      </c>
      <c r="AZ310" s="2" t="s">
        <v>4072</v>
      </c>
      <c r="BA310" s="2" t="s">
        <v>4073</v>
      </c>
      <c r="BB310" s="2" t="s">
        <v>20</v>
      </c>
      <c r="BE310" s="2" t="s">
        <v>4074</v>
      </c>
      <c r="BF310" s="2" t="s">
        <v>4075</v>
      </c>
    </row>
    <row r="311" spans="1:58" ht="39.75" customHeight="1" x14ac:dyDescent="0.25">
      <c r="A311" s="7" t="s">
        <v>5</v>
      </c>
      <c r="B311" s="1" t="s">
        <v>0</v>
      </c>
      <c r="C311" s="1" t="s">
        <v>1</v>
      </c>
      <c r="D311" s="1" t="s">
        <v>4076</v>
      </c>
      <c r="E311" s="1" t="s">
        <v>4077</v>
      </c>
      <c r="F311" s="1" t="s">
        <v>4078</v>
      </c>
      <c r="G311" s="2" t="s">
        <v>73</v>
      </c>
      <c r="H311" s="2" t="s">
        <v>46</v>
      </c>
      <c r="I311" s="2" t="s">
        <v>6</v>
      </c>
      <c r="J311" s="2" t="s">
        <v>5</v>
      </c>
      <c r="K311" s="2" t="s">
        <v>5</v>
      </c>
      <c r="L311" s="2" t="s">
        <v>7</v>
      </c>
      <c r="M311" s="1" t="s">
        <v>4079</v>
      </c>
      <c r="N311" s="1" t="s">
        <v>4080</v>
      </c>
      <c r="O311" s="2" t="s">
        <v>177</v>
      </c>
      <c r="Q311" s="2" t="s">
        <v>60</v>
      </c>
      <c r="R311" s="2" t="s">
        <v>61</v>
      </c>
      <c r="T311" s="2" t="s">
        <v>13</v>
      </c>
      <c r="U311" s="3">
        <v>3</v>
      </c>
      <c r="V311" s="3">
        <v>7</v>
      </c>
      <c r="W311" s="4" t="s">
        <v>4081</v>
      </c>
      <c r="X311" s="4" t="s">
        <v>4082</v>
      </c>
      <c r="Y311" s="4" t="s">
        <v>3902</v>
      </c>
      <c r="Z311" s="4" t="s">
        <v>3902</v>
      </c>
      <c r="AA311" s="3">
        <v>696</v>
      </c>
      <c r="AB311" s="3">
        <v>630</v>
      </c>
      <c r="AC311" s="3">
        <v>884</v>
      </c>
      <c r="AD311" s="3">
        <v>5</v>
      </c>
      <c r="AE311" s="9">
        <v>7</v>
      </c>
      <c r="AF311" s="9">
        <v>29</v>
      </c>
      <c r="AG311" s="9">
        <v>40</v>
      </c>
      <c r="AH311" s="3">
        <v>12</v>
      </c>
      <c r="AI311" s="3">
        <v>17</v>
      </c>
      <c r="AJ311" s="3">
        <v>6</v>
      </c>
      <c r="AK311" s="3">
        <v>9</v>
      </c>
      <c r="AL311" s="3">
        <v>12</v>
      </c>
      <c r="AM311" s="3">
        <v>18</v>
      </c>
      <c r="AN311" s="3">
        <v>4</v>
      </c>
      <c r="AO311" s="3">
        <v>6</v>
      </c>
      <c r="AP311" s="3">
        <v>0</v>
      </c>
      <c r="AQ311" s="3">
        <v>0</v>
      </c>
      <c r="AR311" s="2" t="s">
        <v>5</v>
      </c>
      <c r="AS311" s="2" t="s">
        <v>46</v>
      </c>
      <c r="AT311" s="5" t="str">
        <f>HYPERLINK("http://catalog.hathitrust.org/Record/001218366","HathiTrust Record")</f>
        <v>HathiTrust Record</v>
      </c>
      <c r="AU311" s="5" t="str">
        <f>HYPERLINK("https://creighton-primo.hosted.exlibrisgroup.com/primo-explore/search?tab=default_tab&amp;search_scope=EVERYTHING&amp;vid=01CRU&amp;lang=en_US&amp;offset=0&amp;query=any,contains,991002289429702656","Catalog Record")</f>
        <v>Catalog Record</v>
      </c>
      <c r="AV311" s="5" t="str">
        <f>HYPERLINK("http://www.worldcat.org/oclc/312540","WorldCat Record")</f>
        <v>WorldCat Record</v>
      </c>
      <c r="AW311" s="2" t="s">
        <v>4083</v>
      </c>
      <c r="AX311" s="2" t="s">
        <v>4084</v>
      </c>
      <c r="AY311" s="2" t="s">
        <v>4085</v>
      </c>
      <c r="AZ311" s="2" t="s">
        <v>4085</v>
      </c>
      <c r="BA311" s="2" t="s">
        <v>4086</v>
      </c>
      <c r="BB311" s="2" t="s">
        <v>20</v>
      </c>
      <c r="BE311" s="2" t="s">
        <v>4087</v>
      </c>
      <c r="BF311" s="2" t="s">
        <v>4088</v>
      </c>
    </row>
    <row r="312" spans="1:58" ht="39.75" customHeight="1" x14ac:dyDescent="0.25">
      <c r="A312" s="7" t="s">
        <v>5</v>
      </c>
      <c r="B312" s="1" t="s">
        <v>0</v>
      </c>
      <c r="C312" s="1" t="s">
        <v>1</v>
      </c>
      <c r="D312" s="1" t="s">
        <v>4076</v>
      </c>
      <c r="E312" s="1" t="s">
        <v>4077</v>
      </c>
      <c r="F312" s="1" t="s">
        <v>4078</v>
      </c>
      <c r="G312" s="2" t="s">
        <v>101</v>
      </c>
      <c r="H312" s="2" t="s">
        <v>46</v>
      </c>
      <c r="I312" s="2" t="s">
        <v>6</v>
      </c>
      <c r="J312" s="2" t="s">
        <v>5</v>
      </c>
      <c r="K312" s="2" t="s">
        <v>5</v>
      </c>
      <c r="L312" s="2" t="s">
        <v>7</v>
      </c>
      <c r="M312" s="1" t="s">
        <v>4079</v>
      </c>
      <c r="N312" s="1" t="s">
        <v>4080</v>
      </c>
      <c r="O312" s="2" t="s">
        <v>177</v>
      </c>
      <c r="Q312" s="2" t="s">
        <v>60</v>
      </c>
      <c r="R312" s="2" t="s">
        <v>61</v>
      </c>
      <c r="T312" s="2" t="s">
        <v>13</v>
      </c>
      <c r="U312" s="3">
        <v>4</v>
      </c>
      <c r="V312" s="3">
        <v>7</v>
      </c>
      <c r="W312" s="4" t="s">
        <v>4082</v>
      </c>
      <c r="X312" s="4" t="s">
        <v>4082</v>
      </c>
      <c r="Y312" s="4" t="s">
        <v>3902</v>
      </c>
      <c r="Z312" s="4" t="s">
        <v>3902</v>
      </c>
      <c r="AA312" s="3">
        <v>696</v>
      </c>
      <c r="AB312" s="3">
        <v>630</v>
      </c>
      <c r="AC312" s="3">
        <v>884</v>
      </c>
      <c r="AD312" s="3">
        <v>5</v>
      </c>
      <c r="AE312" s="9">
        <v>7</v>
      </c>
      <c r="AF312" s="9">
        <v>29</v>
      </c>
      <c r="AG312" s="9">
        <v>40</v>
      </c>
      <c r="AH312" s="3">
        <v>12</v>
      </c>
      <c r="AI312" s="3">
        <v>17</v>
      </c>
      <c r="AJ312" s="3">
        <v>6</v>
      </c>
      <c r="AK312" s="3">
        <v>9</v>
      </c>
      <c r="AL312" s="3">
        <v>12</v>
      </c>
      <c r="AM312" s="3">
        <v>18</v>
      </c>
      <c r="AN312" s="3">
        <v>4</v>
      </c>
      <c r="AO312" s="3">
        <v>6</v>
      </c>
      <c r="AP312" s="3">
        <v>0</v>
      </c>
      <c r="AQ312" s="3">
        <v>0</v>
      </c>
      <c r="AR312" s="2" t="s">
        <v>5</v>
      </c>
      <c r="AS312" s="2" t="s">
        <v>46</v>
      </c>
      <c r="AT312" s="5" t="str">
        <f>HYPERLINK("http://catalog.hathitrust.org/Record/001218366","HathiTrust Record")</f>
        <v>HathiTrust Record</v>
      </c>
      <c r="AU312" s="5" t="str">
        <f>HYPERLINK("https://creighton-primo.hosted.exlibrisgroup.com/primo-explore/search?tab=default_tab&amp;search_scope=EVERYTHING&amp;vid=01CRU&amp;lang=en_US&amp;offset=0&amp;query=any,contains,991002289429702656","Catalog Record")</f>
        <v>Catalog Record</v>
      </c>
      <c r="AV312" s="5" t="str">
        <f>HYPERLINK("http://www.worldcat.org/oclc/312540","WorldCat Record")</f>
        <v>WorldCat Record</v>
      </c>
      <c r="AW312" s="2" t="s">
        <v>4083</v>
      </c>
      <c r="AX312" s="2" t="s">
        <v>4084</v>
      </c>
      <c r="AY312" s="2" t="s">
        <v>4085</v>
      </c>
      <c r="AZ312" s="2" t="s">
        <v>4085</v>
      </c>
      <c r="BA312" s="2" t="s">
        <v>4086</v>
      </c>
      <c r="BB312" s="2" t="s">
        <v>20</v>
      </c>
      <c r="BE312" s="2" t="s">
        <v>4089</v>
      </c>
      <c r="BF312" s="2" t="s">
        <v>4090</v>
      </c>
    </row>
    <row r="313" spans="1:58" ht="39.75" customHeight="1" x14ac:dyDescent="0.25">
      <c r="A313" s="7" t="s">
        <v>5</v>
      </c>
      <c r="B313" s="1" t="s">
        <v>0</v>
      </c>
      <c r="C313" s="1" t="s">
        <v>1</v>
      </c>
      <c r="D313" s="1" t="s">
        <v>4091</v>
      </c>
      <c r="E313" s="1" t="s">
        <v>4092</v>
      </c>
      <c r="F313" s="1" t="s">
        <v>4093</v>
      </c>
      <c r="H313" s="2" t="s">
        <v>5</v>
      </c>
      <c r="I313" s="2" t="s">
        <v>6</v>
      </c>
      <c r="J313" s="2" t="s">
        <v>5</v>
      </c>
      <c r="K313" s="2" t="s">
        <v>5</v>
      </c>
      <c r="L313" s="2" t="s">
        <v>7</v>
      </c>
      <c r="M313" s="1" t="s">
        <v>4094</v>
      </c>
      <c r="N313" s="1" t="s">
        <v>4095</v>
      </c>
      <c r="O313" s="2" t="s">
        <v>524</v>
      </c>
      <c r="Q313" s="2" t="s">
        <v>60</v>
      </c>
      <c r="R313" s="2" t="s">
        <v>323</v>
      </c>
      <c r="T313" s="2" t="s">
        <v>13</v>
      </c>
      <c r="U313" s="3">
        <v>1</v>
      </c>
      <c r="V313" s="3">
        <v>1</v>
      </c>
      <c r="W313" s="4" t="s">
        <v>4096</v>
      </c>
      <c r="X313" s="4" t="s">
        <v>4096</v>
      </c>
      <c r="Y313" s="4" t="s">
        <v>3902</v>
      </c>
      <c r="Z313" s="4" t="s">
        <v>3902</v>
      </c>
      <c r="AA313" s="3">
        <v>861</v>
      </c>
      <c r="AB313" s="3">
        <v>760</v>
      </c>
      <c r="AC313" s="3">
        <v>985</v>
      </c>
      <c r="AD313" s="3">
        <v>8</v>
      </c>
      <c r="AE313" s="9">
        <v>10</v>
      </c>
      <c r="AF313" s="9">
        <v>40</v>
      </c>
      <c r="AG313" s="9">
        <v>49</v>
      </c>
      <c r="AH313" s="3">
        <v>16</v>
      </c>
      <c r="AI313" s="3">
        <v>21</v>
      </c>
      <c r="AJ313" s="3">
        <v>8</v>
      </c>
      <c r="AK313" s="3">
        <v>9</v>
      </c>
      <c r="AL313" s="3">
        <v>19</v>
      </c>
      <c r="AM313" s="3">
        <v>21</v>
      </c>
      <c r="AN313" s="3">
        <v>7</v>
      </c>
      <c r="AO313" s="3">
        <v>9</v>
      </c>
      <c r="AP313" s="3">
        <v>0</v>
      </c>
      <c r="AQ313" s="3">
        <v>0</v>
      </c>
      <c r="AR313" s="2" t="s">
        <v>5</v>
      </c>
      <c r="AS313" s="2" t="s">
        <v>46</v>
      </c>
      <c r="AT313" s="5" t="str">
        <f>HYPERLINK("http://catalog.hathitrust.org/Record/001015688","HathiTrust Record")</f>
        <v>HathiTrust Record</v>
      </c>
      <c r="AU313" s="5" t="str">
        <f>HYPERLINK("https://creighton-primo.hosted.exlibrisgroup.com/primo-explore/search?tab=default_tab&amp;search_scope=EVERYTHING&amp;vid=01CRU&amp;lang=en_US&amp;offset=0&amp;query=any,contains,991004027019702656","Catalog Record")</f>
        <v>Catalog Record</v>
      </c>
      <c r="AV313" s="5" t="str">
        <f>HYPERLINK("http://www.worldcat.org/oclc/2138809","WorldCat Record")</f>
        <v>WorldCat Record</v>
      </c>
      <c r="AW313" s="2" t="s">
        <v>4097</v>
      </c>
      <c r="AX313" s="2" t="s">
        <v>4098</v>
      </c>
      <c r="AY313" s="2" t="s">
        <v>4099</v>
      </c>
      <c r="AZ313" s="2" t="s">
        <v>4099</v>
      </c>
      <c r="BA313" s="2" t="s">
        <v>4100</v>
      </c>
      <c r="BB313" s="2" t="s">
        <v>20</v>
      </c>
      <c r="BE313" s="2" t="s">
        <v>4101</v>
      </c>
      <c r="BF313" s="2" t="s">
        <v>4102</v>
      </c>
    </row>
    <row r="314" spans="1:58" ht="39.75" customHeight="1" x14ac:dyDescent="0.25">
      <c r="A314" s="7" t="s">
        <v>5</v>
      </c>
      <c r="B314" s="1" t="s">
        <v>0</v>
      </c>
      <c r="C314" s="1" t="s">
        <v>1</v>
      </c>
      <c r="D314" s="1" t="s">
        <v>4103</v>
      </c>
      <c r="E314" s="1" t="s">
        <v>4104</v>
      </c>
      <c r="F314" s="1" t="s">
        <v>4105</v>
      </c>
      <c r="H314" s="2" t="s">
        <v>5</v>
      </c>
      <c r="I314" s="2" t="s">
        <v>6</v>
      </c>
      <c r="J314" s="2" t="s">
        <v>5</v>
      </c>
      <c r="K314" s="2" t="s">
        <v>5</v>
      </c>
      <c r="L314" s="2" t="s">
        <v>7</v>
      </c>
      <c r="M314" s="1" t="s">
        <v>4079</v>
      </c>
      <c r="N314" s="1" t="s">
        <v>4106</v>
      </c>
      <c r="O314" s="2" t="s">
        <v>59</v>
      </c>
      <c r="Q314" s="2" t="s">
        <v>60</v>
      </c>
      <c r="R314" s="2" t="s">
        <v>61</v>
      </c>
      <c r="T314" s="2" t="s">
        <v>13</v>
      </c>
      <c r="U314" s="3">
        <v>15</v>
      </c>
      <c r="V314" s="3">
        <v>15</v>
      </c>
      <c r="W314" s="4" t="s">
        <v>4107</v>
      </c>
      <c r="X314" s="4" t="s">
        <v>4107</v>
      </c>
      <c r="Y314" s="4" t="s">
        <v>4108</v>
      </c>
      <c r="Z314" s="4" t="s">
        <v>4108</v>
      </c>
      <c r="AA314" s="3">
        <v>333</v>
      </c>
      <c r="AB314" s="3">
        <v>312</v>
      </c>
      <c r="AC314" s="3">
        <v>556</v>
      </c>
      <c r="AD314" s="3">
        <v>3</v>
      </c>
      <c r="AE314" s="9">
        <v>4</v>
      </c>
      <c r="AF314" s="9">
        <v>15</v>
      </c>
      <c r="AG314" s="9">
        <v>26</v>
      </c>
      <c r="AH314" s="3">
        <v>5</v>
      </c>
      <c r="AI314" s="3">
        <v>11</v>
      </c>
      <c r="AJ314" s="3">
        <v>4</v>
      </c>
      <c r="AK314" s="3">
        <v>4</v>
      </c>
      <c r="AL314" s="3">
        <v>7</v>
      </c>
      <c r="AM314" s="3">
        <v>13</v>
      </c>
      <c r="AN314" s="3">
        <v>2</v>
      </c>
      <c r="AO314" s="3">
        <v>3</v>
      </c>
      <c r="AP314" s="3">
        <v>0</v>
      </c>
      <c r="AQ314" s="3">
        <v>0</v>
      </c>
      <c r="AR314" s="2" t="s">
        <v>46</v>
      </c>
      <c r="AS314" s="2" t="s">
        <v>5</v>
      </c>
      <c r="AT314" s="5" t="str">
        <f>HYPERLINK("http://catalog.hathitrust.org/Record/001015691","HathiTrust Record")</f>
        <v>HathiTrust Record</v>
      </c>
      <c r="AU314" s="5" t="str">
        <f>HYPERLINK("https://creighton-primo.hosted.exlibrisgroup.com/primo-explore/search?tab=default_tab&amp;search_scope=EVERYTHING&amp;vid=01CRU&amp;lang=en_US&amp;offset=0&amp;query=any,contains,991004073479702656","Catalog Record")</f>
        <v>Catalog Record</v>
      </c>
      <c r="AV314" s="5" t="str">
        <f>HYPERLINK("http://www.worldcat.org/oclc/2311646","WorldCat Record")</f>
        <v>WorldCat Record</v>
      </c>
      <c r="AW314" s="2" t="s">
        <v>4109</v>
      </c>
      <c r="AX314" s="2" t="s">
        <v>4110</v>
      </c>
      <c r="AY314" s="2" t="s">
        <v>4111</v>
      </c>
      <c r="AZ314" s="2" t="s">
        <v>4111</v>
      </c>
      <c r="BA314" s="2" t="s">
        <v>4112</v>
      </c>
      <c r="BB314" s="2" t="s">
        <v>20</v>
      </c>
      <c r="BE314" s="2" t="s">
        <v>4113</v>
      </c>
      <c r="BF314" s="2" t="s">
        <v>4114</v>
      </c>
    </row>
    <row r="315" spans="1:58" ht="39.75" customHeight="1" x14ac:dyDescent="0.25">
      <c r="A315" s="7" t="s">
        <v>5</v>
      </c>
      <c r="B315" s="1" t="s">
        <v>0</v>
      </c>
      <c r="C315" s="1" t="s">
        <v>1</v>
      </c>
      <c r="D315" s="1" t="s">
        <v>4115</v>
      </c>
      <c r="E315" s="1" t="s">
        <v>4116</v>
      </c>
      <c r="F315" s="1" t="s">
        <v>4117</v>
      </c>
      <c r="G315" s="2" t="s">
        <v>101</v>
      </c>
      <c r="H315" s="2" t="s">
        <v>46</v>
      </c>
      <c r="I315" s="2" t="s">
        <v>6</v>
      </c>
      <c r="J315" s="2" t="s">
        <v>5</v>
      </c>
      <c r="K315" s="2" t="s">
        <v>5</v>
      </c>
      <c r="L315" s="2" t="s">
        <v>7</v>
      </c>
      <c r="M315" s="1" t="s">
        <v>4118</v>
      </c>
      <c r="N315" s="1" t="s">
        <v>4119</v>
      </c>
      <c r="O315" s="2" t="s">
        <v>1094</v>
      </c>
      <c r="Q315" s="2" t="s">
        <v>60</v>
      </c>
      <c r="R315" s="2" t="s">
        <v>193</v>
      </c>
      <c r="T315" s="2" t="s">
        <v>13</v>
      </c>
      <c r="U315" s="3">
        <v>3</v>
      </c>
      <c r="V315" s="3">
        <v>6</v>
      </c>
      <c r="W315" s="4" t="s">
        <v>4120</v>
      </c>
      <c r="X315" s="4" t="s">
        <v>4121</v>
      </c>
      <c r="Y315" s="4" t="s">
        <v>4122</v>
      </c>
      <c r="Z315" s="4" t="s">
        <v>4122</v>
      </c>
      <c r="AA315" s="3">
        <v>184</v>
      </c>
      <c r="AB315" s="3">
        <v>144</v>
      </c>
      <c r="AC315" s="3">
        <v>702</v>
      </c>
      <c r="AD315" s="3">
        <v>2</v>
      </c>
      <c r="AE315" s="9">
        <v>5</v>
      </c>
      <c r="AF315" s="9">
        <v>9</v>
      </c>
      <c r="AG315" s="9">
        <v>31</v>
      </c>
      <c r="AH315" s="3">
        <v>2</v>
      </c>
      <c r="AI315" s="3">
        <v>11</v>
      </c>
      <c r="AJ315" s="3">
        <v>2</v>
      </c>
      <c r="AK315" s="3">
        <v>7</v>
      </c>
      <c r="AL315" s="3">
        <v>6</v>
      </c>
      <c r="AM315" s="3">
        <v>18</v>
      </c>
      <c r="AN315" s="3">
        <v>1</v>
      </c>
      <c r="AO315" s="3">
        <v>4</v>
      </c>
      <c r="AP315" s="3">
        <v>0</v>
      </c>
      <c r="AQ315" s="3">
        <v>0</v>
      </c>
      <c r="AR315" s="2" t="s">
        <v>5</v>
      </c>
      <c r="AS315" s="2" t="s">
        <v>5</v>
      </c>
      <c r="AT315" s="5" t="str">
        <f>HYPERLINK("http://catalog.hathitrust.org/Record/001218367","HathiTrust Record")</f>
        <v>HathiTrust Record</v>
      </c>
      <c r="AU315" s="5" t="str">
        <f>HYPERLINK("https://creighton-primo.hosted.exlibrisgroup.com/primo-explore/search?tab=default_tab&amp;search_scope=EVERYTHING&amp;vid=01CRU&amp;lang=en_US&amp;offset=0&amp;query=any,contains,991003924629702656","Catalog Record")</f>
        <v>Catalog Record</v>
      </c>
      <c r="AV315" s="5" t="str">
        <f>HYPERLINK("http://www.worldcat.org/oclc/1879518","WorldCat Record")</f>
        <v>WorldCat Record</v>
      </c>
      <c r="AW315" s="2" t="s">
        <v>4123</v>
      </c>
      <c r="AX315" s="2" t="s">
        <v>4124</v>
      </c>
      <c r="AY315" s="2" t="s">
        <v>4125</v>
      </c>
      <c r="AZ315" s="2" t="s">
        <v>4125</v>
      </c>
      <c r="BA315" s="2" t="s">
        <v>4126</v>
      </c>
      <c r="BB315" s="2" t="s">
        <v>20</v>
      </c>
      <c r="BE315" s="2" t="s">
        <v>4127</v>
      </c>
      <c r="BF315" s="2" t="s">
        <v>4128</v>
      </c>
    </row>
    <row r="316" spans="1:58" ht="39.75" customHeight="1" x14ac:dyDescent="0.25">
      <c r="A316" s="7" t="s">
        <v>5</v>
      </c>
      <c r="B316" s="1" t="s">
        <v>0</v>
      </c>
      <c r="C316" s="1" t="s">
        <v>1</v>
      </c>
      <c r="D316" s="1" t="s">
        <v>4129</v>
      </c>
      <c r="E316" s="1" t="s">
        <v>4130</v>
      </c>
      <c r="F316" s="1" t="s">
        <v>4131</v>
      </c>
      <c r="H316" s="2" t="s">
        <v>5</v>
      </c>
      <c r="I316" s="2" t="s">
        <v>6</v>
      </c>
      <c r="J316" s="2" t="s">
        <v>5</v>
      </c>
      <c r="K316" s="2" t="s">
        <v>5</v>
      </c>
      <c r="L316" s="2" t="s">
        <v>7</v>
      </c>
      <c r="M316" s="1" t="s">
        <v>4132</v>
      </c>
      <c r="N316" s="1" t="s">
        <v>4133</v>
      </c>
      <c r="O316" s="2" t="s">
        <v>177</v>
      </c>
      <c r="Q316" s="2" t="s">
        <v>60</v>
      </c>
      <c r="R316" s="2" t="s">
        <v>234</v>
      </c>
      <c r="T316" s="2" t="s">
        <v>13</v>
      </c>
      <c r="U316" s="3">
        <v>10</v>
      </c>
      <c r="V316" s="3">
        <v>10</v>
      </c>
      <c r="W316" s="4" t="s">
        <v>4134</v>
      </c>
      <c r="X316" s="4" t="s">
        <v>4134</v>
      </c>
      <c r="Y316" s="4" t="s">
        <v>4135</v>
      </c>
      <c r="Z316" s="4" t="s">
        <v>4135</v>
      </c>
      <c r="AA316" s="3">
        <v>215</v>
      </c>
      <c r="AB316" s="3">
        <v>204</v>
      </c>
      <c r="AC316" s="3">
        <v>948</v>
      </c>
      <c r="AD316" s="3">
        <v>3</v>
      </c>
      <c r="AE316" s="9">
        <v>9</v>
      </c>
      <c r="AF316" s="9">
        <v>6</v>
      </c>
      <c r="AG316" s="9">
        <v>49</v>
      </c>
      <c r="AH316" s="3">
        <v>3</v>
      </c>
      <c r="AI316" s="3">
        <v>24</v>
      </c>
      <c r="AJ316" s="3">
        <v>0</v>
      </c>
      <c r="AK316" s="3">
        <v>9</v>
      </c>
      <c r="AL316" s="3">
        <v>1</v>
      </c>
      <c r="AM316" s="3">
        <v>22</v>
      </c>
      <c r="AN316" s="3">
        <v>2</v>
      </c>
      <c r="AO316" s="3">
        <v>8</v>
      </c>
      <c r="AP316" s="3">
        <v>0</v>
      </c>
      <c r="AQ316" s="3">
        <v>0</v>
      </c>
      <c r="AR316" s="2" t="s">
        <v>5</v>
      </c>
      <c r="AS316" s="2" t="s">
        <v>46</v>
      </c>
      <c r="AT316" s="5" t="str">
        <f>HYPERLINK("http://catalog.hathitrust.org/Record/005075257","HathiTrust Record")</f>
        <v>HathiTrust Record</v>
      </c>
      <c r="AU316" s="5" t="str">
        <f>HYPERLINK("https://creighton-primo.hosted.exlibrisgroup.com/primo-explore/search?tab=default_tab&amp;search_scope=EVERYTHING&amp;vid=01CRU&amp;lang=en_US&amp;offset=0&amp;query=any,contains,991002435679702656","Catalog Record")</f>
        <v>Catalog Record</v>
      </c>
      <c r="AV316" s="5" t="str">
        <f>HYPERLINK("http://www.worldcat.org/oclc/50119143","WorldCat Record")</f>
        <v>WorldCat Record</v>
      </c>
      <c r="AW316" s="2" t="s">
        <v>4136</v>
      </c>
      <c r="AX316" s="2" t="s">
        <v>4137</v>
      </c>
      <c r="AY316" s="2" t="s">
        <v>4138</v>
      </c>
      <c r="AZ316" s="2" t="s">
        <v>4138</v>
      </c>
      <c r="BA316" s="2" t="s">
        <v>4139</v>
      </c>
      <c r="BB316" s="2" t="s">
        <v>20</v>
      </c>
      <c r="BE316" s="2" t="s">
        <v>4140</v>
      </c>
      <c r="BF316" s="2" t="s">
        <v>4141</v>
      </c>
    </row>
    <row r="317" spans="1:58" ht="39.75" customHeight="1" x14ac:dyDescent="0.25">
      <c r="A317" s="7" t="s">
        <v>5</v>
      </c>
      <c r="B317" s="1" t="s">
        <v>0</v>
      </c>
      <c r="C317" s="1" t="s">
        <v>1</v>
      </c>
      <c r="D317" s="1" t="s">
        <v>4142</v>
      </c>
      <c r="E317" s="1" t="s">
        <v>4143</v>
      </c>
      <c r="F317" s="1" t="s">
        <v>4144</v>
      </c>
      <c r="H317" s="2" t="s">
        <v>5</v>
      </c>
      <c r="I317" s="2" t="s">
        <v>6</v>
      </c>
      <c r="J317" s="2" t="s">
        <v>5</v>
      </c>
      <c r="K317" s="2" t="s">
        <v>5</v>
      </c>
      <c r="L317" s="2" t="s">
        <v>7</v>
      </c>
      <c r="N317" s="1" t="s">
        <v>4145</v>
      </c>
      <c r="O317" s="2" t="s">
        <v>121</v>
      </c>
      <c r="Q317" s="2" t="s">
        <v>1151</v>
      </c>
      <c r="R317" s="2" t="s">
        <v>4146</v>
      </c>
      <c r="S317" s="1" t="s">
        <v>4147</v>
      </c>
      <c r="T317" s="2" t="s">
        <v>13</v>
      </c>
      <c r="U317" s="3">
        <v>1</v>
      </c>
      <c r="V317" s="3">
        <v>1</v>
      </c>
      <c r="W317" s="4" t="s">
        <v>4148</v>
      </c>
      <c r="X317" s="4" t="s">
        <v>4148</v>
      </c>
      <c r="Y317" s="4" t="s">
        <v>4148</v>
      </c>
      <c r="Z317" s="4" t="s">
        <v>4148</v>
      </c>
      <c r="AA317" s="3">
        <v>2</v>
      </c>
      <c r="AB317" s="3">
        <v>2</v>
      </c>
      <c r="AC317" s="3">
        <v>23</v>
      </c>
      <c r="AD317" s="3">
        <v>1</v>
      </c>
      <c r="AE317" s="9">
        <v>2</v>
      </c>
      <c r="AF317" s="9">
        <v>0</v>
      </c>
      <c r="AG317" s="9">
        <v>2</v>
      </c>
      <c r="AH317" s="3">
        <v>0</v>
      </c>
      <c r="AI317" s="3">
        <v>1</v>
      </c>
      <c r="AJ317" s="3">
        <v>0</v>
      </c>
      <c r="AK317" s="3">
        <v>1</v>
      </c>
      <c r="AL317" s="3">
        <v>0</v>
      </c>
      <c r="AM317" s="3">
        <v>0</v>
      </c>
      <c r="AN317" s="3">
        <v>0</v>
      </c>
      <c r="AO317" s="3">
        <v>1</v>
      </c>
      <c r="AP317" s="3">
        <v>0</v>
      </c>
      <c r="AQ317" s="3">
        <v>0</v>
      </c>
      <c r="AR317" s="2" t="s">
        <v>5</v>
      </c>
      <c r="AS317" s="2" t="s">
        <v>5</v>
      </c>
      <c r="AU317" s="5" t="str">
        <f>HYPERLINK("https://creighton-primo.hosted.exlibrisgroup.com/primo-explore/search?tab=default_tab&amp;search_scope=EVERYTHING&amp;vid=01CRU&amp;lang=en_US&amp;offset=0&amp;query=any,contains,991004044819702656","Catalog Record")</f>
        <v>Catalog Record</v>
      </c>
      <c r="AV317" s="5" t="str">
        <f>HYPERLINK("http://www.worldcat.org/oclc/24152194","WorldCat Record")</f>
        <v>WorldCat Record</v>
      </c>
      <c r="AW317" s="2" t="s">
        <v>4149</v>
      </c>
      <c r="AX317" s="2" t="s">
        <v>4150</v>
      </c>
      <c r="AY317" s="2" t="s">
        <v>4151</v>
      </c>
      <c r="AZ317" s="2" t="s">
        <v>4151</v>
      </c>
      <c r="BA317" s="2" t="s">
        <v>4152</v>
      </c>
      <c r="BB317" s="2" t="s">
        <v>20</v>
      </c>
      <c r="BE317" s="2" t="s">
        <v>4153</v>
      </c>
      <c r="BF317" s="2" t="s">
        <v>4154</v>
      </c>
    </row>
    <row r="318" spans="1:58" ht="39.75" customHeight="1" x14ac:dyDescent="0.25">
      <c r="A318" s="7" t="s">
        <v>5</v>
      </c>
      <c r="B318" s="1" t="s">
        <v>0</v>
      </c>
      <c r="C318" s="1" t="s">
        <v>1</v>
      </c>
      <c r="D318" s="1" t="s">
        <v>4155</v>
      </c>
      <c r="E318" s="1" t="s">
        <v>4156</v>
      </c>
      <c r="F318" s="1" t="s">
        <v>4157</v>
      </c>
      <c r="H318" s="2" t="s">
        <v>5</v>
      </c>
      <c r="I318" s="2" t="s">
        <v>6</v>
      </c>
      <c r="J318" s="2" t="s">
        <v>5</v>
      </c>
      <c r="K318" s="2" t="s">
        <v>5</v>
      </c>
      <c r="L318" s="2" t="s">
        <v>7</v>
      </c>
      <c r="N318" s="1" t="s">
        <v>4158</v>
      </c>
      <c r="O318" s="2" t="s">
        <v>708</v>
      </c>
      <c r="Q318" s="2" t="s">
        <v>60</v>
      </c>
      <c r="R318" s="2" t="s">
        <v>61</v>
      </c>
      <c r="T318" s="2" t="s">
        <v>13</v>
      </c>
      <c r="U318" s="3">
        <v>1</v>
      </c>
      <c r="V318" s="3">
        <v>1</v>
      </c>
      <c r="W318" s="4" t="s">
        <v>4159</v>
      </c>
      <c r="X318" s="4" t="s">
        <v>4159</v>
      </c>
      <c r="Y318" s="4" t="s">
        <v>4160</v>
      </c>
      <c r="Z318" s="4" t="s">
        <v>4160</v>
      </c>
      <c r="AA318" s="3">
        <v>245</v>
      </c>
      <c r="AB318" s="3">
        <v>217</v>
      </c>
      <c r="AC318" s="3">
        <v>364</v>
      </c>
      <c r="AD318" s="3">
        <v>1</v>
      </c>
      <c r="AE318" s="9">
        <v>2</v>
      </c>
      <c r="AF318" s="9">
        <v>4</v>
      </c>
      <c r="AG318" s="9">
        <v>12</v>
      </c>
      <c r="AH318" s="3">
        <v>0</v>
      </c>
      <c r="AI318" s="3">
        <v>4</v>
      </c>
      <c r="AJ318" s="3">
        <v>3</v>
      </c>
      <c r="AK318" s="3">
        <v>5</v>
      </c>
      <c r="AL318" s="3">
        <v>3</v>
      </c>
      <c r="AM318" s="3">
        <v>5</v>
      </c>
      <c r="AN318" s="3">
        <v>0</v>
      </c>
      <c r="AO318" s="3">
        <v>1</v>
      </c>
      <c r="AP318" s="3">
        <v>0</v>
      </c>
      <c r="AQ318" s="3">
        <v>0</v>
      </c>
      <c r="AR318" s="2" t="s">
        <v>5</v>
      </c>
      <c r="AS318" s="2" t="s">
        <v>46</v>
      </c>
      <c r="AT318" s="5" t="str">
        <f>HYPERLINK("http://catalog.hathitrust.org/Record/000884999","HathiTrust Record")</f>
        <v>HathiTrust Record</v>
      </c>
      <c r="AU318" s="5" t="str">
        <f>HYPERLINK("https://creighton-primo.hosted.exlibrisgroup.com/primo-explore/search?tab=default_tab&amp;search_scope=EVERYTHING&amp;vid=01CRU&amp;lang=en_US&amp;offset=0&amp;query=any,contains,991001082679702656","Catalog Record")</f>
        <v>Catalog Record</v>
      </c>
      <c r="AV318" s="5" t="str">
        <f>HYPERLINK("http://www.worldcat.org/oclc/16090933","WorldCat Record")</f>
        <v>WorldCat Record</v>
      </c>
      <c r="AW318" s="2" t="s">
        <v>4161</v>
      </c>
      <c r="AX318" s="2" t="s">
        <v>4162</v>
      </c>
      <c r="AY318" s="2" t="s">
        <v>4163</v>
      </c>
      <c r="AZ318" s="2" t="s">
        <v>4163</v>
      </c>
      <c r="BA318" s="2" t="s">
        <v>4164</v>
      </c>
      <c r="BB318" s="2" t="s">
        <v>20</v>
      </c>
      <c r="BD318" s="2" t="s">
        <v>4165</v>
      </c>
      <c r="BE318" s="2" t="s">
        <v>4166</v>
      </c>
      <c r="BF318" s="2" t="s">
        <v>4167</v>
      </c>
    </row>
    <row r="319" spans="1:58" ht="39.75" customHeight="1" x14ac:dyDescent="0.25">
      <c r="A319" s="7" t="s">
        <v>5</v>
      </c>
      <c r="B319" s="1" t="s">
        <v>0</v>
      </c>
      <c r="C319" s="1" t="s">
        <v>1</v>
      </c>
      <c r="D319" s="1" t="s">
        <v>4168</v>
      </c>
      <c r="E319" s="1" t="s">
        <v>4169</v>
      </c>
      <c r="F319" s="1" t="s">
        <v>4170</v>
      </c>
      <c r="H319" s="2" t="s">
        <v>5</v>
      </c>
      <c r="I319" s="2" t="s">
        <v>6</v>
      </c>
      <c r="J319" s="2" t="s">
        <v>5</v>
      </c>
      <c r="K319" s="2" t="s">
        <v>5</v>
      </c>
      <c r="L319" s="2" t="s">
        <v>7</v>
      </c>
      <c r="M319" s="1" t="s">
        <v>4171</v>
      </c>
      <c r="N319" s="1" t="s">
        <v>4172</v>
      </c>
      <c r="O319" s="2" t="s">
        <v>480</v>
      </c>
      <c r="Q319" s="2" t="s">
        <v>60</v>
      </c>
      <c r="R319" s="2" t="s">
        <v>61</v>
      </c>
      <c r="S319" s="1" t="s">
        <v>4173</v>
      </c>
      <c r="T319" s="2" t="s">
        <v>13</v>
      </c>
      <c r="U319" s="3">
        <v>2</v>
      </c>
      <c r="V319" s="3">
        <v>2</v>
      </c>
      <c r="W319" s="4" t="s">
        <v>4174</v>
      </c>
      <c r="X319" s="4" t="s">
        <v>4174</v>
      </c>
      <c r="Y319" s="4" t="s">
        <v>4122</v>
      </c>
      <c r="Z319" s="4" t="s">
        <v>4122</v>
      </c>
      <c r="AA319" s="3">
        <v>836</v>
      </c>
      <c r="AB319" s="3">
        <v>742</v>
      </c>
      <c r="AC319" s="3">
        <v>781</v>
      </c>
      <c r="AD319" s="3">
        <v>8</v>
      </c>
      <c r="AE319" s="9">
        <v>8</v>
      </c>
      <c r="AF319" s="9">
        <v>36</v>
      </c>
      <c r="AG319" s="9">
        <v>37</v>
      </c>
      <c r="AH319" s="3">
        <v>14</v>
      </c>
      <c r="AI319" s="3">
        <v>15</v>
      </c>
      <c r="AJ319" s="3">
        <v>7</v>
      </c>
      <c r="AK319" s="3">
        <v>7</v>
      </c>
      <c r="AL319" s="3">
        <v>15</v>
      </c>
      <c r="AM319" s="3">
        <v>15</v>
      </c>
      <c r="AN319" s="3">
        <v>7</v>
      </c>
      <c r="AO319" s="3">
        <v>7</v>
      </c>
      <c r="AP319" s="3">
        <v>0</v>
      </c>
      <c r="AQ319" s="3">
        <v>0</v>
      </c>
      <c r="AR319" s="2" t="s">
        <v>5</v>
      </c>
      <c r="AS319" s="2" t="s">
        <v>46</v>
      </c>
      <c r="AT319" s="5" t="str">
        <f>HYPERLINK("http://catalog.hathitrust.org/Record/001218060","HathiTrust Record")</f>
        <v>HathiTrust Record</v>
      </c>
      <c r="AU319" s="5" t="str">
        <f>HYPERLINK("https://creighton-primo.hosted.exlibrisgroup.com/primo-explore/search?tab=default_tab&amp;search_scope=EVERYTHING&amp;vid=01CRU&amp;lang=en_US&amp;offset=0&amp;query=any,contains,991001157899702656","Catalog Record")</f>
        <v>Catalog Record</v>
      </c>
      <c r="AV319" s="5" t="str">
        <f>HYPERLINK("http://www.worldcat.org/oclc/186077","WorldCat Record")</f>
        <v>WorldCat Record</v>
      </c>
      <c r="AW319" s="2" t="s">
        <v>4175</v>
      </c>
      <c r="AX319" s="2" t="s">
        <v>4176</v>
      </c>
      <c r="AY319" s="2" t="s">
        <v>4177</v>
      </c>
      <c r="AZ319" s="2" t="s">
        <v>4177</v>
      </c>
      <c r="BA319" s="2" t="s">
        <v>4178</v>
      </c>
      <c r="BB319" s="2" t="s">
        <v>20</v>
      </c>
      <c r="BE319" s="2" t="s">
        <v>4179</v>
      </c>
      <c r="BF319" s="2" t="s">
        <v>4180</v>
      </c>
    </row>
    <row r="320" spans="1:58" ht="39.75" customHeight="1" x14ac:dyDescent="0.25">
      <c r="A320" s="7" t="s">
        <v>5</v>
      </c>
      <c r="B320" s="1" t="s">
        <v>0</v>
      </c>
      <c r="C320" s="1" t="s">
        <v>1</v>
      </c>
      <c r="D320" s="1" t="s">
        <v>4181</v>
      </c>
      <c r="E320" s="1" t="s">
        <v>4182</v>
      </c>
      <c r="F320" s="1" t="s">
        <v>4183</v>
      </c>
      <c r="G320" s="2" t="s">
        <v>101</v>
      </c>
      <c r="H320" s="2" t="s">
        <v>46</v>
      </c>
      <c r="I320" s="2" t="s">
        <v>6</v>
      </c>
      <c r="J320" s="2" t="s">
        <v>5</v>
      </c>
      <c r="K320" s="2" t="s">
        <v>5</v>
      </c>
      <c r="L320" s="2" t="s">
        <v>7</v>
      </c>
      <c r="M320" s="1" t="s">
        <v>4184</v>
      </c>
      <c r="N320" s="1" t="s">
        <v>4185</v>
      </c>
      <c r="O320" s="2" t="s">
        <v>307</v>
      </c>
      <c r="P320" s="1" t="s">
        <v>1350</v>
      </c>
      <c r="Q320" s="2" t="s">
        <v>60</v>
      </c>
      <c r="R320" s="2" t="s">
        <v>61</v>
      </c>
      <c r="S320" s="1" t="s">
        <v>4186</v>
      </c>
      <c r="T320" s="2" t="s">
        <v>13</v>
      </c>
      <c r="U320" s="3">
        <v>10</v>
      </c>
      <c r="V320" s="3">
        <v>11</v>
      </c>
      <c r="W320" s="4" t="s">
        <v>4174</v>
      </c>
      <c r="X320" s="4" t="s">
        <v>4174</v>
      </c>
      <c r="Y320" s="4" t="s">
        <v>4122</v>
      </c>
      <c r="Z320" s="4" t="s">
        <v>4122</v>
      </c>
      <c r="AA320" s="3">
        <v>1598</v>
      </c>
      <c r="AB320" s="3">
        <v>1463</v>
      </c>
      <c r="AC320" s="3">
        <v>1472</v>
      </c>
      <c r="AD320" s="3">
        <v>9</v>
      </c>
      <c r="AE320" s="9">
        <v>9</v>
      </c>
      <c r="AF320" s="9">
        <v>48</v>
      </c>
      <c r="AG320" s="9">
        <v>48</v>
      </c>
      <c r="AH320" s="3">
        <v>19</v>
      </c>
      <c r="AI320" s="3">
        <v>19</v>
      </c>
      <c r="AJ320" s="3">
        <v>9</v>
      </c>
      <c r="AK320" s="3">
        <v>9</v>
      </c>
      <c r="AL320" s="3">
        <v>23</v>
      </c>
      <c r="AM320" s="3">
        <v>23</v>
      </c>
      <c r="AN320" s="3">
        <v>8</v>
      </c>
      <c r="AO320" s="3">
        <v>8</v>
      </c>
      <c r="AP320" s="3">
        <v>0</v>
      </c>
      <c r="AQ320" s="3">
        <v>0</v>
      </c>
      <c r="AR320" s="2" t="s">
        <v>5</v>
      </c>
      <c r="AS320" s="2" t="s">
        <v>46</v>
      </c>
      <c r="AT320" s="5" t="str">
        <f>HYPERLINK("http://catalog.hathitrust.org/Record/000196731","HathiTrust Record")</f>
        <v>HathiTrust Record</v>
      </c>
      <c r="AU320" s="5" t="str">
        <f>HYPERLINK("https://creighton-primo.hosted.exlibrisgroup.com/primo-explore/search?tab=default_tab&amp;search_scope=EVERYTHING&amp;vid=01CRU&amp;lang=en_US&amp;offset=0&amp;query=any,contains,991005354699702656","Catalog Record")</f>
        <v>Catalog Record</v>
      </c>
      <c r="AV320" s="5" t="str">
        <f>HYPERLINK("http://www.worldcat.org/oclc/344007","WorldCat Record")</f>
        <v>WorldCat Record</v>
      </c>
      <c r="AW320" s="2" t="s">
        <v>4187</v>
      </c>
      <c r="AX320" s="2" t="s">
        <v>4188</v>
      </c>
      <c r="AY320" s="2" t="s">
        <v>4189</v>
      </c>
      <c r="AZ320" s="2" t="s">
        <v>4189</v>
      </c>
      <c r="BA320" s="2" t="s">
        <v>4190</v>
      </c>
      <c r="BB320" s="2" t="s">
        <v>20</v>
      </c>
      <c r="BE320" s="2" t="s">
        <v>4191</v>
      </c>
      <c r="BF320" s="2" t="s">
        <v>4192</v>
      </c>
    </row>
    <row r="321" spans="1:58" ht="39.75" customHeight="1" x14ac:dyDescent="0.25">
      <c r="A321" s="7" t="s">
        <v>5</v>
      </c>
      <c r="B321" s="1" t="s">
        <v>0</v>
      </c>
      <c r="C321" s="1" t="s">
        <v>1</v>
      </c>
      <c r="D321" s="1" t="s">
        <v>4181</v>
      </c>
      <c r="E321" s="1" t="s">
        <v>4182</v>
      </c>
      <c r="F321" s="1" t="s">
        <v>4183</v>
      </c>
      <c r="G321" s="2" t="s">
        <v>73</v>
      </c>
      <c r="H321" s="2" t="s">
        <v>46</v>
      </c>
      <c r="I321" s="2" t="s">
        <v>6</v>
      </c>
      <c r="J321" s="2" t="s">
        <v>5</v>
      </c>
      <c r="K321" s="2" t="s">
        <v>5</v>
      </c>
      <c r="L321" s="2" t="s">
        <v>7</v>
      </c>
      <c r="M321" s="1" t="s">
        <v>4184</v>
      </c>
      <c r="N321" s="1" t="s">
        <v>4185</v>
      </c>
      <c r="O321" s="2" t="s">
        <v>307</v>
      </c>
      <c r="P321" s="1" t="s">
        <v>1350</v>
      </c>
      <c r="Q321" s="2" t="s">
        <v>60</v>
      </c>
      <c r="R321" s="2" t="s">
        <v>61</v>
      </c>
      <c r="S321" s="1" t="s">
        <v>4186</v>
      </c>
      <c r="T321" s="2" t="s">
        <v>13</v>
      </c>
      <c r="U321" s="3">
        <v>0</v>
      </c>
      <c r="V321" s="3">
        <v>11</v>
      </c>
      <c r="X321" s="4" t="s">
        <v>4174</v>
      </c>
      <c r="Y321" s="4" t="s">
        <v>4122</v>
      </c>
      <c r="Z321" s="4" t="s">
        <v>4122</v>
      </c>
      <c r="AA321" s="3">
        <v>1598</v>
      </c>
      <c r="AB321" s="3">
        <v>1463</v>
      </c>
      <c r="AC321" s="3">
        <v>1472</v>
      </c>
      <c r="AD321" s="3">
        <v>9</v>
      </c>
      <c r="AE321" s="9">
        <v>9</v>
      </c>
      <c r="AF321" s="9">
        <v>48</v>
      </c>
      <c r="AG321" s="9">
        <v>48</v>
      </c>
      <c r="AH321" s="3">
        <v>19</v>
      </c>
      <c r="AI321" s="3">
        <v>19</v>
      </c>
      <c r="AJ321" s="3">
        <v>9</v>
      </c>
      <c r="AK321" s="3">
        <v>9</v>
      </c>
      <c r="AL321" s="3">
        <v>23</v>
      </c>
      <c r="AM321" s="3">
        <v>23</v>
      </c>
      <c r="AN321" s="3">
        <v>8</v>
      </c>
      <c r="AO321" s="3">
        <v>8</v>
      </c>
      <c r="AP321" s="3">
        <v>0</v>
      </c>
      <c r="AQ321" s="3">
        <v>0</v>
      </c>
      <c r="AR321" s="2" t="s">
        <v>5</v>
      </c>
      <c r="AS321" s="2" t="s">
        <v>46</v>
      </c>
      <c r="AT321" s="5" t="str">
        <f>HYPERLINK("http://catalog.hathitrust.org/Record/000196731","HathiTrust Record")</f>
        <v>HathiTrust Record</v>
      </c>
      <c r="AU321" s="5" t="str">
        <f>HYPERLINK("https://creighton-primo.hosted.exlibrisgroup.com/primo-explore/search?tab=default_tab&amp;search_scope=EVERYTHING&amp;vid=01CRU&amp;lang=en_US&amp;offset=0&amp;query=any,contains,991005354699702656","Catalog Record")</f>
        <v>Catalog Record</v>
      </c>
      <c r="AV321" s="5" t="str">
        <f>HYPERLINK("http://www.worldcat.org/oclc/344007","WorldCat Record")</f>
        <v>WorldCat Record</v>
      </c>
      <c r="AW321" s="2" t="s">
        <v>4187</v>
      </c>
      <c r="AX321" s="2" t="s">
        <v>4188</v>
      </c>
      <c r="AY321" s="2" t="s">
        <v>4189</v>
      </c>
      <c r="AZ321" s="2" t="s">
        <v>4189</v>
      </c>
      <c r="BA321" s="2" t="s">
        <v>4190</v>
      </c>
      <c r="BB321" s="2" t="s">
        <v>20</v>
      </c>
      <c r="BE321" s="2" t="s">
        <v>4193</v>
      </c>
      <c r="BF321" s="2" t="s">
        <v>4194</v>
      </c>
    </row>
    <row r="322" spans="1:58" ht="39.75" customHeight="1" x14ac:dyDescent="0.25">
      <c r="A322" s="7" t="s">
        <v>5</v>
      </c>
      <c r="B322" s="1" t="s">
        <v>0</v>
      </c>
      <c r="C322" s="1" t="s">
        <v>1</v>
      </c>
      <c r="D322" s="1" t="s">
        <v>4181</v>
      </c>
      <c r="E322" s="1" t="s">
        <v>4182</v>
      </c>
      <c r="F322" s="1" t="s">
        <v>4183</v>
      </c>
      <c r="G322" s="2" t="s">
        <v>4021</v>
      </c>
      <c r="H322" s="2" t="s">
        <v>46</v>
      </c>
      <c r="I322" s="2" t="s">
        <v>6</v>
      </c>
      <c r="J322" s="2" t="s">
        <v>5</v>
      </c>
      <c r="K322" s="2" t="s">
        <v>5</v>
      </c>
      <c r="L322" s="2" t="s">
        <v>7</v>
      </c>
      <c r="M322" s="1" t="s">
        <v>4184</v>
      </c>
      <c r="N322" s="1" t="s">
        <v>4185</v>
      </c>
      <c r="O322" s="2" t="s">
        <v>307</v>
      </c>
      <c r="P322" s="1" t="s">
        <v>1350</v>
      </c>
      <c r="Q322" s="2" t="s">
        <v>60</v>
      </c>
      <c r="R322" s="2" t="s">
        <v>61</v>
      </c>
      <c r="S322" s="1" t="s">
        <v>4186</v>
      </c>
      <c r="T322" s="2" t="s">
        <v>13</v>
      </c>
      <c r="U322" s="3">
        <v>1</v>
      </c>
      <c r="V322" s="3">
        <v>11</v>
      </c>
      <c r="W322" s="4" t="s">
        <v>4195</v>
      </c>
      <c r="X322" s="4" t="s">
        <v>4174</v>
      </c>
      <c r="Y322" s="4" t="s">
        <v>4122</v>
      </c>
      <c r="Z322" s="4" t="s">
        <v>4122</v>
      </c>
      <c r="AA322" s="3">
        <v>1598</v>
      </c>
      <c r="AB322" s="3">
        <v>1463</v>
      </c>
      <c r="AC322" s="3">
        <v>1472</v>
      </c>
      <c r="AD322" s="3">
        <v>9</v>
      </c>
      <c r="AE322" s="9">
        <v>9</v>
      </c>
      <c r="AF322" s="9">
        <v>48</v>
      </c>
      <c r="AG322" s="9">
        <v>48</v>
      </c>
      <c r="AH322" s="3">
        <v>19</v>
      </c>
      <c r="AI322" s="3">
        <v>19</v>
      </c>
      <c r="AJ322" s="3">
        <v>9</v>
      </c>
      <c r="AK322" s="3">
        <v>9</v>
      </c>
      <c r="AL322" s="3">
        <v>23</v>
      </c>
      <c r="AM322" s="3">
        <v>23</v>
      </c>
      <c r="AN322" s="3">
        <v>8</v>
      </c>
      <c r="AO322" s="3">
        <v>8</v>
      </c>
      <c r="AP322" s="3">
        <v>0</v>
      </c>
      <c r="AQ322" s="3">
        <v>0</v>
      </c>
      <c r="AR322" s="2" t="s">
        <v>5</v>
      </c>
      <c r="AS322" s="2" t="s">
        <v>46</v>
      </c>
      <c r="AT322" s="5" t="str">
        <f>HYPERLINK("http://catalog.hathitrust.org/Record/000196731","HathiTrust Record")</f>
        <v>HathiTrust Record</v>
      </c>
      <c r="AU322" s="5" t="str">
        <f>HYPERLINK("https://creighton-primo.hosted.exlibrisgroup.com/primo-explore/search?tab=default_tab&amp;search_scope=EVERYTHING&amp;vid=01CRU&amp;lang=en_US&amp;offset=0&amp;query=any,contains,991005354699702656","Catalog Record")</f>
        <v>Catalog Record</v>
      </c>
      <c r="AV322" s="5" t="str">
        <f>HYPERLINK("http://www.worldcat.org/oclc/344007","WorldCat Record")</f>
        <v>WorldCat Record</v>
      </c>
      <c r="AW322" s="2" t="s">
        <v>4187</v>
      </c>
      <c r="AX322" s="2" t="s">
        <v>4188</v>
      </c>
      <c r="AY322" s="2" t="s">
        <v>4189</v>
      </c>
      <c r="AZ322" s="2" t="s">
        <v>4189</v>
      </c>
      <c r="BA322" s="2" t="s">
        <v>4190</v>
      </c>
      <c r="BB322" s="2" t="s">
        <v>20</v>
      </c>
      <c r="BE322" s="2" t="s">
        <v>4196</v>
      </c>
      <c r="BF322" s="2" t="s">
        <v>4197</v>
      </c>
    </row>
    <row r="323" spans="1:58" ht="39.75" customHeight="1" x14ac:dyDescent="0.25">
      <c r="A323" s="7" t="s">
        <v>5</v>
      </c>
      <c r="B323" s="1" t="s">
        <v>0</v>
      </c>
      <c r="C323" s="1" t="s">
        <v>1</v>
      </c>
      <c r="D323" s="1" t="s">
        <v>4181</v>
      </c>
      <c r="E323" s="1" t="s">
        <v>4182</v>
      </c>
      <c r="F323" s="1" t="s">
        <v>4183</v>
      </c>
      <c r="G323" s="2" t="s">
        <v>4198</v>
      </c>
      <c r="H323" s="2" t="s">
        <v>46</v>
      </c>
      <c r="I323" s="2" t="s">
        <v>6</v>
      </c>
      <c r="J323" s="2" t="s">
        <v>5</v>
      </c>
      <c r="K323" s="2" t="s">
        <v>5</v>
      </c>
      <c r="L323" s="2" t="s">
        <v>7</v>
      </c>
      <c r="M323" s="1" t="s">
        <v>4184</v>
      </c>
      <c r="N323" s="1" t="s">
        <v>4185</v>
      </c>
      <c r="O323" s="2" t="s">
        <v>307</v>
      </c>
      <c r="P323" s="1" t="s">
        <v>1350</v>
      </c>
      <c r="Q323" s="2" t="s">
        <v>60</v>
      </c>
      <c r="R323" s="2" t="s">
        <v>61</v>
      </c>
      <c r="S323" s="1" t="s">
        <v>4186</v>
      </c>
      <c r="T323" s="2" t="s">
        <v>13</v>
      </c>
      <c r="U323" s="3">
        <v>0</v>
      </c>
      <c r="V323" s="3">
        <v>11</v>
      </c>
      <c r="X323" s="4" t="s">
        <v>4174</v>
      </c>
      <c r="Y323" s="4" t="s">
        <v>4122</v>
      </c>
      <c r="Z323" s="4" t="s">
        <v>4122</v>
      </c>
      <c r="AA323" s="3">
        <v>1598</v>
      </c>
      <c r="AB323" s="3">
        <v>1463</v>
      </c>
      <c r="AC323" s="3">
        <v>1472</v>
      </c>
      <c r="AD323" s="3">
        <v>9</v>
      </c>
      <c r="AE323" s="9">
        <v>9</v>
      </c>
      <c r="AF323" s="9">
        <v>48</v>
      </c>
      <c r="AG323" s="9">
        <v>48</v>
      </c>
      <c r="AH323" s="3">
        <v>19</v>
      </c>
      <c r="AI323" s="3">
        <v>19</v>
      </c>
      <c r="AJ323" s="3">
        <v>9</v>
      </c>
      <c r="AK323" s="3">
        <v>9</v>
      </c>
      <c r="AL323" s="3">
        <v>23</v>
      </c>
      <c r="AM323" s="3">
        <v>23</v>
      </c>
      <c r="AN323" s="3">
        <v>8</v>
      </c>
      <c r="AO323" s="3">
        <v>8</v>
      </c>
      <c r="AP323" s="3">
        <v>0</v>
      </c>
      <c r="AQ323" s="3">
        <v>0</v>
      </c>
      <c r="AR323" s="2" t="s">
        <v>5</v>
      </c>
      <c r="AS323" s="2" t="s">
        <v>46</v>
      </c>
      <c r="AT323" s="5" t="str">
        <f>HYPERLINK("http://catalog.hathitrust.org/Record/000196731","HathiTrust Record")</f>
        <v>HathiTrust Record</v>
      </c>
      <c r="AU323" s="5" t="str">
        <f>HYPERLINK("https://creighton-primo.hosted.exlibrisgroup.com/primo-explore/search?tab=default_tab&amp;search_scope=EVERYTHING&amp;vid=01CRU&amp;lang=en_US&amp;offset=0&amp;query=any,contains,991005354699702656","Catalog Record")</f>
        <v>Catalog Record</v>
      </c>
      <c r="AV323" s="5" t="str">
        <f>HYPERLINK("http://www.worldcat.org/oclc/344007","WorldCat Record")</f>
        <v>WorldCat Record</v>
      </c>
      <c r="AW323" s="2" t="s">
        <v>4187</v>
      </c>
      <c r="AX323" s="2" t="s">
        <v>4188</v>
      </c>
      <c r="AY323" s="2" t="s">
        <v>4189</v>
      </c>
      <c r="AZ323" s="2" t="s">
        <v>4189</v>
      </c>
      <c r="BA323" s="2" t="s">
        <v>4190</v>
      </c>
      <c r="BB323" s="2" t="s">
        <v>20</v>
      </c>
      <c r="BE323" s="2" t="s">
        <v>4199</v>
      </c>
      <c r="BF323" s="2" t="s">
        <v>4200</v>
      </c>
    </row>
    <row r="324" spans="1:58" ht="39.75" customHeight="1" x14ac:dyDescent="0.25">
      <c r="A324" s="7" t="s">
        <v>5</v>
      </c>
      <c r="B324" s="1" t="s">
        <v>0</v>
      </c>
      <c r="C324" s="1" t="s">
        <v>1</v>
      </c>
      <c r="D324" s="1" t="s">
        <v>4201</v>
      </c>
      <c r="E324" s="1" t="s">
        <v>4202</v>
      </c>
      <c r="F324" s="1" t="s">
        <v>4203</v>
      </c>
      <c r="H324" s="2" t="s">
        <v>5</v>
      </c>
      <c r="I324" s="2" t="s">
        <v>6</v>
      </c>
      <c r="J324" s="2" t="s">
        <v>5</v>
      </c>
      <c r="K324" s="2" t="s">
        <v>5</v>
      </c>
      <c r="L324" s="2" t="s">
        <v>7</v>
      </c>
      <c r="M324" s="1" t="s">
        <v>4204</v>
      </c>
      <c r="N324" s="1" t="s">
        <v>4205</v>
      </c>
      <c r="O324" s="2" t="s">
        <v>4206</v>
      </c>
      <c r="Q324" s="2" t="s">
        <v>60</v>
      </c>
      <c r="R324" s="2" t="s">
        <v>277</v>
      </c>
      <c r="S324" s="1" t="s">
        <v>1904</v>
      </c>
      <c r="T324" s="2" t="s">
        <v>13</v>
      </c>
      <c r="U324" s="3">
        <v>2</v>
      </c>
      <c r="V324" s="3">
        <v>2</v>
      </c>
      <c r="W324" s="4" t="s">
        <v>4207</v>
      </c>
      <c r="X324" s="4" t="s">
        <v>4207</v>
      </c>
      <c r="Y324" s="4" t="s">
        <v>4122</v>
      </c>
      <c r="Z324" s="4" t="s">
        <v>4122</v>
      </c>
      <c r="AA324" s="3">
        <v>182</v>
      </c>
      <c r="AB324" s="3">
        <v>172</v>
      </c>
      <c r="AC324" s="3">
        <v>181</v>
      </c>
      <c r="AD324" s="3">
        <v>5</v>
      </c>
      <c r="AE324" s="9">
        <v>5</v>
      </c>
      <c r="AF324" s="9">
        <v>14</v>
      </c>
      <c r="AG324" s="9">
        <v>14</v>
      </c>
      <c r="AH324" s="3">
        <v>5</v>
      </c>
      <c r="AI324" s="3">
        <v>5</v>
      </c>
      <c r="AJ324" s="3">
        <v>3</v>
      </c>
      <c r="AK324" s="3">
        <v>3</v>
      </c>
      <c r="AL324" s="3">
        <v>4</v>
      </c>
      <c r="AM324" s="3">
        <v>4</v>
      </c>
      <c r="AN324" s="3">
        <v>4</v>
      </c>
      <c r="AO324" s="3">
        <v>4</v>
      </c>
      <c r="AP324" s="3">
        <v>0</v>
      </c>
      <c r="AQ324" s="3">
        <v>0</v>
      </c>
      <c r="AR324" s="2" t="s">
        <v>46</v>
      </c>
      <c r="AS324" s="2" t="s">
        <v>46</v>
      </c>
      <c r="AT324" s="5" t="str">
        <f>HYPERLINK("http://catalog.hathitrust.org/Record/006506492","HathiTrust Record")</f>
        <v>HathiTrust Record</v>
      </c>
      <c r="AU324" s="5" t="str">
        <f>HYPERLINK("https://creighton-primo.hosted.exlibrisgroup.com/primo-explore/search?tab=default_tab&amp;search_scope=EVERYTHING&amp;vid=01CRU&amp;lang=en_US&amp;offset=0&amp;query=any,contains,991003547459702656","Catalog Record")</f>
        <v>Catalog Record</v>
      </c>
      <c r="AV324" s="5" t="str">
        <f>HYPERLINK("http://www.worldcat.org/oclc/1114453","WorldCat Record")</f>
        <v>WorldCat Record</v>
      </c>
      <c r="AW324" s="2" t="s">
        <v>4208</v>
      </c>
      <c r="AX324" s="2" t="s">
        <v>4209</v>
      </c>
      <c r="AY324" s="2" t="s">
        <v>4210</v>
      </c>
      <c r="AZ324" s="2" t="s">
        <v>4210</v>
      </c>
      <c r="BA324" s="2" t="s">
        <v>4211</v>
      </c>
      <c r="BB324" s="2" t="s">
        <v>20</v>
      </c>
      <c r="BE324" s="2" t="s">
        <v>4212</v>
      </c>
      <c r="BF324" s="2" t="s">
        <v>4213</v>
      </c>
    </row>
    <row r="325" spans="1:58" ht="39.75" customHeight="1" x14ac:dyDescent="0.25">
      <c r="A325" s="7" t="s">
        <v>5</v>
      </c>
      <c r="B325" s="1" t="s">
        <v>0</v>
      </c>
      <c r="C325" s="1" t="s">
        <v>1</v>
      </c>
      <c r="D325" s="1" t="s">
        <v>4214</v>
      </c>
      <c r="E325" s="1" t="s">
        <v>4215</v>
      </c>
      <c r="F325" s="1" t="s">
        <v>4216</v>
      </c>
      <c r="H325" s="2" t="s">
        <v>5</v>
      </c>
      <c r="I325" s="2" t="s">
        <v>6</v>
      </c>
      <c r="J325" s="2" t="s">
        <v>5</v>
      </c>
      <c r="K325" s="2" t="s">
        <v>5</v>
      </c>
      <c r="L325" s="2" t="s">
        <v>7</v>
      </c>
      <c r="M325" s="1" t="s">
        <v>4217</v>
      </c>
      <c r="N325" s="1" t="s">
        <v>4218</v>
      </c>
      <c r="O325" s="2" t="s">
        <v>639</v>
      </c>
      <c r="Q325" s="2" t="s">
        <v>60</v>
      </c>
      <c r="R325" s="2" t="s">
        <v>871</v>
      </c>
      <c r="S325" s="1" t="s">
        <v>4219</v>
      </c>
      <c r="T325" s="2" t="s">
        <v>13</v>
      </c>
      <c r="U325" s="3">
        <v>2</v>
      </c>
      <c r="V325" s="3">
        <v>2</v>
      </c>
      <c r="W325" s="4" t="s">
        <v>4220</v>
      </c>
      <c r="X325" s="4" t="s">
        <v>4220</v>
      </c>
      <c r="Y325" s="4" t="s">
        <v>4221</v>
      </c>
      <c r="Z325" s="4" t="s">
        <v>4221</v>
      </c>
      <c r="AA325" s="3">
        <v>379</v>
      </c>
      <c r="AB325" s="3">
        <v>290</v>
      </c>
      <c r="AC325" s="3">
        <v>556</v>
      </c>
      <c r="AD325" s="3">
        <v>3</v>
      </c>
      <c r="AE325" s="9">
        <v>3</v>
      </c>
      <c r="AF325" s="9">
        <v>15</v>
      </c>
      <c r="AG325" s="9">
        <v>25</v>
      </c>
      <c r="AH325" s="3">
        <v>3</v>
      </c>
      <c r="AI325" s="3">
        <v>11</v>
      </c>
      <c r="AJ325" s="3">
        <v>5</v>
      </c>
      <c r="AK325" s="3">
        <v>8</v>
      </c>
      <c r="AL325" s="3">
        <v>10</v>
      </c>
      <c r="AM325" s="3">
        <v>14</v>
      </c>
      <c r="AN325" s="3">
        <v>2</v>
      </c>
      <c r="AO325" s="3">
        <v>2</v>
      </c>
      <c r="AP325" s="3">
        <v>0</v>
      </c>
      <c r="AQ325" s="3">
        <v>0</v>
      </c>
      <c r="AR325" s="2" t="s">
        <v>5</v>
      </c>
      <c r="AS325" s="2" t="s">
        <v>46</v>
      </c>
      <c r="AT325" s="5" t="str">
        <f>HYPERLINK("http://catalog.hathitrust.org/Record/000928779","HathiTrust Record")</f>
        <v>HathiTrust Record</v>
      </c>
      <c r="AU325" s="5" t="str">
        <f>HYPERLINK("https://creighton-primo.hosted.exlibrisgroup.com/primo-explore/search?tab=default_tab&amp;search_scope=EVERYTHING&amp;vid=01CRU&amp;lang=en_US&amp;offset=0&amp;query=any,contains,991001235559702656","Catalog Record")</f>
        <v>Catalog Record</v>
      </c>
      <c r="AV325" s="5" t="str">
        <f>HYPERLINK("http://www.worldcat.org/oclc/17550206","WorldCat Record")</f>
        <v>WorldCat Record</v>
      </c>
      <c r="AW325" s="2" t="s">
        <v>4222</v>
      </c>
      <c r="AX325" s="2" t="s">
        <v>4223</v>
      </c>
      <c r="AY325" s="2" t="s">
        <v>4224</v>
      </c>
      <c r="AZ325" s="2" t="s">
        <v>4224</v>
      </c>
      <c r="BA325" s="2" t="s">
        <v>4225</v>
      </c>
      <c r="BB325" s="2" t="s">
        <v>20</v>
      </c>
      <c r="BD325" s="2" t="s">
        <v>4226</v>
      </c>
      <c r="BE325" s="2" t="s">
        <v>4227</v>
      </c>
      <c r="BF325" s="2" t="s">
        <v>4228</v>
      </c>
    </row>
    <row r="326" spans="1:58" ht="39.75" customHeight="1" x14ac:dyDescent="0.25">
      <c r="A326" s="7" t="s">
        <v>5</v>
      </c>
      <c r="B326" s="1" t="s">
        <v>0</v>
      </c>
      <c r="C326" s="1" t="s">
        <v>1</v>
      </c>
      <c r="D326" s="1" t="s">
        <v>4229</v>
      </c>
      <c r="E326" s="1" t="s">
        <v>4230</v>
      </c>
      <c r="F326" s="1" t="s">
        <v>4231</v>
      </c>
      <c r="H326" s="2" t="s">
        <v>5</v>
      </c>
      <c r="I326" s="2" t="s">
        <v>6</v>
      </c>
      <c r="J326" s="2" t="s">
        <v>5</v>
      </c>
      <c r="K326" s="2" t="s">
        <v>5</v>
      </c>
      <c r="L326" s="2" t="s">
        <v>7</v>
      </c>
      <c r="M326" s="1" t="s">
        <v>4232</v>
      </c>
      <c r="N326" s="1" t="s">
        <v>4233</v>
      </c>
      <c r="O326" s="2" t="s">
        <v>1566</v>
      </c>
      <c r="Q326" s="2" t="s">
        <v>60</v>
      </c>
      <c r="R326" s="2" t="s">
        <v>193</v>
      </c>
      <c r="S326" s="1" t="s">
        <v>4234</v>
      </c>
      <c r="T326" s="2" t="s">
        <v>13</v>
      </c>
      <c r="U326" s="3">
        <v>3</v>
      </c>
      <c r="V326" s="3">
        <v>3</v>
      </c>
      <c r="W326" s="4" t="s">
        <v>4235</v>
      </c>
      <c r="X326" s="4" t="s">
        <v>4235</v>
      </c>
      <c r="Y326" s="4" t="s">
        <v>4122</v>
      </c>
      <c r="Z326" s="4" t="s">
        <v>4122</v>
      </c>
      <c r="AA326" s="3">
        <v>248</v>
      </c>
      <c r="AB326" s="3">
        <v>188</v>
      </c>
      <c r="AC326" s="3">
        <v>546</v>
      </c>
      <c r="AD326" s="3">
        <v>2</v>
      </c>
      <c r="AE326" s="9">
        <v>4</v>
      </c>
      <c r="AF326" s="9">
        <v>9</v>
      </c>
      <c r="AG326" s="9">
        <v>35</v>
      </c>
      <c r="AH326" s="3">
        <v>4</v>
      </c>
      <c r="AI326" s="3">
        <v>14</v>
      </c>
      <c r="AJ326" s="3">
        <v>2</v>
      </c>
      <c r="AK326" s="3">
        <v>9</v>
      </c>
      <c r="AL326" s="3">
        <v>6</v>
      </c>
      <c r="AM326" s="3">
        <v>22</v>
      </c>
      <c r="AN326" s="3">
        <v>1</v>
      </c>
      <c r="AO326" s="3">
        <v>2</v>
      </c>
      <c r="AP326" s="3">
        <v>0</v>
      </c>
      <c r="AQ326" s="3">
        <v>0</v>
      </c>
      <c r="AR326" s="2" t="s">
        <v>5</v>
      </c>
      <c r="AS326" s="2" t="s">
        <v>46</v>
      </c>
      <c r="AT326" s="5" t="str">
        <f>HYPERLINK("http://catalog.hathitrust.org/Record/001218660","HathiTrust Record")</f>
        <v>HathiTrust Record</v>
      </c>
      <c r="AU326" s="5" t="str">
        <f>HYPERLINK("https://creighton-primo.hosted.exlibrisgroup.com/primo-explore/search?tab=default_tab&amp;search_scope=EVERYTHING&amp;vid=01CRU&amp;lang=en_US&amp;offset=0&amp;query=any,contains,991004048889702656","Catalog Record")</f>
        <v>Catalog Record</v>
      </c>
      <c r="AV326" s="5" t="str">
        <f>HYPERLINK("http://www.worldcat.org/oclc/2207617","WorldCat Record")</f>
        <v>WorldCat Record</v>
      </c>
      <c r="AW326" s="2" t="s">
        <v>4236</v>
      </c>
      <c r="AX326" s="2" t="s">
        <v>4237</v>
      </c>
      <c r="AY326" s="2" t="s">
        <v>4238</v>
      </c>
      <c r="AZ326" s="2" t="s">
        <v>4238</v>
      </c>
      <c r="BA326" s="2" t="s">
        <v>4239</v>
      </c>
      <c r="BB326" s="2" t="s">
        <v>20</v>
      </c>
      <c r="BE326" s="2" t="s">
        <v>4240</v>
      </c>
      <c r="BF326" s="2" t="s">
        <v>4241</v>
      </c>
    </row>
    <row r="327" spans="1:58" ht="39.75" customHeight="1" x14ac:dyDescent="0.25">
      <c r="A327" s="7" t="s">
        <v>5</v>
      </c>
      <c r="B327" s="1" t="s">
        <v>0</v>
      </c>
      <c r="C327" s="1" t="s">
        <v>1</v>
      </c>
      <c r="D327" s="1" t="s">
        <v>4242</v>
      </c>
      <c r="E327" s="1" t="s">
        <v>4243</v>
      </c>
      <c r="F327" s="1" t="s">
        <v>4244</v>
      </c>
      <c r="H327" s="2" t="s">
        <v>5</v>
      </c>
      <c r="I327" s="2" t="s">
        <v>6</v>
      </c>
      <c r="J327" s="2" t="s">
        <v>5</v>
      </c>
      <c r="K327" s="2" t="s">
        <v>5</v>
      </c>
      <c r="L327" s="2" t="s">
        <v>7</v>
      </c>
      <c r="M327" s="1" t="s">
        <v>4245</v>
      </c>
      <c r="N327" s="1" t="s">
        <v>4246</v>
      </c>
      <c r="O327" s="2" t="s">
        <v>2329</v>
      </c>
      <c r="Q327" s="2" t="s">
        <v>60</v>
      </c>
      <c r="R327" s="2" t="s">
        <v>61</v>
      </c>
      <c r="T327" s="2" t="s">
        <v>13</v>
      </c>
      <c r="U327" s="3">
        <v>1</v>
      </c>
      <c r="V327" s="3">
        <v>1</v>
      </c>
      <c r="W327" s="4" t="s">
        <v>4247</v>
      </c>
      <c r="X327" s="4" t="s">
        <v>4247</v>
      </c>
      <c r="Y327" s="4" t="s">
        <v>4122</v>
      </c>
      <c r="Z327" s="4" t="s">
        <v>4122</v>
      </c>
      <c r="AA327" s="3">
        <v>116</v>
      </c>
      <c r="AB327" s="3">
        <v>111</v>
      </c>
      <c r="AC327" s="3">
        <v>160</v>
      </c>
      <c r="AD327" s="3">
        <v>2</v>
      </c>
      <c r="AE327" s="9">
        <v>2</v>
      </c>
      <c r="AF327" s="9">
        <v>16</v>
      </c>
      <c r="AG327" s="9">
        <v>18</v>
      </c>
      <c r="AH327" s="3">
        <v>2</v>
      </c>
      <c r="AI327" s="3">
        <v>2</v>
      </c>
      <c r="AJ327" s="3">
        <v>4</v>
      </c>
      <c r="AK327" s="3">
        <v>4</v>
      </c>
      <c r="AL327" s="3">
        <v>14</v>
      </c>
      <c r="AM327" s="3">
        <v>16</v>
      </c>
      <c r="AN327" s="3">
        <v>1</v>
      </c>
      <c r="AO327" s="3">
        <v>1</v>
      </c>
      <c r="AP327" s="3">
        <v>0</v>
      </c>
      <c r="AQ327" s="3">
        <v>0</v>
      </c>
      <c r="AR327" s="2" t="s">
        <v>5</v>
      </c>
      <c r="AS327" s="2" t="s">
        <v>5</v>
      </c>
      <c r="AT327" s="5" t="str">
        <f>HYPERLINK("http://catalog.hathitrust.org/Record/102044253","HathiTrust Record")</f>
        <v>HathiTrust Record</v>
      </c>
      <c r="AU327" s="5" t="str">
        <f>HYPERLINK("https://creighton-primo.hosted.exlibrisgroup.com/primo-explore/search?tab=default_tab&amp;search_scope=EVERYTHING&amp;vid=01CRU&amp;lang=en_US&amp;offset=0&amp;query=any,contains,991004303589702656","Catalog Record")</f>
        <v>Catalog Record</v>
      </c>
      <c r="AV327" s="5" t="str">
        <f>HYPERLINK("http://www.worldcat.org/oclc/2975472","WorldCat Record")</f>
        <v>WorldCat Record</v>
      </c>
      <c r="AW327" s="2" t="s">
        <v>4248</v>
      </c>
      <c r="AX327" s="2" t="s">
        <v>4249</v>
      </c>
      <c r="AY327" s="2" t="s">
        <v>4250</v>
      </c>
      <c r="AZ327" s="2" t="s">
        <v>4250</v>
      </c>
      <c r="BA327" s="2" t="s">
        <v>4251</v>
      </c>
      <c r="BB327" s="2" t="s">
        <v>20</v>
      </c>
      <c r="BE327" s="2" t="s">
        <v>4252</v>
      </c>
      <c r="BF327" s="2" t="s">
        <v>4253</v>
      </c>
    </row>
    <row r="328" spans="1:58" ht="39.75" customHeight="1" x14ac:dyDescent="0.25">
      <c r="A328" s="7" t="s">
        <v>5</v>
      </c>
      <c r="B328" s="1" t="s">
        <v>0</v>
      </c>
      <c r="C328" s="1" t="s">
        <v>1</v>
      </c>
      <c r="D328" s="1" t="s">
        <v>4254</v>
      </c>
      <c r="E328" s="1" t="s">
        <v>4255</v>
      </c>
      <c r="F328" s="1" t="s">
        <v>4256</v>
      </c>
      <c r="H328" s="2" t="s">
        <v>5</v>
      </c>
      <c r="I328" s="2" t="s">
        <v>6</v>
      </c>
      <c r="J328" s="2" t="s">
        <v>5</v>
      </c>
      <c r="K328" s="2" t="s">
        <v>5</v>
      </c>
      <c r="L328" s="2" t="s">
        <v>7</v>
      </c>
      <c r="M328" s="1" t="s">
        <v>4257</v>
      </c>
      <c r="N328" s="1" t="s">
        <v>4258</v>
      </c>
      <c r="O328" s="2" t="s">
        <v>1678</v>
      </c>
      <c r="Q328" s="2" t="s">
        <v>60</v>
      </c>
      <c r="R328" s="2" t="s">
        <v>193</v>
      </c>
      <c r="T328" s="2" t="s">
        <v>13</v>
      </c>
      <c r="U328" s="3">
        <v>2</v>
      </c>
      <c r="V328" s="3">
        <v>2</v>
      </c>
      <c r="W328" s="4" t="s">
        <v>4081</v>
      </c>
      <c r="X328" s="4" t="s">
        <v>4081</v>
      </c>
      <c r="Y328" s="4" t="s">
        <v>4122</v>
      </c>
      <c r="Z328" s="4" t="s">
        <v>4122</v>
      </c>
      <c r="AA328" s="3">
        <v>51</v>
      </c>
      <c r="AB328" s="3">
        <v>43</v>
      </c>
      <c r="AC328" s="3">
        <v>49</v>
      </c>
      <c r="AD328" s="3">
        <v>1</v>
      </c>
      <c r="AE328" s="9">
        <v>1</v>
      </c>
      <c r="AF328" s="9">
        <v>3</v>
      </c>
      <c r="AG328" s="9">
        <v>3</v>
      </c>
      <c r="AH328" s="3">
        <v>1</v>
      </c>
      <c r="AI328" s="3">
        <v>1</v>
      </c>
      <c r="AJ328" s="3">
        <v>1</v>
      </c>
      <c r="AK328" s="3">
        <v>1</v>
      </c>
      <c r="AL328" s="3">
        <v>3</v>
      </c>
      <c r="AM328" s="3">
        <v>3</v>
      </c>
      <c r="AN328" s="3">
        <v>0</v>
      </c>
      <c r="AO328" s="3">
        <v>0</v>
      </c>
      <c r="AP328" s="3">
        <v>0</v>
      </c>
      <c r="AQ328" s="3">
        <v>0</v>
      </c>
      <c r="AR328" s="2" t="s">
        <v>46</v>
      </c>
      <c r="AS328" s="2" t="s">
        <v>5</v>
      </c>
      <c r="AT328" s="5" t="str">
        <f>HYPERLINK("http://catalog.hathitrust.org/Record/100390101","HathiTrust Record")</f>
        <v>HathiTrust Record</v>
      </c>
      <c r="AU328" s="5" t="str">
        <f>HYPERLINK("https://creighton-primo.hosted.exlibrisgroup.com/primo-explore/search?tab=default_tab&amp;search_scope=EVERYTHING&amp;vid=01CRU&amp;lang=en_US&amp;offset=0&amp;query=any,contains,991004295259702656","Catalog Record")</f>
        <v>Catalog Record</v>
      </c>
      <c r="AV328" s="5" t="str">
        <f>HYPERLINK("http://www.worldcat.org/oclc/2963358","WorldCat Record")</f>
        <v>WorldCat Record</v>
      </c>
      <c r="AW328" s="2" t="s">
        <v>4259</v>
      </c>
      <c r="AX328" s="2" t="s">
        <v>4260</v>
      </c>
      <c r="AY328" s="2" t="s">
        <v>4261</v>
      </c>
      <c r="AZ328" s="2" t="s">
        <v>4261</v>
      </c>
      <c r="BA328" s="2" t="s">
        <v>4262</v>
      </c>
      <c r="BB328" s="2" t="s">
        <v>20</v>
      </c>
      <c r="BE328" s="2" t="s">
        <v>4263</v>
      </c>
      <c r="BF328" s="2" t="s">
        <v>4264</v>
      </c>
    </row>
    <row r="329" spans="1:58" ht="39.75" customHeight="1" x14ac:dyDescent="0.25">
      <c r="A329" s="7" t="s">
        <v>5</v>
      </c>
      <c r="B329" s="1" t="s">
        <v>0</v>
      </c>
      <c r="C329" s="1" t="s">
        <v>1</v>
      </c>
      <c r="D329" s="1" t="s">
        <v>4265</v>
      </c>
      <c r="E329" s="1" t="s">
        <v>4266</v>
      </c>
      <c r="F329" s="1" t="s">
        <v>4267</v>
      </c>
      <c r="H329" s="2" t="s">
        <v>5</v>
      </c>
      <c r="I329" s="2" t="s">
        <v>6</v>
      </c>
      <c r="J329" s="2" t="s">
        <v>5</v>
      </c>
      <c r="K329" s="2" t="s">
        <v>5</v>
      </c>
      <c r="L329" s="2" t="s">
        <v>7</v>
      </c>
      <c r="M329" s="1" t="s">
        <v>4268</v>
      </c>
      <c r="N329" s="1" t="s">
        <v>4269</v>
      </c>
      <c r="O329" s="2" t="s">
        <v>76</v>
      </c>
      <c r="Q329" s="2" t="s">
        <v>60</v>
      </c>
      <c r="R329" s="2" t="s">
        <v>61</v>
      </c>
      <c r="T329" s="2" t="s">
        <v>13</v>
      </c>
      <c r="U329" s="3">
        <v>4</v>
      </c>
      <c r="V329" s="3">
        <v>4</v>
      </c>
      <c r="W329" s="4" t="s">
        <v>4270</v>
      </c>
      <c r="X329" s="4" t="s">
        <v>4270</v>
      </c>
      <c r="Y329" s="4" t="s">
        <v>4271</v>
      </c>
      <c r="Z329" s="4" t="s">
        <v>4271</v>
      </c>
      <c r="AA329" s="3">
        <v>136</v>
      </c>
      <c r="AB329" s="3">
        <v>122</v>
      </c>
      <c r="AC329" s="3">
        <v>612</v>
      </c>
      <c r="AD329" s="3">
        <v>2</v>
      </c>
      <c r="AE329" s="9">
        <v>4</v>
      </c>
      <c r="AF329" s="9">
        <v>11</v>
      </c>
      <c r="AG329" s="9">
        <v>36</v>
      </c>
      <c r="AH329" s="3">
        <v>4</v>
      </c>
      <c r="AI329" s="3">
        <v>12</v>
      </c>
      <c r="AJ329" s="3">
        <v>4</v>
      </c>
      <c r="AK329" s="3">
        <v>10</v>
      </c>
      <c r="AL329" s="3">
        <v>5</v>
      </c>
      <c r="AM329" s="3">
        <v>19</v>
      </c>
      <c r="AN329" s="3">
        <v>1</v>
      </c>
      <c r="AO329" s="3">
        <v>3</v>
      </c>
      <c r="AP329" s="3">
        <v>0</v>
      </c>
      <c r="AQ329" s="3">
        <v>0</v>
      </c>
      <c r="AR329" s="2" t="s">
        <v>5</v>
      </c>
      <c r="AS329" s="2" t="s">
        <v>5</v>
      </c>
      <c r="AU329" s="5" t="str">
        <f>HYPERLINK("https://creighton-primo.hosted.exlibrisgroup.com/primo-explore/search?tab=default_tab&amp;search_scope=EVERYTHING&amp;vid=01CRU&amp;lang=en_US&amp;offset=0&amp;query=any,contains,991005175639702656","Catalog Record")</f>
        <v>Catalog Record</v>
      </c>
      <c r="AV329" s="5" t="str">
        <f>HYPERLINK("http://www.worldcat.org/oclc/7922121","WorldCat Record")</f>
        <v>WorldCat Record</v>
      </c>
      <c r="AW329" s="2" t="s">
        <v>4272</v>
      </c>
      <c r="AX329" s="2" t="s">
        <v>4273</v>
      </c>
      <c r="AY329" s="2" t="s">
        <v>4274</v>
      </c>
      <c r="AZ329" s="2" t="s">
        <v>4274</v>
      </c>
      <c r="BA329" s="2" t="s">
        <v>4275</v>
      </c>
      <c r="BB329" s="2" t="s">
        <v>20</v>
      </c>
      <c r="BE329" s="2" t="s">
        <v>4276</v>
      </c>
      <c r="BF329" s="2" t="s">
        <v>4277</v>
      </c>
    </row>
    <row r="330" spans="1:58" ht="39.75" customHeight="1" x14ac:dyDescent="0.25">
      <c r="A330" s="7" t="s">
        <v>5</v>
      </c>
      <c r="B330" s="1" t="s">
        <v>0</v>
      </c>
      <c r="C330" s="1" t="s">
        <v>1</v>
      </c>
      <c r="D330" s="1" t="s">
        <v>4278</v>
      </c>
      <c r="E330" s="1" t="s">
        <v>4279</v>
      </c>
      <c r="F330" s="1" t="s">
        <v>4280</v>
      </c>
      <c r="H330" s="2" t="s">
        <v>5</v>
      </c>
      <c r="I330" s="2" t="s">
        <v>6</v>
      </c>
      <c r="J330" s="2" t="s">
        <v>5</v>
      </c>
      <c r="K330" s="2" t="s">
        <v>5</v>
      </c>
      <c r="L330" s="2" t="s">
        <v>7</v>
      </c>
      <c r="M330" s="1" t="s">
        <v>4281</v>
      </c>
      <c r="N330" s="1" t="s">
        <v>4282</v>
      </c>
      <c r="O330" s="2" t="s">
        <v>4283</v>
      </c>
      <c r="P330" s="1" t="s">
        <v>4284</v>
      </c>
      <c r="Q330" s="2" t="s">
        <v>60</v>
      </c>
      <c r="R330" s="2" t="s">
        <v>234</v>
      </c>
      <c r="S330" s="1" t="s">
        <v>4285</v>
      </c>
      <c r="T330" s="2" t="s">
        <v>13</v>
      </c>
      <c r="U330" s="3">
        <v>7</v>
      </c>
      <c r="V330" s="3">
        <v>7</v>
      </c>
      <c r="W330" s="4" t="s">
        <v>4286</v>
      </c>
      <c r="X330" s="4" t="s">
        <v>4286</v>
      </c>
      <c r="Y330" s="4" t="s">
        <v>4122</v>
      </c>
      <c r="Z330" s="4" t="s">
        <v>4122</v>
      </c>
      <c r="AA330" s="3">
        <v>52</v>
      </c>
      <c r="AB330" s="3">
        <v>40</v>
      </c>
      <c r="AC330" s="3">
        <v>495</v>
      </c>
      <c r="AD330" s="3">
        <v>1</v>
      </c>
      <c r="AE330" s="9">
        <v>4</v>
      </c>
      <c r="AF330" s="9">
        <v>3</v>
      </c>
      <c r="AG330" s="9">
        <v>28</v>
      </c>
      <c r="AH330" s="3">
        <v>1</v>
      </c>
      <c r="AI330" s="3">
        <v>9</v>
      </c>
      <c r="AJ330" s="3">
        <v>1</v>
      </c>
      <c r="AK330" s="3">
        <v>5</v>
      </c>
      <c r="AL330" s="3">
        <v>2</v>
      </c>
      <c r="AM330" s="3">
        <v>16</v>
      </c>
      <c r="AN330" s="3">
        <v>0</v>
      </c>
      <c r="AO330" s="3">
        <v>3</v>
      </c>
      <c r="AP330" s="3">
        <v>0</v>
      </c>
      <c r="AQ330" s="3">
        <v>0</v>
      </c>
      <c r="AR330" s="2" t="s">
        <v>46</v>
      </c>
      <c r="AS330" s="2" t="s">
        <v>5</v>
      </c>
      <c r="AT330" s="5" t="str">
        <f>HYPERLINK("http://catalog.hathitrust.org/Record/100374003","HathiTrust Record")</f>
        <v>HathiTrust Record</v>
      </c>
      <c r="AU330" s="5" t="str">
        <f>HYPERLINK("https://creighton-primo.hosted.exlibrisgroup.com/primo-explore/search?tab=default_tab&amp;search_scope=EVERYTHING&amp;vid=01CRU&amp;lang=en_US&amp;offset=0&amp;query=any,contains,991003194929702656","Catalog Record")</f>
        <v>Catalog Record</v>
      </c>
      <c r="AV330" s="5" t="str">
        <f>HYPERLINK("http://www.worldcat.org/oclc/720318","WorldCat Record")</f>
        <v>WorldCat Record</v>
      </c>
      <c r="AW330" s="2" t="s">
        <v>4287</v>
      </c>
      <c r="AX330" s="2" t="s">
        <v>4288</v>
      </c>
      <c r="AY330" s="2" t="s">
        <v>4289</v>
      </c>
      <c r="AZ330" s="2" t="s">
        <v>4289</v>
      </c>
      <c r="BA330" s="2" t="s">
        <v>4290</v>
      </c>
      <c r="BB330" s="2" t="s">
        <v>20</v>
      </c>
      <c r="BE330" s="2" t="s">
        <v>4291</v>
      </c>
      <c r="BF330" s="2" t="s">
        <v>4292</v>
      </c>
    </row>
    <row r="331" spans="1:58" ht="39.75" customHeight="1" x14ac:dyDescent="0.25">
      <c r="A331" s="7" t="s">
        <v>5</v>
      </c>
      <c r="B331" s="1" t="s">
        <v>0</v>
      </c>
      <c r="C331" s="1" t="s">
        <v>1</v>
      </c>
      <c r="D331" s="1" t="s">
        <v>4293</v>
      </c>
      <c r="E331" s="1" t="s">
        <v>4294</v>
      </c>
      <c r="F331" s="1" t="s">
        <v>4295</v>
      </c>
      <c r="H331" s="2" t="s">
        <v>5</v>
      </c>
      <c r="I331" s="2" t="s">
        <v>6</v>
      </c>
      <c r="J331" s="2" t="s">
        <v>5</v>
      </c>
      <c r="K331" s="2" t="s">
        <v>5</v>
      </c>
      <c r="L331" s="2" t="s">
        <v>7</v>
      </c>
      <c r="M331" s="1" t="s">
        <v>4296</v>
      </c>
      <c r="N331" s="1" t="s">
        <v>4297</v>
      </c>
      <c r="O331" s="2" t="s">
        <v>4298</v>
      </c>
      <c r="Q331" s="2" t="s">
        <v>60</v>
      </c>
      <c r="R331" s="2" t="s">
        <v>61</v>
      </c>
      <c r="T331" s="2" t="s">
        <v>13</v>
      </c>
      <c r="U331" s="3">
        <v>3</v>
      </c>
      <c r="V331" s="3">
        <v>3</v>
      </c>
      <c r="W331" s="4" t="s">
        <v>4299</v>
      </c>
      <c r="X331" s="4" t="s">
        <v>4299</v>
      </c>
      <c r="Y331" s="4" t="s">
        <v>4122</v>
      </c>
      <c r="Z331" s="4" t="s">
        <v>4122</v>
      </c>
      <c r="AA331" s="3">
        <v>203</v>
      </c>
      <c r="AB331" s="3">
        <v>190</v>
      </c>
      <c r="AC331" s="3">
        <v>240</v>
      </c>
      <c r="AD331" s="3">
        <v>2</v>
      </c>
      <c r="AE331" s="9">
        <v>3</v>
      </c>
      <c r="AF331" s="9">
        <v>23</v>
      </c>
      <c r="AG331" s="9">
        <v>26</v>
      </c>
      <c r="AH331" s="3">
        <v>8</v>
      </c>
      <c r="AI331" s="3">
        <v>9</v>
      </c>
      <c r="AJ331" s="3">
        <v>5</v>
      </c>
      <c r="AK331" s="3">
        <v>5</v>
      </c>
      <c r="AL331" s="3">
        <v>18</v>
      </c>
      <c r="AM331" s="3">
        <v>20</v>
      </c>
      <c r="AN331" s="3">
        <v>0</v>
      </c>
      <c r="AO331" s="3">
        <v>1</v>
      </c>
      <c r="AP331" s="3">
        <v>0</v>
      </c>
      <c r="AQ331" s="3">
        <v>0</v>
      </c>
      <c r="AR331" s="2" t="s">
        <v>46</v>
      </c>
      <c r="AS331" s="2" t="s">
        <v>5</v>
      </c>
      <c r="AT331" s="5" t="str">
        <f>HYPERLINK("http://catalog.hathitrust.org/Record/001226833","HathiTrust Record")</f>
        <v>HathiTrust Record</v>
      </c>
      <c r="AU331" s="5" t="str">
        <f>HYPERLINK("https://creighton-primo.hosted.exlibrisgroup.com/primo-explore/search?tab=default_tab&amp;search_scope=EVERYTHING&amp;vid=01CRU&amp;lang=en_US&amp;offset=0&amp;query=any,contains,991002231809702656","Catalog Record")</f>
        <v>Catalog Record</v>
      </c>
      <c r="AV331" s="5" t="str">
        <f>HYPERLINK("http://www.worldcat.org/oclc/294269","WorldCat Record")</f>
        <v>WorldCat Record</v>
      </c>
      <c r="AW331" s="2" t="s">
        <v>4300</v>
      </c>
      <c r="AX331" s="2" t="s">
        <v>4301</v>
      </c>
      <c r="AY331" s="2" t="s">
        <v>4302</v>
      </c>
      <c r="AZ331" s="2" t="s">
        <v>4302</v>
      </c>
      <c r="BA331" s="2" t="s">
        <v>4303</v>
      </c>
      <c r="BB331" s="2" t="s">
        <v>20</v>
      </c>
      <c r="BE331" s="2" t="s">
        <v>4304</v>
      </c>
      <c r="BF331" s="2" t="s">
        <v>4305</v>
      </c>
    </row>
    <row r="332" spans="1:58" ht="39.75" customHeight="1" x14ac:dyDescent="0.25">
      <c r="A332" s="7" t="s">
        <v>5</v>
      </c>
      <c r="B332" s="1" t="s">
        <v>0</v>
      </c>
      <c r="C332" s="1" t="s">
        <v>1</v>
      </c>
      <c r="D332" s="1" t="s">
        <v>4306</v>
      </c>
      <c r="E332" s="1" t="s">
        <v>4307</v>
      </c>
      <c r="F332" s="1" t="s">
        <v>4308</v>
      </c>
      <c r="H332" s="2" t="s">
        <v>5</v>
      </c>
      <c r="I332" s="2" t="s">
        <v>6</v>
      </c>
      <c r="J332" s="2" t="s">
        <v>5</v>
      </c>
      <c r="K332" s="2" t="s">
        <v>5</v>
      </c>
      <c r="L332" s="2" t="s">
        <v>7</v>
      </c>
      <c r="M332" s="1" t="s">
        <v>4309</v>
      </c>
      <c r="N332" s="1" t="s">
        <v>4310</v>
      </c>
      <c r="O332" s="2" t="s">
        <v>10</v>
      </c>
      <c r="Q332" s="2" t="s">
        <v>60</v>
      </c>
      <c r="R332" s="2" t="s">
        <v>292</v>
      </c>
      <c r="T332" s="2" t="s">
        <v>13</v>
      </c>
      <c r="U332" s="3">
        <v>9</v>
      </c>
      <c r="V332" s="3">
        <v>9</v>
      </c>
      <c r="W332" s="4" t="s">
        <v>4311</v>
      </c>
      <c r="X332" s="4" t="s">
        <v>4311</v>
      </c>
      <c r="Y332" s="4" t="s">
        <v>4122</v>
      </c>
      <c r="Z332" s="4" t="s">
        <v>4122</v>
      </c>
      <c r="AA332" s="3">
        <v>797</v>
      </c>
      <c r="AB332" s="3">
        <v>738</v>
      </c>
      <c r="AC332" s="3">
        <v>918</v>
      </c>
      <c r="AD332" s="3">
        <v>5</v>
      </c>
      <c r="AE332" s="9">
        <v>7</v>
      </c>
      <c r="AF332" s="9">
        <v>39</v>
      </c>
      <c r="AG332" s="9">
        <v>44</v>
      </c>
      <c r="AH332" s="3">
        <v>16</v>
      </c>
      <c r="AI332" s="3">
        <v>19</v>
      </c>
      <c r="AJ332" s="3">
        <v>8</v>
      </c>
      <c r="AK332" s="3">
        <v>8</v>
      </c>
      <c r="AL332" s="3">
        <v>23</v>
      </c>
      <c r="AM332" s="3">
        <v>24</v>
      </c>
      <c r="AN332" s="3">
        <v>3</v>
      </c>
      <c r="AO332" s="3">
        <v>5</v>
      </c>
      <c r="AP332" s="3">
        <v>0</v>
      </c>
      <c r="AQ332" s="3">
        <v>0</v>
      </c>
      <c r="AR332" s="2" t="s">
        <v>5</v>
      </c>
      <c r="AS332" s="2" t="s">
        <v>46</v>
      </c>
      <c r="AT332" s="5" t="str">
        <f>HYPERLINK("http://catalog.hathitrust.org/Record/000869194","HathiTrust Record")</f>
        <v>HathiTrust Record</v>
      </c>
      <c r="AU332" s="5" t="str">
        <f>HYPERLINK("https://creighton-primo.hosted.exlibrisgroup.com/primo-explore/search?tab=default_tab&amp;search_scope=EVERYTHING&amp;vid=01CRU&amp;lang=en_US&amp;offset=0&amp;query=any,contains,991003988449702656","Catalog Record")</f>
        <v>Catalog Record</v>
      </c>
      <c r="AV332" s="5" t="str">
        <f>HYPERLINK("http://www.worldcat.org/oclc/2035788","WorldCat Record")</f>
        <v>WorldCat Record</v>
      </c>
      <c r="AW332" s="2" t="s">
        <v>4312</v>
      </c>
      <c r="AX332" s="2" t="s">
        <v>4313</v>
      </c>
      <c r="AY332" s="2" t="s">
        <v>4314</v>
      </c>
      <c r="AZ332" s="2" t="s">
        <v>4314</v>
      </c>
      <c r="BA332" s="2" t="s">
        <v>4315</v>
      </c>
      <c r="BB332" s="2" t="s">
        <v>20</v>
      </c>
      <c r="BE332" s="2" t="s">
        <v>4316</v>
      </c>
      <c r="BF332" s="2" t="s">
        <v>4317</v>
      </c>
    </row>
    <row r="333" spans="1:58" ht="39.75" customHeight="1" x14ac:dyDescent="0.25">
      <c r="A333" s="7" t="s">
        <v>5</v>
      </c>
      <c r="B333" s="1" t="s">
        <v>0</v>
      </c>
      <c r="C333" s="1" t="s">
        <v>1</v>
      </c>
      <c r="D333" s="1" t="s">
        <v>4318</v>
      </c>
      <c r="E333" s="1" t="s">
        <v>4319</v>
      </c>
      <c r="F333" s="1" t="s">
        <v>4320</v>
      </c>
      <c r="H333" s="2" t="s">
        <v>5</v>
      </c>
      <c r="I333" s="2" t="s">
        <v>6</v>
      </c>
      <c r="J333" s="2" t="s">
        <v>5</v>
      </c>
      <c r="K333" s="2" t="s">
        <v>5</v>
      </c>
      <c r="L333" s="2" t="s">
        <v>7</v>
      </c>
      <c r="M333" s="1" t="s">
        <v>4321</v>
      </c>
      <c r="N333" s="1" t="s">
        <v>4322</v>
      </c>
      <c r="O333" s="2" t="s">
        <v>219</v>
      </c>
      <c r="Q333" s="2" t="s">
        <v>60</v>
      </c>
      <c r="R333" s="2" t="s">
        <v>234</v>
      </c>
      <c r="T333" s="2" t="s">
        <v>13</v>
      </c>
      <c r="U333" s="3">
        <v>12</v>
      </c>
      <c r="V333" s="3">
        <v>12</v>
      </c>
      <c r="W333" s="4" t="s">
        <v>1364</v>
      </c>
      <c r="X333" s="4" t="s">
        <v>1364</v>
      </c>
      <c r="Y333" s="4" t="s">
        <v>4323</v>
      </c>
      <c r="Z333" s="4" t="s">
        <v>4323</v>
      </c>
      <c r="AA333" s="3">
        <v>299</v>
      </c>
      <c r="AB333" s="3">
        <v>225</v>
      </c>
      <c r="AC333" s="3">
        <v>434</v>
      </c>
      <c r="AD333" s="3">
        <v>3</v>
      </c>
      <c r="AE333" s="9">
        <v>5</v>
      </c>
      <c r="AF333" s="9">
        <v>19</v>
      </c>
      <c r="AG333" s="9">
        <v>30</v>
      </c>
      <c r="AH333" s="3">
        <v>5</v>
      </c>
      <c r="AI333" s="3">
        <v>10</v>
      </c>
      <c r="AJ333" s="3">
        <v>3</v>
      </c>
      <c r="AK333" s="3">
        <v>4</v>
      </c>
      <c r="AL333" s="3">
        <v>15</v>
      </c>
      <c r="AM333" s="3">
        <v>19</v>
      </c>
      <c r="AN333" s="3">
        <v>2</v>
      </c>
      <c r="AO333" s="3">
        <v>4</v>
      </c>
      <c r="AP333" s="3">
        <v>0</v>
      </c>
      <c r="AQ333" s="3">
        <v>0</v>
      </c>
      <c r="AR333" s="2" t="s">
        <v>5</v>
      </c>
      <c r="AS333" s="2" t="s">
        <v>46</v>
      </c>
      <c r="AT333" s="5" t="str">
        <f>HYPERLINK("http://catalog.hathitrust.org/Record/001226809","HathiTrust Record")</f>
        <v>HathiTrust Record</v>
      </c>
      <c r="AU333" s="5" t="str">
        <f>HYPERLINK("https://creighton-primo.hosted.exlibrisgroup.com/primo-explore/search?tab=default_tab&amp;search_scope=EVERYTHING&amp;vid=01CRU&amp;lang=en_US&amp;offset=0&amp;query=any,contains,991002325819702656","Catalog Record")</f>
        <v>Catalog Record</v>
      </c>
      <c r="AV333" s="5" t="str">
        <f>HYPERLINK("http://www.worldcat.org/oclc/320817","WorldCat Record")</f>
        <v>WorldCat Record</v>
      </c>
      <c r="AW333" s="2" t="s">
        <v>4324</v>
      </c>
      <c r="AX333" s="2" t="s">
        <v>4325</v>
      </c>
      <c r="AY333" s="2" t="s">
        <v>4326</v>
      </c>
      <c r="AZ333" s="2" t="s">
        <v>4326</v>
      </c>
      <c r="BA333" s="2" t="s">
        <v>4327</v>
      </c>
      <c r="BB333" s="2" t="s">
        <v>20</v>
      </c>
      <c r="BE333" s="2" t="s">
        <v>4328</v>
      </c>
      <c r="BF333" s="2" t="s">
        <v>4329</v>
      </c>
    </row>
    <row r="334" spans="1:58" ht="39.75" customHeight="1" x14ac:dyDescent="0.25">
      <c r="A334" s="7" t="s">
        <v>5</v>
      </c>
      <c r="B334" s="1" t="s">
        <v>0</v>
      </c>
      <c r="C334" s="1" t="s">
        <v>1</v>
      </c>
      <c r="D334" s="1" t="s">
        <v>4330</v>
      </c>
      <c r="E334" s="1" t="s">
        <v>4331</v>
      </c>
      <c r="F334" s="1" t="s">
        <v>4332</v>
      </c>
      <c r="H334" s="2" t="s">
        <v>5</v>
      </c>
      <c r="I334" s="2" t="s">
        <v>6</v>
      </c>
      <c r="J334" s="2" t="s">
        <v>5</v>
      </c>
      <c r="K334" s="2" t="s">
        <v>5</v>
      </c>
      <c r="L334" s="2" t="s">
        <v>7</v>
      </c>
      <c r="M334" s="1" t="s">
        <v>4333</v>
      </c>
      <c r="N334" s="1" t="s">
        <v>4334</v>
      </c>
      <c r="O334" s="2" t="s">
        <v>121</v>
      </c>
      <c r="Q334" s="2" t="s">
        <v>60</v>
      </c>
      <c r="R334" s="2" t="s">
        <v>323</v>
      </c>
      <c r="S334" s="1" t="s">
        <v>4335</v>
      </c>
      <c r="T334" s="2" t="s">
        <v>13</v>
      </c>
      <c r="U334" s="3">
        <v>1</v>
      </c>
      <c r="V334" s="3">
        <v>1</v>
      </c>
      <c r="W334" s="4" t="s">
        <v>2045</v>
      </c>
      <c r="X334" s="4" t="s">
        <v>2045</v>
      </c>
      <c r="Y334" s="4" t="s">
        <v>2045</v>
      </c>
      <c r="Z334" s="4" t="s">
        <v>2045</v>
      </c>
      <c r="AA334" s="3">
        <v>926</v>
      </c>
      <c r="AB334" s="3">
        <v>825</v>
      </c>
      <c r="AC334" s="3">
        <v>831</v>
      </c>
      <c r="AD334" s="3">
        <v>11</v>
      </c>
      <c r="AE334" s="9">
        <v>11</v>
      </c>
      <c r="AF334" s="9">
        <v>43</v>
      </c>
      <c r="AG334" s="9">
        <v>43</v>
      </c>
      <c r="AH334" s="3">
        <v>14</v>
      </c>
      <c r="AI334" s="3">
        <v>14</v>
      </c>
      <c r="AJ334" s="3">
        <v>10</v>
      </c>
      <c r="AK334" s="3">
        <v>10</v>
      </c>
      <c r="AL334" s="3">
        <v>20</v>
      </c>
      <c r="AM334" s="3">
        <v>20</v>
      </c>
      <c r="AN334" s="3">
        <v>10</v>
      </c>
      <c r="AO334" s="3">
        <v>10</v>
      </c>
      <c r="AP334" s="3">
        <v>0</v>
      </c>
      <c r="AQ334" s="3">
        <v>0</v>
      </c>
      <c r="AR334" s="2" t="s">
        <v>5</v>
      </c>
      <c r="AS334" s="2" t="s">
        <v>46</v>
      </c>
      <c r="AT334" s="5" t="str">
        <f>HYPERLINK("http://catalog.hathitrust.org/Record/001014517","HathiTrust Record")</f>
        <v>HathiTrust Record</v>
      </c>
      <c r="AU334" s="5" t="str">
        <f>HYPERLINK("https://creighton-primo.hosted.exlibrisgroup.com/primo-explore/search?tab=default_tab&amp;search_scope=EVERYTHING&amp;vid=01CRU&amp;lang=en_US&amp;offset=0&amp;query=any,contains,991005436129702656","Catalog Record")</f>
        <v>Catalog Record</v>
      </c>
      <c r="AV334" s="5" t="str">
        <f>HYPERLINK("http://www.worldcat.org/oclc/4159","WorldCat Record")</f>
        <v>WorldCat Record</v>
      </c>
      <c r="AW334" s="2" t="s">
        <v>4336</v>
      </c>
      <c r="AX334" s="2" t="s">
        <v>4337</v>
      </c>
      <c r="AY334" s="2" t="s">
        <v>4338</v>
      </c>
      <c r="AZ334" s="2" t="s">
        <v>4338</v>
      </c>
      <c r="BA334" s="2" t="s">
        <v>4339</v>
      </c>
      <c r="BB334" s="2" t="s">
        <v>20</v>
      </c>
      <c r="BE334" s="2" t="s">
        <v>4340</v>
      </c>
      <c r="BF334" s="2" t="s">
        <v>4341</v>
      </c>
    </row>
    <row r="335" spans="1:58" ht="39.75" customHeight="1" x14ac:dyDescent="0.25">
      <c r="A335" s="7" t="s">
        <v>5</v>
      </c>
      <c r="B335" s="1" t="s">
        <v>0</v>
      </c>
      <c r="C335" s="1" t="s">
        <v>1</v>
      </c>
      <c r="D335" s="1" t="s">
        <v>4342</v>
      </c>
      <c r="E335" s="1" t="s">
        <v>4343</v>
      </c>
      <c r="F335" s="1" t="s">
        <v>4344</v>
      </c>
      <c r="H335" s="2" t="s">
        <v>5</v>
      </c>
      <c r="I335" s="2" t="s">
        <v>6</v>
      </c>
      <c r="J335" s="2" t="s">
        <v>5</v>
      </c>
      <c r="K335" s="2" t="s">
        <v>5</v>
      </c>
      <c r="L335" s="2" t="s">
        <v>7</v>
      </c>
      <c r="M335" s="1" t="s">
        <v>4345</v>
      </c>
      <c r="N335" s="1" t="s">
        <v>4346</v>
      </c>
      <c r="O335" s="2" t="s">
        <v>162</v>
      </c>
      <c r="Q335" s="2" t="s">
        <v>60</v>
      </c>
      <c r="R335" s="2" t="s">
        <v>61</v>
      </c>
      <c r="S335" s="1" t="s">
        <v>4347</v>
      </c>
      <c r="T335" s="2" t="s">
        <v>13</v>
      </c>
      <c r="U335" s="3">
        <v>4</v>
      </c>
      <c r="V335" s="3">
        <v>4</v>
      </c>
      <c r="W335" s="4" t="s">
        <v>4348</v>
      </c>
      <c r="X335" s="4" t="s">
        <v>4348</v>
      </c>
      <c r="Y335" s="4" t="s">
        <v>180</v>
      </c>
      <c r="Z335" s="4" t="s">
        <v>180</v>
      </c>
      <c r="AA335" s="3">
        <v>278</v>
      </c>
      <c r="AB335" s="3">
        <v>254</v>
      </c>
      <c r="AC335" s="3">
        <v>370</v>
      </c>
      <c r="AD335" s="3">
        <v>4</v>
      </c>
      <c r="AE335" s="9">
        <v>4</v>
      </c>
      <c r="AF335" s="9">
        <v>10</v>
      </c>
      <c r="AG335" s="9">
        <v>14</v>
      </c>
      <c r="AH335" s="3">
        <v>3</v>
      </c>
      <c r="AI335" s="3">
        <v>5</v>
      </c>
      <c r="AJ335" s="3">
        <v>0</v>
      </c>
      <c r="AK335" s="3">
        <v>2</v>
      </c>
      <c r="AL335" s="3">
        <v>7</v>
      </c>
      <c r="AM335" s="3">
        <v>10</v>
      </c>
      <c r="AN335" s="3">
        <v>2</v>
      </c>
      <c r="AO335" s="3">
        <v>2</v>
      </c>
      <c r="AP335" s="3">
        <v>0</v>
      </c>
      <c r="AQ335" s="3">
        <v>0</v>
      </c>
      <c r="AR335" s="2" t="s">
        <v>5</v>
      </c>
      <c r="AS335" s="2" t="s">
        <v>5</v>
      </c>
      <c r="AU335" s="5" t="str">
        <f>HYPERLINK("https://creighton-primo.hosted.exlibrisgroup.com/primo-explore/search?tab=default_tab&amp;search_scope=EVERYTHING&amp;vid=01CRU&amp;lang=en_US&amp;offset=0&amp;query=any,contains,991000206869702656","Catalog Record")</f>
        <v>Catalog Record</v>
      </c>
      <c r="AV335" s="5" t="str">
        <f>HYPERLINK("http://www.worldcat.org/oclc/65453","WorldCat Record")</f>
        <v>WorldCat Record</v>
      </c>
      <c r="AW335" s="2" t="s">
        <v>4349</v>
      </c>
      <c r="AX335" s="2" t="s">
        <v>4350</v>
      </c>
      <c r="AY335" s="2" t="s">
        <v>4351</v>
      </c>
      <c r="AZ335" s="2" t="s">
        <v>4351</v>
      </c>
      <c r="BA335" s="2" t="s">
        <v>4352</v>
      </c>
      <c r="BB335" s="2" t="s">
        <v>20</v>
      </c>
      <c r="BD335" s="2" t="s">
        <v>4353</v>
      </c>
      <c r="BE335" s="2" t="s">
        <v>4354</v>
      </c>
      <c r="BF335" s="2" t="s">
        <v>4355</v>
      </c>
    </row>
    <row r="336" spans="1:58" ht="39.75" customHeight="1" x14ac:dyDescent="0.25">
      <c r="A336" s="7" t="s">
        <v>5</v>
      </c>
      <c r="B336" s="1" t="s">
        <v>0</v>
      </c>
      <c r="C336" s="1" t="s">
        <v>1</v>
      </c>
      <c r="D336" s="1" t="s">
        <v>4356</v>
      </c>
      <c r="E336" s="1" t="s">
        <v>4357</v>
      </c>
      <c r="F336" s="1" t="s">
        <v>4358</v>
      </c>
      <c r="H336" s="2" t="s">
        <v>5</v>
      </c>
      <c r="I336" s="2" t="s">
        <v>6</v>
      </c>
      <c r="J336" s="2" t="s">
        <v>5</v>
      </c>
      <c r="K336" s="2" t="s">
        <v>5</v>
      </c>
      <c r="L336" s="2" t="s">
        <v>7</v>
      </c>
      <c r="M336" s="1" t="s">
        <v>4359</v>
      </c>
      <c r="N336" s="1" t="s">
        <v>2693</v>
      </c>
      <c r="O336" s="2" t="s">
        <v>248</v>
      </c>
      <c r="Q336" s="2" t="s">
        <v>60</v>
      </c>
      <c r="R336" s="2" t="s">
        <v>193</v>
      </c>
      <c r="S336" s="1" t="s">
        <v>4360</v>
      </c>
      <c r="T336" s="2" t="s">
        <v>13</v>
      </c>
      <c r="U336" s="3">
        <v>6</v>
      </c>
      <c r="V336" s="3">
        <v>6</v>
      </c>
      <c r="W336" s="4" t="s">
        <v>4361</v>
      </c>
      <c r="X336" s="4" t="s">
        <v>4361</v>
      </c>
      <c r="Y336" s="4" t="s">
        <v>180</v>
      </c>
      <c r="Z336" s="4" t="s">
        <v>180</v>
      </c>
      <c r="AA336" s="3">
        <v>861</v>
      </c>
      <c r="AB336" s="3">
        <v>580</v>
      </c>
      <c r="AC336" s="3">
        <v>615</v>
      </c>
      <c r="AD336" s="3">
        <v>4</v>
      </c>
      <c r="AE336" s="9">
        <v>4</v>
      </c>
      <c r="AF336" s="9">
        <v>33</v>
      </c>
      <c r="AG336" s="9">
        <v>33</v>
      </c>
      <c r="AH336" s="3">
        <v>13</v>
      </c>
      <c r="AI336" s="3">
        <v>13</v>
      </c>
      <c r="AJ336" s="3">
        <v>8</v>
      </c>
      <c r="AK336" s="3">
        <v>8</v>
      </c>
      <c r="AL336" s="3">
        <v>18</v>
      </c>
      <c r="AM336" s="3">
        <v>18</v>
      </c>
      <c r="AN336" s="3">
        <v>3</v>
      </c>
      <c r="AO336" s="3">
        <v>3</v>
      </c>
      <c r="AP336" s="3">
        <v>0</v>
      </c>
      <c r="AQ336" s="3">
        <v>0</v>
      </c>
      <c r="AR336" s="2" t="s">
        <v>5</v>
      </c>
      <c r="AS336" s="2" t="s">
        <v>46</v>
      </c>
      <c r="AT336" s="5" t="str">
        <f>HYPERLINK("http://catalog.hathitrust.org/Record/001202513","HathiTrust Record")</f>
        <v>HathiTrust Record</v>
      </c>
      <c r="AU336" s="5" t="str">
        <f>HYPERLINK("https://creighton-primo.hosted.exlibrisgroup.com/primo-explore/search?tab=default_tab&amp;search_scope=EVERYTHING&amp;vid=01CRU&amp;lang=en_US&amp;offset=0&amp;query=any,contains,991001235229702656","Catalog Record")</f>
        <v>Catalog Record</v>
      </c>
      <c r="AV336" s="5" t="str">
        <f>HYPERLINK("http://www.worldcat.org/oclc/205591","WorldCat Record")</f>
        <v>WorldCat Record</v>
      </c>
      <c r="AW336" s="2" t="s">
        <v>4362</v>
      </c>
      <c r="AX336" s="2" t="s">
        <v>4363</v>
      </c>
      <c r="AY336" s="2" t="s">
        <v>4364</v>
      </c>
      <c r="AZ336" s="2" t="s">
        <v>4364</v>
      </c>
      <c r="BA336" s="2" t="s">
        <v>4365</v>
      </c>
      <c r="BB336" s="2" t="s">
        <v>20</v>
      </c>
      <c r="BD336" s="2" t="s">
        <v>4366</v>
      </c>
      <c r="BE336" s="2" t="s">
        <v>4367</v>
      </c>
      <c r="BF336" s="2" t="s">
        <v>4368</v>
      </c>
    </row>
    <row r="337" spans="1:58" ht="39.75" customHeight="1" x14ac:dyDescent="0.25">
      <c r="A337" s="7" t="s">
        <v>5</v>
      </c>
      <c r="B337" s="1" t="s">
        <v>0</v>
      </c>
      <c r="C337" s="1" t="s">
        <v>1</v>
      </c>
      <c r="D337" s="1" t="s">
        <v>4369</v>
      </c>
      <c r="E337" s="1" t="s">
        <v>4370</v>
      </c>
      <c r="F337" s="1" t="s">
        <v>4371</v>
      </c>
      <c r="H337" s="2" t="s">
        <v>5</v>
      </c>
      <c r="I337" s="2" t="s">
        <v>6</v>
      </c>
      <c r="J337" s="2" t="s">
        <v>5</v>
      </c>
      <c r="K337" s="2" t="s">
        <v>5</v>
      </c>
      <c r="L337" s="2" t="s">
        <v>7</v>
      </c>
      <c r="M337" s="1" t="s">
        <v>4372</v>
      </c>
      <c r="N337" s="1" t="s">
        <v>4373</v>
      </c>
      <c r="O337" s="2" t="s">
        <v>162</v>
      </c>
      <c r="Q337" s="2" t="s">
        <v>60</v>
      </c>
      <c r="R337" s="2" t="s">
        <v>1123</v>
      </c>
      <c r="T337" s="2" t="s">
        <v>13</v>
      </c>
      <c r="U337" s="3">
        <v>2</v>
      </c>
      <c r="V337" s="3">
        <v>2</v>
      </c>
      <c r="W337" s="4" t="s">
        <v>4348</v>
      </c>
      <c r="X337" s="4" t="s">
        <v>4348</v>
      </c>
      <c r="Y337" s="4" t="s">
        <v>180</v>
      </c>
      <c r="Z337" s="4" t="s">
        <v>180</v>
      </c>
      <c r="AA337" s="3">
        <v>460</v>
      </c>
      <c r="AB337" s="3">
        <v>410</v>
      </c>
      <c r="AC337" s="3">
        <v>758</v>
      </c>
      <c r="AD337" s="3">
        <v>5</v>
      </c>
      <c r="AE337" s="9">
        <v>8</v>
      </c>
      <c r="AF337" s="9">
        <v>18</v>
      </c>
      <c r="AG337" s="9">
        <v>36</v>
      </c>
      <c r="AH337" s="3">
        <v>5</v>
      </c>
      <c r="AI337" s="3">
        <v>15</v>
      </c>
      <c r="AJ337" s="3">
        <v>5</v>
      </c>
      <c r="AK337" s="3">
        <v>7</v>
      </c>
      <c r="AL337" s="3">
        <v>7</v>
      </c>
      <c r="AM337" s="3">
        <v>14</v>
      </c>
      <c r="AN337" s="3">
        <v>4</v>
      </c>
      <c r="AO337" s="3">
        <v>7</v>
      </c>
      <c r="AP337" s="3">
        <v>0</v>
      </c>
      <c r="AQ337" s="3">
        <v>0</v>
      </c>
      <c r="AR337" s="2" t="s">
        <v>5</v>
      </c>
      <c r="AS337" s="2" t="s">
        <v>5</v>
      </c>
      <c r="AU337" s="5" t="str">
        <f>HYPERLINK("https://creighton-primo.hosted.exlibrisgroup.com/primo-explore/search?tab=default_tab&amp;search_scope=EVERYTHING&amp;vid=01CRU&amp;lang=en_US&amp;offset=0&amp;query=any,contains,991000604159702656","Catalog Record")</f>
        <v>Catalog Record</v>
      </c>
      <c r="AV337" s="5" t="str">
        <f>HYPERLINK("http://www.worldcat.org/oclc/98540","WorldCat Record")</f>
        <v>WorldCat Record</v>
      </c>
      <c r="AW337" s="2" t="s">
        <v>4374</v>
      </c>
      <c r="AX337" s="2" t="s">
        <v>4375</v>
      </c>
      <c r="AY337" s="2" t="s">
        <v>4376</v>
      </c>
      <c r="AZ337" s="2" t="s">
        <v>4376</v>
      </c>
      <c r="BA337" s="2" t="s">
        <v>4377</v>
      </c>
      <c r="BB337" s="2" t="s">
        <v>20</v>
      </c>
      <c r="BD337" s="2" t="s">
        <v>4378</v>
      </c>
      <c r="BE337" s="2" t="s">
        <v>4379</v>
      </c>
      <c r="BF337" s="2" t="s">
        <v>4380</v>
      </c>
    </row>
    <row r="338" spans="1:58" ht="39.75" customHeight="1" x14ac:dyDescent="0.25">
      <c r="A338" s="7" t="s">
        <v>5</v>
      </c>
      <c r="B338" s="1" t="s">
        <v>0</v>
      </c>
      <c r="C338" s="1" t="s">
        <v>1</v>
      </c>
      <c r="D338" s="1" t="s">
        <v>4381</v>
      </c>
      <c r="E338" s="1" t="s">
        <v>4382</v>
      </c>
      <c r="F338" s="1" t="s">
        <v>4383</v>
      </c>
      <c r="H338" s="2" t="s">
        <v>5</v>
      </c>
      <c r="I338" s="2" t="s">
        <v>6</v>
      </c>
      <c r="J338" s="2" t="s">
        <v>5</v>
      </c>
      <c r="K338" s="2" t="s">
        <v>5</v>
      </c>
      <c r="L338" s="2" t="s">
        <v>7</v>
      </c>
      <c r="M338" s="1" t="s">
        <v>4384</v>
      </c>
      <c r="N338" s="1" t="s">
        <v>4385</v>
      </c>
      <c r="O338" s="2" t="s">
        <v>494</v>
      </c>
      <c r="Q338" s="2" t="s">
        <v>60</v>
      </c>
      <c r="R338" s="2" t="s">
        <v>871</v>
      </c>
      <c r="T338" s="2" t="s">
        <v>13</v>
      </c>
      <c r="U338" s="3">
        <v>1</v>
      </c>
      <c r="V338" s="3">
        <v>1</v>
      </c>
      <c r="W338" s="4" t="s">
        <v>1228</v>
      </c>
      <c r="X338" s="4" t="s">
        <v>1228</v>
      </c>
      <c r="Y338" s="4" t="s">
        <v>180</v>
      </c>
      <c r="Z338" s="4" t="s">
        <v>180</v>
      </c>
      <c r="AA338" s="3">
        <v>388</v>
      </c>
      <c r="AB338" s="3">
        <v>315</v>
      </c>
      <c r="AC338" s="3">
        <v>321</v>
      </c>
      <c r="AD338" s="3">
        <v>3</v>
      </c>
      <c r="AE338" s="9">
        <v>3</v>
      </c>
      <c r="AF338" s="9">
        <v>12</v>
      </c>
      <c r="AG338" s="9">
        <v>13</v>
      </c>
      <c r="AH338" s="3">
        <v>3</v>
      </c>
      <c r="AI338" s="3">
        <v>3</v>
      </c>
      <c r="AJ338" s="3">
        <v>3</v>
      </c>
      <c r="AK338" s="3">
        <v>4</v>
      </c>
      <c r="AL338" s="3">
        <v>5</v>
      </c>
      <c r="AM338" s="3">
        <v>6</v>
      </c>
      <c r="AN338" s="3">
        <v>2</v>
      </c>
      <c r="AO338" s="3">
        <v>2</v>
      </c>
      <c r="AP338" s="3">
        <v>0</v>
      </c>
      <c r="AQ338" s="3">
        <v>0</v>
      </c>
      <c r="AR338" s="2" t="s">
        <v>5</v>
      </c>
      <c r="AS338" s="2" t="s">
        <v>46</v>
      </c>
      <c r="AT338" s="5" t="str">
        <f>HYPERLINK("http://catalog.hathitrust.org/Record/000213953","HathiTrust Record")</f>
        <v>HathiTrust Record</v>
      </c>
      <c r="AU338" s="5" t="str">
        <f>HYPERLINK("https://creighton-primo.hosted.exlibrisgroup.com/primo-explore/search?tab=default_tab&amp;search_scope=EVERYTHING&amp;vid=01CRU&amp;lang=en_US&amp;offset=0&amp;query=any,contains,991004298749702656","Catalog Record")</f>
        <v>Catalog Record</v>
      </c>
      <c r="AV338" s="5" t="str">
        <f>HYPERLINK("http://www.worldcat.org/oclc/2966883","WorldCat Record")</f>
        <v>WorldCat Record</v>
      </c>
      <c r="AW338" s="2" t="s">
        <v>4386</v>
      </c>
      <c r="AX338" s="2" t="s">
        <v>4387</v>
      </c>
      <c r="AY338" s="2" t="s">
        <v>4388</v>
      </c>
      <c r="AZ338" s="2" t="s">
        <v>4388</v>
      </c>
      <c r="BA338" s="2" t="s">
        <v>4389</v>
      </c>
      <c r="BB338" s="2" t="s">
        <v>20</v>
      </c>
      <c r="BD338" s="2" t="s">
        <v>4390</v>
      </c>
      <c r="BE338" s="2" t="s">
        <v>4391</v>
      </c>
      <c r="BF338" s="2" t="s">
        <v>4392</v>
      </c>
    </row>
    <row r="339" spans="1:58" ht="39.75" customHeight="1" x14ac:dyDescent="0.25">
      <c r="A339" s="7" t="s">
        <v>5</v>
      </c>
      <c r="B339" s="1" t="s">
        <v>0</v>
      </c>
      <c r="C339" s="1" t="s">
        <v>1</v>
      </c>
      <c r="D339" s="1" t="s">
        <v>4393</v>
      </c>
      <c r="E339" s="1" t="s">
        <v>4394</v>
      </c>
      <c r="F339" s="1" t="s">
        <v>4395</v>
      </c>
      <c r="H339" s="2" t="s">
        <v>5</v>
      </c>
      <c r="I339" s="2" t="s">
        <v>6</v>
      </c>
      <c r="J339" s="2" t="s">
        <v>5</v>
      </c>
      <c r="K339" s="2" t="s">
        <v>5</v>
      </c>
      <c r="L339" s="2" t="s">
        <v>7</v>
      </c>
      <c r="M339" s="1" t="s">
        <v>4396</v>
      </c>
      <c r="N339" s="1" t="s">
        <v>4397</v>
      </c>
      <c r="O339" s="2" t="s">
        <v>1390</v>
      </c>
      <c r="Q339" s="2" t="s">
        <v>60</v>
      </c>
      <c r="R339" s="2" t="s">
        <v>193</v>
      </c>
      <c r="T339" s="2" t="s">
        <v>13</v>
      </c>
      <c r="U339" s="3">
        <v>5</v>
      </c>
      <c r="V339" s="3">
        <v>5</v>
      </c>
      <c r="W339" s="4" t="s">
        <v>4398</v>
      </c>
      <c r="X339" s="4" t="s">
        <v>4398</v>
      </c>
      <c r="Y339" s="4" t="s">
        <v>4221</v>
      </c>
      <c r="Z339" s="4" t="s">
        <v>4221</v>
      </c>
      <c r="AA339" s="3">
        <v>696</v>
      </c>
      <c r="AB339" s="3">
        <v>525</v>
      </c>
      <c r="AC339" s="3">
        <v>624</v>
      </c>
      <c r="AD339" s="3">
        <v>4</v>
      </c>
      <c r="AE339" s="9">
        <v>4</v>
      </c>
      <c r="AF339" s="9">
        <v>26</v>
      </c>
      <c r="AG339" s="9">
        <v>36</v>
      </c>
      <c r="AH339" s="3">
        <v>12</v>
      </c>
      <c r="AI339" s="3">
        <v>14</v>
      </c>
      <c r="AJ339" s="3">
        <v>6</v>
      </c>
      <c r="AK339" s="3">
        <v>10</v>
      </c>
      <c r="AL339" s="3">
        <v>12</v>
      </c>
      <c r="AM339" s="3">
        <v>19</v>
      </c>
      <c r="AN339" s="3">
        <v>3</v>
      </c>
      <c r="AO339" s="3">
        <v>3</v>
      </c>
      <c r="AP339" s="3">
        <v>0</v>
      </c>
      <c r="AQ339" s="3">
        <v>0</v>
      </c>
      <c r="AR339" s="2" t="s">
        <v>5</v>
      </c>
      <c r="AS339" s="2" t="s">
        <v>46</v>
      </c>
      <c r="AT339" s="5" t="str">
        <f>HYPERLINK("http://catalog.hathitrust.org/Record/000742750","HathiTrust Record")</f>
        <v>HathiTrust Record</v>
      </c>
      <c r="AU339" s="5" t="str">
        <f>HYPERLINK("https://creighton-primo.hosted.exlibrisgroup.com/primo-explore/search?tab=default_tab&amp;search_scope=EVERYTHING&amp;vid=01CRU&amp;lang=en_US&amp;offset=0&amp;query=any,contains,991004886069702656","Catalog Record")</f>
        <v>Catalog Record</v>
      </c>
      <c r="AV339" s="5" t="str">
        <f>HYPERLINK("http://www.worldcat.org/oclc/5831980","WorldCat Record")</f>
        <v>WorldCat Record</v>
      </c>
      <c r="AW339" s="2" t="s">
        <v>4399</v>
      </c>
      <c r="AX339" s="2" t="s">
        <v>4400</v>
      </c>
      <c r="AY339" s="2" t="s">
        <v>4401</v>
      </c>
      <c r="AZ339" s="2" t="s">
        <v>4401</v>
      </c>
      <c r="BA339" s="2" t="s">
        <v>4402</v>
      </c>
      <c r="BB339" s="2" t="s">
        <v>20</v>
      </c>
      <c r="BD339" s="2" t="s">
        <v>4403</v>
      </c>
      <c r="BE339" s="2" t="s">
        <v>4404</v>
      </c>
      <c r="BF339" s="2" t="s">
        <v>4405</v>
      </c>
    </row>
    <row r="340" spans="1:58" ht="39.75" customHeight="1" x14ac:dyDescent="0.25">
      <c r="A340" s="7" t="s">
        <v>5</v>
      </c>
      <c r="B340" s="1" t="s">
        <v>0</v>
      </c>
      <c r="C340" s="1" t="s">
        <v>1</v>
      </c>
      <c r="D340" s="1" t="s">
        <v>4406</v>
      </c>
      <c r="E340" s="1" t="s">
        <v>4407</v>
      </c>
      <c r="F340" s="1" t="s">
        <v>4408</v>
      </c>
      <c r="H340" s="2" t="s">
        <v>5</v>
      </c>
      <c r="I340" s="2" t="s">
        <v>6</v>
      </c>
      <c r="J340" s="2" t="s">
        <v>5</v>
      </c>
      <c r="K340" s="2" t="s">
        <v>5</v>
      </c>
      <c r="L340" s="2" t="s">
        <v>7</v>
      </c>
      <c r="M340" s="1" t="s">
        <v>4409</v>
      </c>
      <c r="N340" s="1" t="s">
        <v>4410</v>
      </c>
      <c r="O340" s="2" t="s">
        <v>4411</v>
      </c>
      <c r="Q340" s="2" t="s">
        <v>4010</v>
      </c>
      <c r="R340" s="2" t="s">
        <v>4011</v>
      </c>
      <c r="T340" s="2" t="s">
        <v>13</v>
      </c>
      <c r="U340" s="3">
        <v>2</v>
      </c>
      <c r="V340" s="3">
        <v>2</v>
      </c>
      <c r="W340" s="4" t="s">
        <v>4412</v>
      </c>
      <c r="X340" s="4" t="s">
        <v>4412</v>
      </c>
      <c r="Y340" s="4" t="s">
        <v>4122</v>
      </c>
      <c r="Z340" s="4" t="s">
        <v>4122</v>
      </c>
      <c r="AA340" s="3">
        <v>26</v>
      </c>
      <c r="AB340" s="3">
        <v>19</v>
      </c>
      <c r="AC340" s="3">
        <v>26</v>
      </c>
      <c r="AD340" s="3">
        <v>1</v>
      </c>
      <c r="AE340" s="9">
        <v>1</v>
      </c>
      <c r="AF340" s="9">
        <v>0</v>
      </c>
      <c r="AG340" s="9">
        <v>0</v>
      </c>
      <c r="AH340" s="3">
        <v>0</v>
      </c>
      <c r="AI340" s="3">
        <v>0</v>
      </c>
      <c r="AJ340" s="3">
        <v>0</v>
      </c>
      <c r="AK340" s="3">
        <v>0</v>
      </c>
      <c r="AL340" s="3">
        <v>0</v>
      </c>
      <c r="AM340" s="3">
        <v>0</v>
      </c>
      <c r="AN340" s="3">
        <v>0</v>
      </c>
      <c r="AO340" s="3">
        <v>0</v>
      </c>
      <c r="AP340" s="3">
        <v>0</v>
      </c>
      <c r="AQ340" s="3">
        <v>0</v>
      </c>
      <c r="AR340" s="2" t="s">
        <v>46</v>
      </c>
      <c r="AS340" s="2" t="s">
        <v>5</v>
      </c>
      <c r="AT340" s="5" t="str">
        <f>HYPERLINK("http://catalog.hathitrust.org/Record/005265873","HathiTrust Record")</f>
        <v>HathiTrust Record</v>
      </c>
      <c r="AU340" s="5" t="str">
        <f>HYPERLINK("https://creighton-primo.hosted.exlibrisgroup.com/primo-explore/search?tab=default_tab&amp;search_scope=EVERYTHING&amp;vid=01CRU&amp;lang=en_US&amp;offset=0&amp;query=any,contains,991000899499702656","Catalog Record")</f>
        <v>Catalog Record</v>
      </c>
      <c r="AV340" s="5" t="str">
        <f>HYPERLINK("http://www.worldcat.org/oclc/14017092","WorldCat Record")</f>
        <v>WorldCat Record</v>
      </c>
      <c r="AW340" s="2" t="s">
        <v>4413</v>
      </c>
      <c r="AX340" s="2" t="s">
        <v>4414</v>
      </c>
      <c r="AY340" s="2" t="s">
        <v>4415</v>
      </c>
      <c r="AZ340" s="2" t="s">
        <v>4415</v>
      </c>
      <c r="BA340" s="2" t="s">
        <v>4416</v>
      </c>
      <c r="BB340" s="2" t="s">
        <v>20</v>
      </c>
      <c r="BE340" s="2" t="s">
        <v>4417</v>
      </c>
      <c r="BF340" s="2" t="s">
        <v>4418</v>
      </c>
    </row>
    <row r="341" spans="1:58" ht="39.75" customHeight="1" x14ac:dyDescent="0.25">
      <c r="A341" s="7" t="s">
        <v>5</v>
      </c>
      <c r="B341" s="1" t="s">
        <v>0</v>
      </c>
      <c r="C341" s="1" t="s">
        <v>1</v>
      </c>
      <c r="D341" s="1" t="s">
        <v>4419</v>
      </c>
      <c r="E341" s="1" t="s">
        <v>4420</v>
      </c>
      <c r="F341" s="1" t="s">
        <v>4421</v>
      </c>
      <c r="H341" s="2" t="s">
        <v>5</v>
      </c>
      <c r="I341" s="2" t="s">
        <v>6</v>
      </c>
      <c r="J341" s="2" t="s">
        <v>5</v>
      </c>
      <c r="K341" s="2" t="s">
        <v>5</v>
      </c>
      <c r="L341" s="2" t="s">
        <v>7</v>
      </c>
      <c r="M341" s="1" t="s">
        <v>4422</v>
      </c>
      <c r="N341" s="1" t="s">
        <v>4423</v>
      </c>
      <c r="O341" s="2" t="s">
        <v>121</v>
      </c>
      <c r="Q341" s="2" t="s">
        <v>60</v>
      </c>
      <c r="R341" s="2" t="s">
        <v>61</v>
      </c>
      <c r="T341" s="2" t="s">
        <v>13</v>
      </c>
      <c r="U341" s="3">
        <v>5</v>
      </c>
      <c r="V341" s="3">
        <v>5</v>
      </c>
      <c r="W341" s="4" t="s">
        <v>4424</v>
      </c>
      <c r="X341" s="4" t="s">
        <v>4424</v>
      </c>
      <c r="Y341" s="4" t="s">
        <v>4122</v>
      </c>
      <c r="Z341" s="4" t="s">
        <v>4122</v>
      </c>
      <c r="AA341" s="3">
        <v>175</v>
      </c>
      <c r="AB341" s="3">
        <v>160</v>
      </c>
      <c r="AC341" s="3">
        <v>325</v>
      </c>
      <c r="AD341" s="3">
        <v>1</v>
      </c>
      <c r="AE341" s="9">
        <v>2</v>
      </c>
      <c r="AF341" s="9">
        <v>4</v>
      </c>
      <c r="AG341" s="9">
        <v>24</v>
      </c>
      <c r="AH341" s="3">
        <v>1</v>
      </c>
      <c r="AI341" s="3">
        <v>6</v>
      </c>
      <c r="AJ341" s="3">
        <v>2</v>
      </c>
      <c r="AK341" s="3">
        <v>6</v>
      </c>
      <c r="AL341" s="3">
        <v>2</v>
      </c>
      <c r="AM341" s="3">
        <v>18</v>
      </c>
      <c r="AN341" s="3">
        <v>0</v>
      </c>
      <c r="AO341" s="3">
        <v>1</v>
      </c>
      <c r="AP341" s="3">
        <v>0</v>
      </c>
      <c r="AQ341" s="3">
        <v>0</v>
      </c>
      <c r="AR341" s="2" t="s">
        <v>5</v>
      </c>
      <c r="AS341" s="2" t="s">
        <v>5</v>
      </c>
      <c r="AU341" s="5" t="str">
        <f>HYPERLINK("https://creighton-primo.hosted.exlibrisgroup.com/primo-explore/search?tab=default_tab&amp;search_scope=EVERYTHING&amp;vid=01CRU&amp;lang=en_US&amp;offset=0&amp;query=any,contains,991000083839702656","Catalog Record")</f>
        <v>Catalog Record</v>
      </c>
      <c r="AV341" s="5" t="str">
        <f>HYPERLINK("http://www.worldcat.org/oclc/32645","WorldCat Record")</f>
        <v>WorldCat Record</v>
      </c>
      <c r="AW341" s="2" t="s">
        <v>4425</v>
      </c>
      <c r="AX341" s="2" t="s">
        <v>4426</v>
      </c>
      <c r="AY341" s="2" t="s">
        <v>4427</v>
      </c>
      <c r="AZ341" s="2" t="s">
        <v>4427</v>
      </c>
      <c r="BA341" s="2" t="s">
        <v>4428</v>
      </c>
      <c r="BB341" s="2" t="s">
        <v>20</v>
      </c>
      <c r="BD341" s="2" t="s">
        <v>4429</v>
      </c>
      <c r="BE341" s="2" t="s">
        <v>4430</v>
      </c>
      <c r="BF341" s="2" t="s">
        <v>4431</v>
      </c>
    </row>
    <row r="342" spans="1:58" ht="39.75" customHeight="1" x14ac:dyDescent="0.25">
      <c r="A342" s="7" t="s">
        <v>5</v>
      </c>
      <c r="B342" s="1" t="s">
        <v>0</v>
      </c>
      <c r="C342" s="1" t="s">
        <v>1</v>
      </c>
      <c r="D342" s="1" t="s">
        <v>4432</v>
      </c>
      <c r="E342" s="1" t="s">
        <v>4433</v>
      </c>
      <c r="F342" s="1" t="s">
        <v>4434</v>
      </c>
      <c r="H342" s="2" t="s">
        <v>5</v>
      </c>
      <c r="I342" s="2" t="s">
        <v>6</v>
      </c>
      <c r="J342" s="2" t="s">
        <v>5</v>
      </c>
      <c r="K342" s="2" t="s">
        <v>5</v>
      </c>
      <c r="L342" s="2" t="s">
        <v>7</v>
      </c>
      <c r="M342" s="1" t="s">
        <v>4435</v>
      </c>
      <c r="N342" s="1" t="s">
        <v>4436</v>
      </c>
      <c r="O342" s="2" t="s">
        <v>307</v>
      </c>
      <c r="Q342" s="2" t="s">
        <v>60</v>
      </c>
      <c r="R342" s="2" t="s">
        <v>2758</v>
      </c>
      <c r="T342" s="2" t="s">
        <v>13</v>
      </c>
      <c r="U342" s="3">
        <v>3</v>
      </c>
      <c r="V342" s="3">
        <v>3</v>
      </c>
      <c r="W342" s="4" t="s">
        <v>4437</v>
      </c>
      <c r="X342" s="4" t="s">
        <v>4437</v>
      </c>
      <c r="Y342" s="4" t="s">
        <v>4122</v>
      </c>
      <c r="Z342" s="4" t="s">
        <v>4122</v>
      </c>
      <c r="AA342" s="3">
        <v>510</v>
      </c>
      <c r="AB342" s="3">
        <v>474</v>
      </c>
      <c r="AC342" s="3">
        <v>477</v>
      </c>
      <c r="AD342" s="3">
        <v>4</v>
      </c>
      <c r="AE342" s="9">
        <v>4</v>
      </c>
      <c r="AF342" s="9">
        <v>31</v>
      </c>
      <c r="AG342" s="9">
        <v>31</v>
      </c>
      <c r="AH342" s="3">
        <v>10</v>
      </c>
      <c r="AI342" s="3">
        <v>10</v>
      </c>
      <c r="AJ342" s="3">
        <v>8</v>
      </c>
      <c r="AK342" s="3">
        <v>8</v>
      </c>
      <c r="AL342" s="3">
        <v>23</v>
      </c>
      <c r="AM342" s="3">
        <v>23</v>
      </c>
      <c r="AN342" s="3">
        <v>1</v>
      </c>
      <c r="AO342" s="3">
        <v>1</v>
      </c>
      <c r="AP342" s="3">
        <v>0</v>
      </c>
      <c r="AQ342" s="3">
        <v>0</v>
      </c>
      <c r="AR342" s="2" t="s">
        <v>5</v>
      </c>
      <c r="AS342" s="2" t="s">
        <v>46</v>
      </c>
      <c r="AT342" s="5" t="str">
        <f>HYPERLINK("http://catalog.hathitrust.org/Record/100820310","HathiTrust Record")</f>
        <v>HathiTrust Record</v>
      </c>
      <c r="AU342" s="5" t="str">
        <f>HYPERLINK("https://creighton-primo.hosted.exlibrisgroup.com/primo-explore/search?tab=default_tab&amp;search_scope=EVERYTHING&amp;vid=01CRU&amp;lang=en_US&amp;offset=0&amp;query=any,contains,991001396079702656","Catalog Record")</f>
        <v>Catalog Record</v>
      </c>
      <c r="AV342" s="5" t="str">
        <f>HYPERLINK("http://www.worldcat.org/oclc/228569","WorldCat Record")</f>
        <v>WorldCat Record</v>
      </c>
      <c r="AW342" s="2" t="s">
        <v>4438</v>
      </c>
      <c r="AX342" s="2" t="s">
        <v>4439</v>
      </c>
      <c r="AY342" s="2" t="s">
        <v>4440</v>
      </c>
      <c r="AZ342" s="2" t="s">
        <v>4440</v>
      </c>
      <c r="BA342" s="2" t="s">
        <v>4441</v>
      </c>
      <c r="BB342" s="2" t="s">
        <v>20</v>
      </c>
      <c r="BE342" s="2" t="s">
        <v>4442</v>
      </c>
      <c r="BF342" s="2" t="s">
        <v>4443</v>
      </c>
    </row>
    <row r="343" spans="1:58" ht="39.75" customHeight="1" x14ac:dyDescent="0.25">
      <c r="A343" s="7" t="s">
        <v>5</v>
      </c>
      <c r="B343" s="1" t="s">
        <v>0</v>
      </c>
      <c r="C343" s="1" t="s">
        <v>1</v>
      </c>
      <c r="D343" s="1" t="s">
        <v>4444</v>
      </c>
      <c r="E343" s="1" t="s">
        <v>4445</v>
      </c>
      <c r="F343" s="1" t="s">
        <v>4446</v>
      </c>
      <c r="H343" s="2" t="s">
        <v>5</v>
      </c>
      <c r="I343" s="2" t="s">
        <v>6</v>
      </c>
      <c r="J343" s="2" t="s">
        <v>5</v>
      </c>
      <c r="K343" s="2" t="s">
        <v>5</v>
      </c>
      <c r="L343" s="2" t="s">
        <v>7</v>
      </c>
      <c r="M343" s="1" t="s">
        <v>4447</v>
      </c>
      <c r="N343" s="1" t="s">
        <v>4448</v>
      </c>
      <c r="O343" s="2" t="s">
        <v>4449</v>
      </c>
      <c r="P343" s="1" t="s">
        <v>4450</v>
      </c>
      <c r="Q343" s="2" t="s">
        <v>60</v>
      </c>
      <c r="R343" s="2" t="s">
        <v>193</v>
      </c>
      <c r="T343" s="2" t="s">
        <v>13</v>
      </c>
      <c r="U343" s="3">
        <v>6</v>
      </c>
      <c r="V343" s="3">
        <v>6</v>
      </c>
      <c r="W343" s="4" t="s">
        <v>4451</v>
      </c>
      <c r="X343" s="4" t="s">
        <v>4451</v>
      </c>
      <c r="Y343" s="4" t="s">
        <v>4122</v>
      </c>
      <c r="Z343" s="4" t="s">
        <v>4122</v>
      </c>
      <c r="AA343" s="3">
        <v>44</v>
      </c>
      <c r="AB343" s="3">
        <v>32</v>
      </c>
      <c r="AC343" s="3">
        <v>145</v>
      </c>
      <c r="AD343" s="3">
        <v>1</v>
      </c>
      <c r="AE343" s="9">
        <v>2</v>
      </c>
      <c r="AF343" s="9">
        <v>3</v>
      </c>
      <c r="AG343" s="9">
        <v>20</v>
      </c>
      <c r="AH343" s="3">
        <v>1</v>
      </c>
      <c r="AI343" s="3">
        <v>4</v>
      </c>
      <c r="AJ343" s="3">
        <v>0</v>
      </c>
      <c r="AK343" s="3">
        <v>5</v>
      </c>
      <c r="AL343" s="3">
        <v>3</v>
      </c>
      <c r="AM343" s="3">
        <v>18</v>
      </c>
      <c r="AN343" s="3">
        <v>0</v>
      </c>
      <c r="AO343" s="3">
        <v>1</v>
      </c>
      <c r="AP343" s="3">
        <v>0</v>
      </c>
      <c r="AQ343" s="3">
        <v>0</v>
      </c>
      <c r="AR343" s="2" t="s">
        <v>46</v>
      </c>
      <c r="AS343" s="2" t="s">
        <v>5</v>
      </c>
      <c r="AT343" s="5" t="str">
        <f>HYPERLINK("http://catalog.hathitrust.org/Record/008416148","HathiTrust Record")</f>
        <v>HathiTrust Record</v>
      </c>
      <c r="AU343" s="5" t="str">
        <f>HYPERLINK("https://creighton-primo.hosted.exlibrisgroup.com/primo-explore/search?tab=default_tab&amp;search_scope=EVERYTHING&amp;vid=01CRU&amp;lang=en_US&amp;offset=0&amp;query=any,contains,991001303969702656","Catalog Record")</f>
        <v>Catalog Record</v>
      </c>
      <c r="AV343" s="5" t="str">
        <f>HYPERLINK("http://www.worldcat.org/oclc/18089822","WorldCat Record")</f>
        <v>WorldCat Record</v>
      </c>
      <c r="AW343" s="2" t="s">
        <v>4452</v>
      </c>
      <c r="AX343" s="2" t="s">
        <v>4453</v>
      </c>
      <c r="AY343" s="2" t="s">
        <v>4454</v>
      </c>
      <c r="AZ343" s="2" t="s">
        <v>4454</v>
      </c>
      <c r="BA343" s="2" t="s">
        <v>4455</v>
      </c>
      <c r="BB343" s="2" t="s">
        <v>20</v>
      </c>
      <c r="BE343" s="2" t="s">
        <v>4456</v>
      </c>
      <c r="BF343" s="2" t="s">
        <v>4457</v>
      </c>
    </row>
    <row r="344" spans="1:58" ht="39.75" customHeight="1" x14ac:dyDescent="0.25">
      <c r="A344" s="7" t="s">
        <v>5</v>
      </c>
      <c r="B344" s="1" t="s">
        <v>0</v>
      </c>
      <c r="C344" s="1" t="s">
        <v>1</v>
      </c>
      <c r="D344" s="1" t="s">
        <v>4458</v>
      </c>
      <c r="E344" s="1" t="s">
        <v>4459</v>
      </c>
      <c r="F344" s="1" t="s">
        <v>4460</v>
      </c>
      <c r="G344" s="2" t="s">
        <v>73</v>
      </c>
      <c r="H344" s="2" t="s">
        <v>46</v>
      </c>
      <c r="I344" s="2" t="s">
        <v>6</v>
      </c>
      <c r="J344" s="2" t="s">
        <v>5</v>
      </c>
      <c r="K344" s="2" t="s">
        <v>5</v>
      </c>
      <c r="L344" s="2" t="s">
        <v>7</v>
      </c>
      <c r="M344" s="1" t="s">
        <v>4461</v>
      </c>
      <c r="N344" s="1" t="s">
        <v>4462</v>
      </c>
      <c r="O344" s="2" t="s">
        <v>307</v>
      </c>
      <c r="Q344" s="2" t="s">
        <v>60</v>
      </c>
      <c r="R344" s="2" t="s">
        <v>61</v>
      </c>
      <c r="T344" s="2" t="s">
        <v>13</v>
      </c>
      <c r="U344" s="3">
        <v>8</v>
      </c>
      <c r="V344" s="3">
        <v>19</v>
      </c>
      <c r="W344" s="4" t="s">
        <v>4412</v>
      </c>
      <c r="X344" s="4" t="s">
        <v>4463</v>
      </c>
      <c r="Y344" s="4" t="s">
        <v>4464</v>
      </c>
      <c r="Z344" s="4" t="s">
        <v>4464</v>
      </c>
      <c r="AA344" s="3">
        <v>1082</v>
      </c>
      <c r="AB344" s="3">
        <v>1012</v>
      </c>
      <c r="AC344" s="3">
        <v>1389</v>
      </c>
      <c r="AD344" s="3">
        <v>11</v>
      </c>
      <c r="AE344" s="9">
        <v>13</v>
      </c>
      <c r="AF344" s="9">
        <v>44</v>
      </c>
      <c r="AG344" s="9">
        <v>56</v>
      </c>
      <c r="AH344" s="3">
        <v>19</v>
      </c>
      <c r="AI344" s="3">
        <v>22</v>
      </c>
      <c r="AJ344" s="3">
        <v>6</v>
      </c>
      <c r="AK344" s="3">
        <v>9</v>
      </c>
      <c r="AL344" s="3">
        <v>19</v>
      </c>
      <c r="AM344" s="3">
        <v>26</v>
      </c>
      <c r="AN344" s="3">
        <v>8</v>
      </c>
      <c r="AO344" s="3">
        <v>10</v>
      </c>
      <c r="AP344" s="3">
        <v>1</v>
      </c>
      <c r="AQ344" s="3">
        <v>1</v>
      </c>
      <c r="AR344" s="2" t="s">
        <v>5</v>
      </c>
      <c r="AS344" s="2" t="s">
        <v>5</v>
      </c>
      <c r="AT344" s="5" t="str">
        <f>HYPERLINK("http://catalog.hathitrust.org/Record/000907984","HathiTrust Record")</f>
        <v>HathiTrust Record</v>
      </c>
      <c r="AU344" s="5" t="str">
        <f>HYPERLINK("https://creighton-primo.hosted.exlibrisgroup.com/primo-explore/search?tab=default_tab&amp;search_scope=EVERYTHING&amp;vid=01CRU&amp;lang=en_US&amp;offset=0&amp;query=any,contains,991002432509702656","Catalog Record")</f>
        <v>Catalog Record</v>
      </c>
      <c r="AV344" s="5" t="str">
        <f>HYPERLINK("http://www.worldcat.org/oclc/347618","WorldCat Record")</f>
        <v>WorldCat Record</v>
      </c>
      <c r="AW344" s="2" t="s">
        <v>4465</v>
      </c>
      <c r="AX344" s="2" t="s">
        <v>4466</v>
      </c>
      <c r="AY344" s="2" t="s">
        <v>4467</v>
      </c>
      <c r="AZ344" s="2" t="s">
        <v>4467</v>
      </c>
      <c r="BA344" s="2" t="s">
        <v>4468</v>
      </c>
      <c r="BB344" s="2" t="s">
        <v>20</v>
      </c>
      <c r="BE344" s="2" t="s">
        <v>4469</v>
      </c>
      <c r="BF344" s="2" t="s">
        <v>4470</v>
      </c>
    </row>
    <row r="345" spans="1:58" ht="39.75" customHeight="1" x14ac:dyDescent="0.25">
      <c r="A345" s="7" t="s">
        <v>5</v>
      </c>
      <c r="B345" s="1" t="s">
        <v>0</v>
      </c>
      <c r="C345" s="1" t="s">
        <v>1</v>
      </c>
      <c r="D345" s="1" t="s">
        <v>4458</v>
      </c>
      <c r="E345" s="1" t="s">
        <v>4459</v>
      </c>
      <c r="F345" s="1" t="s">
        <v>4460</v>
      </c>
      <c r="G345" s="2" t="s">
        <v>101</v>
      </c>
      <c r="H345" s="2" t="s">
        <v>46</v>
      </c>
      <c r="I345" s="2" t="s">
        <v>6</v>
      </c>
      <c r="J345" s="2" t="s">
        <v>5</v>
      </c>
      <c r="K345" s="2" t="s">
        <v>5</v>
      </c>
      <c r="L345" s="2" t="s">
        <v>7</v>
      </c>
      <c r="M345" s="1" t="s">
        <v>4461</v>
      </c>
      <c r="N345" s="1" t="s">
        <v>4462</v>
      </c>
      <c r="O345" s="2" t="s">
        <v>307</v>
      </c>
      <c r="Q345" s="2" t="s">
        <v>60</v>
      </c>
      <c r="R345" s="2" t="s">
        <v>61</v>
      </c>
      <c r="T345" s="2" t="s">
        <v>13</v>
      </c>
      <c r="U345" s="3">
        <v>11</v>
      </c>
      <c r="V345" s="3">
        <v>19</v>
      </c>
      <c r="W345" s="4" t="s">
        <v>4463</v>
      </c>
      <c r="X345" s="4" t="s">
        <v>4463</v>
      </c>
      <c r="Y345" s="4" t="s">
        <v>4471</v>
      </c>
      <c r="Z345" s="4" t="s">
        <v>4464</v>
      </c>
      <c r="AA345" s="3">
        <v>1082</v>
      </c>
      <c r="AB345" s="3">
        <v>1012</v>
      </c>
      <c r="AC345" s="3">
        <v>1389</v>
      </c>
      <c r="AD345" s="3">
        <v>11</v>
      </c>
      <c r="AE345" s="9">
        <v>13</v>
      </c>
      <c r="AF345" s="9">
        <v>44</v>
      </c>
      <c r="AG345" s="9">
        <v>56</v>
      </c>
      <c r="AH345" s="3">
        <v>19</v>
      </c>
      <c r="AI345" s="3">
        <v>22</v>
      </c>
      <c r="AJ345" s="3">
        <v>6</v>
      </c>
      <c r="AK345" s="3">
        <v>9</v>
      </c>
      <c r="AL345" s="3">
        <v>19</v>
      </c>
      <c r="AM345" s="3">
        <v>26</v>
      </c>
      <c r="AN345" s="3">
        <v>8</v>
      </c>
      <c r="AO345" s="3">
        <v>10</v>
      </c>
      <c r="AP345" s="3">
        <v>1</v>
      </c>
      <c r="AQ345" s="3">
        <v>1</v>
      </c>
      <c r="AR345" s="2" t="s">
        <v>5</v>
      </c>
      <c r="AS345" s="2" t="s">
        <v>5</v>
      </c>
      <c r="AT345" s="5" t="str">
        <f>HYPERLINK("http://catalog.hathitrust.org/Record/000907984","HathiTrust Record")</f>
        <v>HathiTrust Record</v>
      </c>
      <c r="AU345" s="5" t="str">
        <f>HYPERLINK("https://creighton-primo.hosted.exlibrisgroup.com/primo-explore/search?tab=default_tab&amp;search_scope=EVERYTHING&amp;vid=01CRU&amp;lang=en_US&amp;offset=0&amp;query=any,contains,991002432509702656","Catalog Record")</f>
        <v>Catalog Record</v>
      </c>
      <c r="AV345" s="5" t="str">
        <f>HYPERLINK("http://www.worldcat.org/oclc/347618","WorldCat Record")</f>
        <v>WorldCat Record</v>
      </c>
      <c r="AW345" s="2" t="s">
        <v>4465</v>
      </c>
      <c r="AX345" s="2" t="s">
        <v>4466</v>
      </c>
      <c r="AY345" s="2" t="s">
        <v>4467</v>
      </c>
      <c r="AZ345" s="2" t="s">
        <v>4467</v>
      </c>
      <c r="BA345" s="2" t="s">
        <v>4468</v>
      </c>
      <c r="BB345" s="2" t="s">
        <v>20</v>
      </c>
      <c r="BE345" s="2" t="s">
        <v>4472</v>
      </c>
      <c r="BF345" s="2" t="s">
        <v>4473</v>
      </c>
    </row>
    <row r="346" spans="1:58" ht="39.75" customHeight="1" x14ac:dyDescent="0.25">
      <c r="A346" s="7" t="s">
        <v>5</v>
      </c>
      <c r="B346" s="1" t="s">
        <v>0</v>
      </c>
      <c r="C346" s="1" t="s">
        <v>1</v>
      </c>
      <c r="D346" s="1" t="s">
        <v>4474</v>
      </c>
      <c r="E346" s="1" t="s">
        <v>4475</v>
      </c>
      <c r="F346" s="1" t="s">
        <v>4476</v>
      </c>
      <c r="H346" s="2" t="s">
        <v>5</v>
      </c>
      <c r="I346" s="2" t="s">
        <v>6</v>
      </c>
      <c r="J346" s="2" t="s">
        <v>5</v>
      </c>
      <c r="K346" s="2" t="s">
        <v>5</v>
      </c>
      <c r="L346" s="2" t="s">
        <v>7</v>
      </c>
      <c r="M346" s="1" t="s">
        <v>4477</v>
      </c>
      <c r="N346" s="1" t="s">
        <v>4478</v>
      </c>
      <c r="O346" s="2" t="s">
        <v>4479</v>
      </c>
      <c r="Q346" s="2" t="s">
        <v>60</v>
      </c>
      <c r="R346" s="2" t="s">
        <v>1123</v>
      </c>
      <c r="T346" s="2" t="s">
        <v>13</v>
      </c>
      <c r="U346" s="3">
        <v>6</v>
      </c>
      <c r="V346" s="3">
        <v>6</v>
      </c>
      <c r="W346" s="4" t="s">
        <v>4480</v>
      </c>
      <c r="X346" s="4" t="s">
        <v>4480</v>
      </c>
      <c r="Y346" s="4" t="s">
        <v>4481</v>
      </c>
      <c r="Z346" s="4" t="s">
        <v>4481</v>
      </c>
      <c r="AA346" s="3">
        <v>174</v>
      </c>
      <c r="AB346" s="3">
        <v>159</v>
      </c>
      <c r="AC346" s="3">
        <v>661</v>
      </c>
      <c r="AD346" s="3">
        <v>2</v>
      </c>
      <c r="AE346" s="9">
        <v>4</v>
      </c>
      <c r="AF346" s="9">
        <v>11</v>
      </c>
      <c r="AG346" s="9">
        <v>39</v>
      </c>
      <c r="AH346" s="3">
        <v>4</v>
      </c>
      <c r="AI346" s="3">
        <v>18</v>
      </c>
      <c r="AJ346" s="3">
        <v>2</v>
      </c>
      <c r="AK346" s="3">
        <v>7</v>
      </c>
      <c r="AL346" s="3">
        <v>7</v>
      </c>
      <c r="AM346" s="3">
        <v>20</v>
      </c>
      <c r="AN346" s="3">
        <v>1</v>
      </c>
      <c r="AO346" s="3">
        <v>3</v>
      </c>
      <c r="AP346" s="3">
        <v>0</v>
      </c>
      <c r="AQ346" s="3">
        <v>0</v>
      </c>
      <c r="AR346" s="2" t="s">
        <v>5</v>
      </c>
      <c r="AS346" s="2" t="s">
        <v>5</v>
      </c>
      <c r="AT346" s="5" t="str">
        <f>HYPERLINK("http://catalog.hathitrust.org/Record/000869673","HathiTrust Record")</f>
        <v>HathiTrust Record</v>
      </c>
      <c r="AU346" s="5" t="str">
        <f>HYPERLINK("https://creighton-primo.hosted.exlibrisgroup.com/primo-explore/search?tab=default_tab&amp;search_scope=EVERYTHING&amp;vid=01CRU&amp;lang=en_US&amp;offset=0&amp;query=any,contains,991004152879702656","Catalog Record")</f>
        <v>Catalog Record</v>
      </c>
      <c r="AV346" s="5" t="str">
        <f>HYPERLINK("http://www.worldcat.org/oclc/2530025","WorldCat Record")</f>
        <v>WorldCat Record</v>
      </c>
      <c r="AW346" s="2" t="s">
        <v>4482</v>
      </c>
      <c r="AX346" s="2" t="s">
        <v>4483</v>
      </c>
      <c r="AY346" s="2" t="s">
        <v>4484</v>
      </c>
      <c r="AZ346" s="2" t="s">
        <v>4484</v>
      </c>
      <c r="BA346" s="2" t="s">
        <v>4485</v>
      </c>
      <c r="BB346" s="2" t="s">
        <v>20</v>
      </c>
      <c r="BE346" s="2" t="s">
        <v>4486</v>
      </c>
      <c r="BF346" s="2" t="s">
        <v>4487</v>
      </c>
    </row>
    <row r="347" spans="1:58" ht="39.75" customHeight="1" x14ac:dyDescent="0.25">
      <c r="A347" s="7" t="s">
        <v>5</v>
      </c>
      <c r="B347" s="1" t="s">
        <v>0</v>
      </c>
      <c r="C347" s="1" t="s">
        <v>1</v>
      </c>
      <c r="D347" s="1" t="s">
        <v>4488</v>
      </c>
      <c r="E347" s="1" t="s">
        <v>4489</v>
      </c>
      <c r="F347" s="1" t="s">
        <v>4490</v>
      </c>
      <c r="H347" s="2" t="s">
        <v>5</v>
      </c>
      <c r="I347" s="2" t="s">
        <v>6</v>
      </c>
      <c r="J347" s="2" t="s">
        <v>5</v>
      </c>
      <c r="K347" s="2" t="s">
        <v>5</v>
      </c>
      <c r="L347" s="2" t="s">
        <v>7</v>
      </c>
      <c r="M347" s="1" t="s">
        <v>4491</v>
      </c>
      <c r="N347" s="1" t="s">
        <v>4492</v>
      </c>
      <c r="O347" s="2" t="s">
        <v>791</v>
      </c>
      <c r="Q347" s="2" t="s">
        <v>60</v>
      </c>
      <c r="R347" s="2" t="s">
        <v>61</v>
      </c>
      <c r="T347" s="2" t="s">
        <v>13</v>
      </c>
      <c r="U347" s="3">
        <v>11</v>
      </c>
      <c r="V347" s="3">
        <v>11</v>
      </c>
      <c r="W347" s="4" t="s">
        <v>4493</v>
      </c>
      <c r="X347" s="4" t="s">
        <v>4493</v>
      </c>
      <c r="Y347" s="4" t="s">
        <v>4494</v>
      </c>
      <c r="Z347" s="4" t="s">
        <v>4494</v>
      </c>
      <c r="AA347" s="3">
        <v>25</v>
      </c>
      <c r="AB347" s="3">
        <v>22</v>
      </c>
      <c r="AC347" s="3">
        <v>157</v>
      </c>
      <c r="AD347" s="3">
        <v>1</v>
      </c>
      <c r="AE347" s="9">
        <v>2</v>
      </c>
      <c r="AF347" s="9">
        <v>0</v>
      </c>
      <c r="AG347" s="9">
        <v>9</v>
      </c>
      <c r="AH347" s="3">
        <v>0</v>
      </c>
      <c r="AI347" s="3">
        <v>4</v>
      </c>
      <c r="AJ347" s="3">
        <v>0</v>
      </c>
      <c r="AK347" s="3">
        <v>1</v>
      </c>
      <c r="AL347" s="3">
        <v>0</v>
      </c>
      <c r="AM347" s="3">
        <v>5</v>
      </c>
      <c r="AN347" s="3">
        <v>0</v>
      </c>
      <c r="AO347" s="3">
        <v>1</v>
      </c>
      <c r="AP347" s="3">
        <v>0</v>
      </c>
      <c r="AQ347" s="3">
        <v>0</v>
      </c>
      <c r="AR347" s="2" t="s">
        <v>5</v>
      </c>
      <c r="AS347" s="2" t="s">
        <v>5</v>
      </c>
      <c r="AU347" s="5" t="str">
        <f>HYPERLINK("https://creighton-primo.hosted.exlibrisgroup.com/primo-explore/search?tab=default_tab&amp;search_scope=EVERYTHING&amp;vid=01CRU&amp;lang=en_US&amp;offset=0&amp;query=any,contains,991003977139702656","Catalog Record")</f>
        <v>Catalog Record</v>
      </c>
      <c r="AV347" s="5" t="str">
        <f>HYPERLINK("http://www.worldcat.org/oclc/2007175","WorldCat Record")</f>
        <v>WorldCat Record</v>
      </c>
      <c r="AW347" s="2" t="s">
        <v>4495</v>
      </c>
      <c r="AX347" s="2" t="s">
        <v>4496</v>
      </c>
      <c r="AY347" s="2" t="s">
        <v>4497</v>
      </c>
      <c r="AZ347" s="2" t="s">
        <v>4497</v>
      </c>
      <c r="BA347" s="2" t="s">
        <v>4498</v>
      </c>
      <c r="BB347" s="2" t="s">
        <v>20</v>
      </c>
      <c r="BE347" s="2" t="s">
        <v>4499</v>
      </c>
      <c r="BF347" s="2" t="s">
        <v>4500</v>
      </c>
    </row>
    <row r="348" spans="1:58" ht="39.75" customHeight="1" x14ac:dyDescent="0.25">
      <c r="A348" s="7" t="s">
        <v>5</v>
      </c>
      <c r="B348" s="1" t="s">
        <v>0</v>
      </c>
      <c r="C348" s="1" t="s">
        <v>1</v>
      </c>
      <c r="D348" s="1" t="s">
        <v>4501</v>
      </c>
      <c r="E348" s="1" t="s">
        <v>4502</v>
      </c>
      <c r="F348" s="1" t="s">
        <v>4503</v>
      </c>
      <c r="H348" s="2" t="s">
        <v>5</v>
      </c>
      <c r="I348" s="2" t="s">
        <v>6</v>
      </c>
      <c r="J348" s="2" t="s">
        <v>5</v>
      </c>
      <c r="K348" s="2" t="s">
        <v>5</v>
      </c>
      <c r="L348" s="2" t="s">
        <v>7</v>
      </c>
      <c r="M348" s="1" t="s">
        <v>4504</v>
      </c>
      <c r="N348" s="1" t="s">
        <v>4505</v>
      </c>
      <c r="O348" s="2" t="s">
        <v>4506</v>
      </c>
      <c r="Q348" s="2" t="s">
        <v>60</v>
      </c>
      <c r="R348" s="2" t="s">
        <v>2758</v>
      </c>
      <c r="T348" s="2" t="s">
        <v>13</v>
      </c>
      <c r="U348" s="3">
        <v>12</v>
      </c>
      <c r="V348" s="3">
        <v>12</v>
      </c>
      <c r="W348" s="4" t="s">
        <v>4507</v>
      </c>
      <c r="X348" s="4" t="s">
        <v>4507</v>
      </c>
      <c r="Y348" s="4" t="s">
        <v>4508</v>
      </c>
      <c r="Z348" s="4" t="s">
        <v>4508</v>
      </c>
      <c r="AA348" s="3">
        <v>450</v>
      </c>
      <c r="AB348" s="3">
        <v>404</v>
      </c>
      <c r="AC348" s="3">
        <v>420</v>
      </c>
      <c r="AD348" s="3">
        <v>6</v>
      </c>
      <c r="AE348" s="9">
        <v>6</v>
      </c>
      <c r="AF348" s="9">
        <v>34</v>
      </c>
      <c r="AG348" s="9">
        <v>35</v>
      </c>
      <c r="AH348" s="3">
        <v>12</v>
      </c>
      <c r="AI348" s="3">
        <v>13</v>
      </c>
      <c r="AJ348" s="3">
        <v>7</v>
      </c>
      <c r="AK348" s="3">
        <v>7</v>
      </c>
      <c r="AL348" s="3">
        <v>22</v>
      </c>
      <c r="AM348" s="3">
        <v>23</v>
      </c>
      <c r="AN348" s="3">
        <v>3</v>
      </c>
      <c r="AO348" s="3">
        <v>3</v>
      </c>
      <c r="AP348" s="3">
        <v>0</v>
      </c>
      <c r="AQ348" s="3">
        <v>0</v>
      </c>
      <c r="AR348" s="2" t="s">
        <v>5</v>
      </c>
      <c r="AS348" s="2" t="s">
        <v>5</v>
      </c>
      <c r="AU348" s="5" t="str">
        <f>HYPERLINK("https://creighton-primo.hosted.exlibrisgroup.com/primo-explore/search?tab=default_tab&amp;search_scope=EVERYTHING&amp;vid=01CRU&amp;lang=en_US&amp;offset=0&amp;query=any,contains,991003023009702656","Catalog Record")</f>
        <v>Catalog Record</v>
      </c>
      <c r="AV348" s="5" t="str">
        <f>HYPERLINK("http://www.worldcat.org/oclc/587828","WorldCat Record")</f>
        <v>WorldCat Record</v>
      </c>
      <c r="AW348" s="2" t="s">
        <v>4509</v>
      </c>
      <c r="AX348" s="2" t="s">
        <v>4510</v>
      </c>
      <c r="AY348" s="2" t="s">
        <v>4511</v>
      </c>
      <c r="AZ348" s="2" t="s">
        <v>4511</v>
      </c>
      <c r="BA348" s="2" t="s">
        <v>4512</v>
      </c>
      <c r="BB348" s="2" t="s">
        <v>20</v>
      </c>
      <c r="BE348" s="2" t="s">
        <v>4513</v>
      </c>
      <c r="BF348" s="2" t="s">
        <v>4514</v>
      </c>
    </row>
    <row r="349" spans="1:58" ht="39.75" customHeight="1" x14ac:dyDescent="0.25">
      <c r="A349" s="7" t="s">
        <v>5</v>
      </c>
      <c r="B349" s="1" t="s">
        <v>0</v>
      </c>
      <c r="C349" s="1" t="s">
        <v>1</v>
      </c>
      <c r="D349" s="1" t="s">
        <v>4515</v>
      </c>
      <c r="E349" s="1" t="s">
        <v>4516</v>
      </c>
      <c r="F349" s="1" t="s">
        <v>4517</v>
      </c>
      <c r="H349" s="2" t="s">
        <v>5</v>
      </c>
      <c r="I349" s="2" t="s">
        <v>6</v>
      </c>
      <c r="J349" s="2" t="s">
        <v>5</v>
      </c>
      <c r="K349" s="2" t="s">
        <v>5</v>
      </c>
      <c r="L349" s="2" t="s">
        <v>7</v>
      </c>
      <c r="M349" s="1" t="s">
        <v>4518</v>
      </c>
      <c r="N349" s="1" t="s">
        <v>4519</v>
      </c>
      <c r="O349" s="2" t="s">
        <v>4520</v>
      </c>
      <c r="Q349" s="2" t="s">
        <v>60</v>
      </c>
      <c r="R349" s="2" t="s">
        <v>193</v>
      </c>
      <c r="T349" s="2" t="s">
        <v>13</v>
      </c>
      <c r="U349" s="3">
        <v>3</v>
      </c>
      <c r="V349" s="3">
        <v>3</v>
      </c>
      <c r="W349" s="4" t="s">
        <v>4521</v>
      </c>
      <c r="X349" s="4" t="s">
        <v>4521</v>
      </c>
      <c r="Y349" s="4" t="s">
        <v>4122</v>
      </c>
      <c r="Z349" s="4" t="s">
        <v>4122</v>
      </c>
      <c r="AA349" s="3">
        <v>59</v>
      </c>
      <c r="AB349" s="3">
        <v>32</v>
      </c>
      <c r="AC349" s="3">
        <v>47</v>
      </c>
      <c r="AD349" s="3">
        <v>1</v>
      </c>
      <c r="AE349" s="9">
        <v>1</v>
      </c>
      <c r="AF349" s="9">
        <v>3</v>
      </c>
      <c r="AG349" s="9">
        <v>3</v>
      </c>
      <c r="AH349" s="3">
        <v>0</v>
      </c>
      <c r="AI349" s="3">
        <v>0</v>
      </c>
      <c r="AJ349" s="3">
        <v>1</v>
      </c>
      <c r="AK349" s="3">
        <v>1</v>
      </c>
      <c r="AL349" s="3">
        <v>2</v>
      </c>
      <c r="AM349" s="3">
        <v>2</v>
      </c>
      <c r="AN349" s="3">
        <v>0</v>
      </c>
      <c r="AO349" s="3">
        <v>0</v>
      </c>
      <c r="AP349" s="3">
        <v>0</v>
      </c>
      <c r="AQ349" s="3">
        <v>0</v>
      </c>
      <c r="AR349" s="2" t="s">
        <v>46</v>
      </c>
      <c r="AS349" s="2" t="s">
        <v>5</v>
      </c>
      <c r="AT349" s="5" t="str">
        <f>HYPERLINK("http://catalog.hathitrust.org/Record/000869350","HathiTrust Record")</f>
        <v>HathiTrust Record</v>
      </c>
      <c r="AU349" s="5" t="str">
        <f>HYPERLINK("https://creighton-primo.hosted.exlibrisgroup.com/primo-explore/search?tab=default_tab&amp;search_scope=EVERYTHING&amp;vid=01CRU&amp;lang=en_US&amp;offset=0&amp;query=any,contains,991000474039702656","Catalog Record")</f>
        <v>Catalog Record</v>
      </c>
      <c r="AV349" s="5" t="str">
        <f>HYPERLINK("http://www.worldcat.org/oclc/11003361","WorldCat Record")</f>
        <v>WorldCat Record</v>
      </c>
      <c r="AW349" s="2" t="s">
        <v>4522</v>
      </c>
      <c r="AX349" s="2" t="s">
        <v>4523</v>
      </c>
      <c r="AY349" s="2" t="s">
        <v>4524</v>
      </c>
      <c r="AZ349" s="2" t="s">
        <v>4524</v>
      </c>
      <c r="BA349" s="2" t="s">
        <v>4525</v>
      </c>
      <c r="BB349" s="2" t="s">
        <v>20</v>
      </c>
      <c r="BE349" s="2" t="s">
        <v>4526</v>
      </c>
      <c r="BF349" s="2" t="s">
        <v>4527</v>
      </c>
    </row>
    <row r="350" spans="1:58" ht="39.75" customHeight="1" x14ac:dyDescent="0.25">
      <c r="A350" s="7" t="s">
        <v>5</v>
      </c>
      <c r="B350" s="1" t="s">
        <v>0</v>
      </c>
      <c r="C350" s="1" t="s">
        <v>1</v>
      </c>
      <c r="D350" s="1" t="s">
        <v>4528</v>
      </c>
      <c r="E350" s="1" t="s">
        <v>4529</v>
      </c>
      <c r="F350" s="1" t="s">
        <v>4530</v>
      </c>
      <c r="H350" s="2" t="s">
        <v>5</v>
      </c>
      <c r="I350" s="2" t="s">
        <v>6</v>
      </c>
      <c r="J350" s="2" t="s">
        <v>5</v>
      </c>
      <c r="K350" s="2" t="s">
        <v>5</v>
      </c>
      <c r="L350" s="2" t="s">
        <v>7</v>
      </c>
      <c r="M350" s="1" t="s">
        <v>3248</v>
      </c>
      <c r="N350" s="1" t="s">
        <v>4531</v>
      </c>
      <c r="O350" s="2" t="s">
        <v>162</v>
      </c>
      <c r="Q350" s="2" t="s">
        <v>60</v>
      </c>
      <c r="R350" s="2" t="s">
        <v>422</v>
      </c>
      <c r="T350" s="2" t="s">
        <v>13</v>
      </c>
      <c r="U350" s="3">
        <v>3</v>
      </c>
      <c r="V350" s="3">
        <v>3</v>
      </c>
      <c r="W350" s="4" t="s">
        <v>4532</v>
      </c>
      <c r="X350" s="4" t="s">
        <v>4532</v>
      </c>
      <c r="Y350" s="4" t="s">
        <v>4533</v>
      </c>
      <c r="Z350" s="4" t="s">
        <v>4533</v>
      </c>
      <c r="AA350" s="3">
        <v>1052</v>
      </c>
      <c r="AB350" s="3">
        <v>926</v>
      </c>
      <c r="AC350" s="3">
        <v>941</v>
      </c>
      <c r="AD350" s="3">
        <v>9</v>
      </c>
      <c r="AE350" s="9">
        <v>9</v>
      </c>
      <c r="AF350" s="9">
        <v>44</v>
      </c>
      <c r="AG350" s="9">
        <v>44</v>
      </c>
      <c r="AH350" s="3">
        <v>19</v>
      </c>
      <c r="AI350" s="3">
        <v>19</v>
      </c>
      <c r="AJ350" s="3">
        <v>8</v>
      </c>
      <c r="AK350" s="3">
        <v>8</v>
      </c>
      <c r="AL350" s="3">
        <v>19</v>
      </c>
      <c r="AM350" s="3">
        <v>19</v>
      </c>
      <c r="AN350" s="3">
        <v>7</v>
      </c>
      <c r="AO350" s="3">
        <v>7</v>
      </c>
      <c r="AP350" s="3">
        <v>0</v>
      </c>
      <c r="AQ350" s="3">
        <v>0</v>
      </c>
      <c r="AR350" s="2" t="s">
        <v>5</v>
      </c>
      <c r="AS350" s="2" t="s">
        <v>5</v>
      </c>
      <c r="AU350" s="5" t="str">
        <f>HYPERLINK("https://creighton-primo.hosted.exlibrisgroup.com/primo-explore/search?tab=default_tab&amp;search_scope=EVERYTHING&amp;vid=01CRU&amp;lang=en_US&amp;offset=0&amp;query=any,contains,991000204889702656","Catalog Record")</f>
        <v>Catalog Record</v>
      </c>
      <c r="AV350" s="5" t="str">
        <f>HYPERLINK("http://www.worldcat.org/oclc/64618","WorldCat Record")</f>
        <v>WorldCat Record</v>
      </c>
      <c r="AW350" s="2" t="s">
        <v>4534</v>
      </c>
      <c r="AX350" s="2" t="s">
        <v>4535</v>
      </c>
      <c r="AY350" s="2" t="s">
        <v>4536</v>
      </c>
      <c r="AZ350" s="2" t="s">
        <v>4536</v>
      </c>
      <c r="BA350" s="2" t="s">
        <v>4537</v>
      </c>
      <c r="BB350" s="2" t="s">
        <v>20</v>
      </c>
      <c r="BD350" s="2" t="s">
        <v>4538</v>
      </c>
      <c r="BE350" s="2" t="s">
        <v>4539</v>
      </c>
      <c r="BF350" s="2" t="s">
        <v>4540</v>
      </c>
    </row>
    <row r="351" spans="1:58" ht="39.75" customHeight="1" x14ac:dyDescent="0.25">
      <c r="A351" s="7" t="s">
        <v>5</v>
      </c>
      <c r="B351" s="1" t="s">
        <v>0</v>
      </c>
      <c r="C351" s="1" t="s">
        <v>1</v>
      </c>
      <c r="D351" s="1" t="s">
        <v>4541</v>
      </c>
      <c r="E351" s="1" t="s">
        <v>4542</v>
      </c>
      <c r="F351" s="1" t="s">
        <v>4543</v>
      </c>
      <c r="H351" s="2" t="s">
        <v>5</v>
      </c>
      <c r="I351" s="2" t="s">
        <v>6</v>
      </c>
      <c r="J351" s="2" t="s">
        <v>5</v>
      </c>
      <c r="K351" s="2" t="s">
        <v>5</v>
      </c>
      <c r="L351" s="2" t="s">
        <v>7</v>
      </c>
      <c r="M351" s="1" t="s">
        <v>4544</v>
      </c>
      <c r="N351" s="1" t="s">
        <v>4545</v>
      </c>
      <c r="O351" s="2" t="s">
        <v>4546</v>
      </c>
      <c r="Q351" s="2" t="s">
        <v>60</v>
      </c>
      <c r="R351" s="2" t="s">
        <v>193</v>
      </c>
      <c r="T351" s="2" t="s">
        <v>13</v>
      </c>
      <c r="U351" s="3">
        <v>17</v>
      </c>
      <c r="V351" s="3">
        <v>17</v>
      </c>
      <c r="W351" s="4" t="s">
        <v>4437</v>
      </c>
      <c r="X351" s="4" t="s">
        <v>4437</v>
      </c>
      <c r="Y351" s="4" t="s">
        <v>4508</v>
      </c>
      <c r="Z351" s="4" t="s">
        <v>4508</v>
      </c>
      <c r="AA351" s="3">
        <v>229</v>
      </c>
      <c r="AB351" s="3">
        <v>180</v>
      </c>
      <c r="AC351" s="3">
        <v>200</v>
      </c>
      <c r="AD351" s="3">
        <v>1</v>
      </c>
      <c r="AE351" s="9">
        <v>2</v>
      </c>
      <c r="AF351" s="9">
        <v>11</v>
      </c>
      <c r="AG351" s="9">
        <v>13</v>
      </c>
      <c r="AH351" s="3">
        <v>2</v>
      </c>
      <c r="AI351" s="3">
        <v>2</v>
      </c>
      <c r="AJ351" s="3">
        <v>1</v>
      </c>
      <c r="AK351" s="3">
        <v>2</v>
      </c>
      <c r="AL351" s="3">
        <v>11</v>
      </c>
      <c r="AM351" s="3">
        <v>11</v>
      </c>
      <c r="AN351" s="3">
        <v>0</v>
      </c>
      <c r="AO351" s="3">
        <v>1</v>
      </c>
      <c r="AP351" s="3">
        <v>0</v>
      </c>
      <c r="AQ351" s="3">
        <v>0</v>
      </c>
      <c r="AR351" s="2" t="s">
        <v>46</v>
      </c>
      <c r="AS351" s="2" t="s">
        <v>5</v>
      </c>
      <c r="AT351" s="5" t="str">
        <f>HYPERLINK("http://catalog.hathitrust.org/Record/007648741","HathiTrust Record")</f>
        <v>HathiTrust Record</v>
      </c>
      <c r="AU351" s="5" t="str">
        <f>HYPERLINK("https://creighton-primo.hosted.exlibrisgroup.com/primo-explore/search?tab=default_tab&amp;search_scope=EVERYTHING&amp;vid=01CRU&amp;lang=en_US&amp;offset=0&amp;query=any,contains,991002426969702656","Catalog Record")</f>
        <v>Catalog Record</v>
      </c>
      <c r="AV351" s="5" t="str">
        <f>HYPERLINK("http://www.worldcat.org/oclc/345181","WorldCat Record")</f>
        <v>WorldCat Record</v>
      </c>
      <c r="AW351" s="2" t="s">
        <v>4547</v>
      </c>
      <c r="AX351" s="2" t="s">
        <v>4548</v>
      </c>
      <c r="AY351" s="2" t="s">
        <v>4549</v>
      </c>
      <c r="AZ351" s="2" t="s">
        <v>4549</v>
      </c>
      <c r="BA351" s="2" t="s">
        <v>4550</v>
      </c>
      <c r="BB351" s="2" t="s">
        <v>20</v>
      </c>
      <c r="BE351" s="2" t="s">
        <v>4551</v>
      </c>
      <c r="BF351" s="2" t="s">
        <v>4552</v>
      </c>
    </row>
    <row r="352" spans="1:58" ht="39.75" customHeight="1" x14ac:dyDescent="0.25">
      <c r="A352" s="7" t="s">
        <v>5</v>
      </c>
      <c r="B352" s="1" t="s">
        <v>0</v>
      </c>
      <c r="C352" s="1" t="s">
        <v>1</v>
      </c>
      <c r="D352" s="1" t="s">
        <v>4553</v>
      </c>
      <c r="E352" s="1" t="s">
        <v>4554</v>
      </c>
      <c r="F352" s="1" t="s">
        <v>4555</v>
      </c>
      <c r="H352" s="2" t="s">
        <v>5</v>
      </c>
      <c r="I352" s="2" t="s">
        <v>6</v>
      </c>
      <c r="J352" s="2" t="s">
        <v>5</v>
      </c>
      <c r="K352" s="2" t="s">
        <v>5</v>
      </c>
      <c r="L352" s="2" t="s">
        <v>7</v>
      </c>
      <c r="M352" s="1" t="s">
        <v>4204</v>
      </c>
      <c r="N352" s="1" t="s">
        <v>4556</v>
      </c>
      <c r="O352" s="2" t="s">
        <v>76</v>
      </c>
      <c r="Q352" s="2" t="s">
        <v>60</v>
      </c>
      <c r="R352" s="2" t="s">
        <v>1236</v>
      </c>
      <c r="T352" s="2" t="s">
        <v>13</v>
      </c>
      <c r="U352" s="3">
        <v>11</v>
      </c>
      <c r="V352" s="3">
        <v>11</v>
      </c>
      <c r="W352" s="4" t="s">
        <v>4437</v>
      </c>
      <c r="X352" s="4" t="s">
        <v>4437</v>
      </c>
      <c r="Y352" s="4" t="s">
        <v>4221</v>
      </c>
      <c r="Z352" s="4" t="s">
        <v>4221</v>
      </c>
      <c r="AA352" s="3">
        <v>827</v>
      </c>
      <c r="AB352" s="3">
        <v>710</v>
      </c>
      <c r="AC352" s="3">
        <v>726</v>
      </c>
      <c r="AD352" s="3">
        <v>5</v>
      </c>
      <c r="AE352" s="9">
        <v>5</v>
      </c>
      <c r="AF352" s="9">
        <v>34</v>
      </c>
      <c r="AG352" s="9">
        <v>34</v>
      </c>
      <c r="AH352" s="3">
        <v>10</v>
      </c>
      <c r="AI352" s="3">
        <v>10</v>
      </c>
      <c r="AJ352" s="3">
        <v>9</v>
      </c>
      <c r="AK352" s="3">
        <v>9</v>
      </c>
      <c r="AL352" s="3">
        <v>21</v>
      </c>
      <c r="AM352" s="3">
        <v>21</v>
      </c>
      <c r="AN352" s="3">
        <v>4</v>
      </c>
      <c r="AO352" s="3">
        <v>4</v>
      </c>
      <c r="AP352" s="3">
        <v>0</v>
      </c>
      <c r="AQ352" s="3">
        <v>0</v>
      </c>
      <c r="AR352" s="2" t="s">
        <v>5</v>
      </c>
      <c r="AS352" s="2" t="s">
        <v>46</v>
      </c>
      <c r="AT352" s="5" t="str">
        <f>HYPERLINK("http://catalog.hathitrust.org/Record/000868195","HathiTrust Record")</f>
        <v>HathiTrust Record</v>
      </c>
      <c r="AU352" s="5" t="str">
        <f>HYPERLINK("https://creighton-primo.hosted.exlibrisgroup.com/primo-explore/search?tab=default_tab&amp;search_scope=EVERYTHING&amp;vid=01CRU&amp;lang=en_US&amp;offset=0&amp;query=any,contains,991001963509702656","Catalog Record")</f>
        <v>Catalog Record</v>
      </c>
      <c r="AV352" s="5" t="str">
        <f>HYPERLINK("http://www.worldcat.org/oclc/253713","WorldCat Record")</f>
        <v>WorldCat Record</v>
      </c>
      <c r="AW352" s="2" t="s">
        <v>4557</v>
      </c>
      <c r="AX352" s="2" t="s">
        <v>4558</v>
      </c>
      <c r="AY352" s="2" t="s">
        <v>4559</v>
      </c>
      <c r="AZ352" s="2" t="s">
        <v>4559</v>
      </c>
      <c r="BA352" s="2" t="s">
        <v>4560</v>
      </c>
      <c r="BB352" s="2" t="s">
        <v>20</v>
      </c>
      <c r="BE352" s="2" t="s">
        <v>4561</v>
      </c>
      <c r="BF352" s="2" t="s">
        <v>4562</v>
      </c>
    </row>
    <row r="353" spans="1:58" ht="39.75" customHeight="1" x14ac:dyDescent="0.25">
      <c r="A353" s="7" t="s">
        <v>5</v>
      </c>
      <c r="B353" s="1" t="s">
        <v>0</v>
      </c>
      <c r="C353" s="1" t="s">
        <v>1</v>
      </c>
      <c r="D353" s="1" t="s">
        <v>4563</v>
      </c>
      <c r="E353" s="1" t="s">
        <v>4564</v>
      </c>
      <c r="F353" s="1" t="s">
        <v>4565</v>
      </c>
      <c r="H353" s="2" t="s">
        <v>5</v>
      </c>
      <c r="I353" s="2" t="s">
        <v>6</v>
      </c>
      <c r="J353" s="2" t="s">
        <v>5</v>
      </c>
      <c r="K353" s="2" t="s">
        <v>5</v>
      </c>
      <c r="L353" s="2" t="s">
        <v>7</v>
      </c>
      <c r="M353" s="1" t="s">
        <v>4566</v>
      </c>
      <c r="N353" s="1" t="s">
        <v>4567</v>
      </c>
      <c r="O353" s="2" t="s">
        <v>192</v>
      </c>
      <c r="Q353" s="2" t="s">
        <v>60</v>
      </c>
      <c r="R353" s="2" t="s">
        <v>43</v>
      </c>
      <c r="T353" s="2" t="s">
        <v>13</v>
      </c>
      <c r="U353" s="3">
        <v>5</v>
      </c>
      <c r="V353" s="3">
        <v>5</v>
      </c>
      <c r="W353" s="4" t="s">
        <v>4568</v>
      </c>
      <c r="X353" s="4" t="s">
        <v>4568</v>
      </c>
      <c r="Y353" s="4" t="s">
        <v>4569</v>
      </c>
      <c r="Z353" s="4" t="s">
        <v>4569</v>
      </c>
      <c r="AA353" s="3">
        <v>511</v>
      </c>
      <c r="AB353" s="3">
        <v>430</v>
      </c>
      <c r="AC353" s="3">
        <v>461</v>
      </c>
      <c r="AD353" s="3">
        <v>3</v>
      </c>
      <c r="AE353" s="9">
        <v>3</v>
      </c>
      <c r="AF353" s="9">
        <v>29</v>
      </c>
      <c r="AG353" s="9">
        <v>31</v>
      </c>
      <c r="AH353" s="3">
        <v>10</v>
      </c>
      <c r="AI353" s="3">
        <v>10</v>
      </c>
      <c r="AJ353" s="3">
        <v>7</v>
      </c>
      <c r="AK353" s="3">
        <v>8</v>
      </c>
      <c r="AL353" s="3">
        <v>18</v>
      </c>
      <c r="AM353" s="3">
        <v>19</v>
      </c>
      <c r="AN353" s="3">
        <v>2</v>
      </c>
      <c r="AO353" s="3">
        <v>2</v>
      </c>
      <c r="AP353" s="3">
        <v>0</v>
      </c>
      <c r="AQ353" s="3">
        <v>0</v>
      </c>
      <c r="AR353" s="2" t="s">
        <v>5</v>
      </c>
      <c r="AS353" s="2" t="s">
        <v>46</v>
      </c>
      <c r="AT353" s="5" t="str">
        <f>HYPERLINK("http://catalog.hathitrust.org/Record/001219684","HathiTrust Record")</f>
        <v>HathiTrust Record</v>
      </c>
      <c r="AU353" s="5" t="str">
        <f>HYPERLINK("https://creighton-primo.hosted.exlibrisgroup.com/primo-explore/search?tab=default_tab&amp;search_scope=EVERYTHING&amp;vid=01CRU&amp;lang=en_US&amp;offset=0&amp;query=any,contains,991003905499702656","Catalog Record")</f>
        <v>Catalog Record</v>
      </c>
      <c r="AV353" s="5" t="str">
        <f>HYPERLINK("http://www.worldcat.org/oclc/1836630","WorldCat Record")</f>
        <v>WorldCat Record</v>
      </c>
      <c r="AW353" s="2" t="s">
        <v>4570</v>
      </c>
      <c r="AX353" s="2" t="s">
        <v>4571</v>
      </c>
      <c r="AY353" s="2" t="s">
        <v>4572</v>
      </c>
      <c r="AZ353" s="2" t="s">
        <v>4572</v>
      </c>
      <c r="BA353" s="2" t="s">
        <v>4573</v>
      </c>
      <c r="BB353" s="2" t="s">
        <v>20</v>
      </c>
      <c r="BE353" s="2" t="s">
        <v>4574</v>
      </c>
      <c r="BF353" s="2" t="s">
        <v>4575</v>
      </c>
    </row>
    <row r="354" spans="1:58" ht="39.75" customHeight="1" x14ac:dyDescent="0.25">
      <c r="A354" s="7" t="s">
        <v>5</v>
      </c>
      <c r="B354" s="1" t="s">
        <v>0</v>
      </c>
      <c r="C354" s="1" t="s">
        <v>1</v>
      </c>
      <c r="D354" s="1" t="s">
        <v>4576</v>
      </c>
      <c r="E354" s="1" t="s">
        <v>4577</v>
      </c>
      <c r="F354" s="1" t="s">
        <v>4578</v>
      </c>
      <c r="H354" s="2" t="s">
        <v>5</v>
      </c>
      <c r="I354" s="2" t="s">
        <v>6</v>
      </c>
      <c r="J354" s="2" t="s">
        <v>5</v>
      </c>
      <c r="K354" s="2" t="s">
        <v>5</v>
      </c>
      <c r="L354" s="2" t="s">
        <v>7</v>
      </c>
      <c r="M354" s="1" t="s">
        <v>4579</v>
      </c>
      <c r="N354" s="1" t="s">
        <v>3750</v>
      </c>
      <c r="O354" s="2" t="s">
        <v>42</v>
      </c>
      <c r="P354" s="1" t="s">
        <v>3751</v>
      </c>
      <c r="Q354" s="2" t="s">
        <v>11</v>
      </c>
      <c r="R354" s="2" t="s">
        <v>28</v>
      </c>
      <c r="S354" s="1" t="s">
        <v>4580</v>
      </c>
      <c r="T354" s="2" t="s">
        <v>13</v>
      </c>
      <c r="U354" s="3">
        <v>2</v>
      </c>
      <c r="V354" s="3">
        <v>2</v>
      </c>
      <c r="W354" s="4" t="s">
        <v>3777</v>
      </c>
      <c r="X354" s="4" t="s">
        <v>3777</v>
      </c>
      <c r="Y354" s="4" t="s">
        <v>3793</v>
      </c>
      <c r="Z354" s="4" t="s">
        <v>3793</v>
      </c>
      <c r="AA354" s="3">
        <v>150</v>
      </c>
      <c r="AB354" s="3">
        <v>84</v>
      </c>
      <c r="AC354" s="3">
        <v>89</v>
      </c>
      <c r="AD354" s="3">
        <v>3</v>
      </c>
      <c r="AE354" s="9">
        <v>3</v>
      </c>
      <c r="AF354" s="9">
        <v>6</v>
      </c>
      <c r="AG354" s="9">
        <v>6</v>
      </c>
      <c r="AH354" s="3">
        <v>0</v>
      </c>
      <c r="AI354" s="3">
        <v>0</v>
      </c>
      <c r="AJ354" s="3">
        <v>3</v>
      </c>
      <c r="AK354" s="3">
        <v>3</v>
      </c>
      <c r="AL354" s="3">
        <v>2</v>
      </c>
      <c r="AM354" s="3">
        <v>2</v>
      </c>
      <c r="AN354" s="3">
        <v>2</v>
      </c>
      <c r="AO354" s="3">
        <v>2</v>
      </c>
      <c r="AP354" s="3">
        <v>0</v>
      </c>
      <c r="AQ354" s="3">
        <v>0</v>
      </c>
      <c r="AR354" s="2" t="s">
        <v>5</v>
      </c>
      <c r="AS354" s="2" t="s">
        <v>46</v>
      </c>
      <c r="AT354" s="5" t="str">
        <f>HYPERLINK("http://catalog.hathitrust.org/Record/002427300","HathiTrust Record")</f>
        <v>HathiTrust Record</v>
      </c>
      <c r="AU354" s="5" t="str">
        <f>HYPERLINK("https://creighton-primo.hosted.exlibrisgroup.com/primo-explore/search?tab=default_tab&amp;search_scope=EVERYTHING&amp;vid=01CRU&amp;lang=en_US&amp;offset=0&amp;query=any,contains,991001891659702656","Catalog Record")</f>
        <v>Catalog Record</v>
      </c>
      <c r="AV354" s="5" t="str">
        <f>HYPERLINK("http://www.worldcat.org/oclc/23871549","WorldCat Record")</f>
        <v>WorldCat Record</v>
      </c>
      <c r="AW354" s="2" t="s">
        <v>4581</v>
      </c>
      <c r="AX354" s="2" t="s">
        <v>4582</v>
      </c>
      <c r="AY354" s="2" t="s">
        <v>4583</v>
      </c>
      <c r="AZ354" s="2" t="s">
        <v>4583</v>
      </c>
      <c r="BA354" s="2" t="s">
        <v>4584</v>
      </c>
      <c r="BB354" s="2" t="s">
        <v>20</v>
      </c>
      <c r="BD354" s="2" t="s">
        <v>4585</v>
      </c>
      <c r="BE354" s="2" t="s">
        <v>4586</v>
      </c>
      <c r="BF354" s="2" t="s">
        <v>4587</v>
      </c>
    </row>
    <row r="355" spans="1:58" ht="39.75" customHeight="1" x14ac:dyDescent="0.25">
      <c r="A355" s="7" t="s">
        <v>5</v>
      </c>
      <c r="B355" s="1" t="s">
        <v>0</v>
      </c>
      <c r="C355" s="1" t="s">
        <v>1</v>
      </c>
      <c r="D355" s="1" t="s">
        <v>4588</v>
      </c>
      <c r="E355" s="1" t="s">
        <v>4589</v>
      </c>
      <c r="F355" s="1" t="s">
        <v>4590</v>
      </c>
      <c r="H355" s="2" t="s">
        <v>5</v>
      </c>
      <c r="I355" s="2" t="s">
        <v>6</v>
      </c>
      <c r="J355" s="2" t="s">
        <v>5</v>
      </c>
      <c r="K355" s="2" t="s">
        <v>5</v>
      </c>
      <c r="L355" s="2" t="s">
        <v>7</v>
      </c>
      <c r="M355" s="1" t="s">
        <v>4591</v>
      </c>
      <c r="N355" s="1" t="s">
        <v>3073</v>
      </c>
      <c r="O355" s="2" t="s">
        <v>162</v>
      </c>
      <c r="Q355" s="2" t="s">
        <v>60</v>
      </c>
      <c r="R355" s="2" t="s">
        <v>61</v>
      </c>
      <c r="S355" s="1" t="s">
        <v>4592</v>
      </c>
      <c r="T355" s="2" t="s">
        <v>13</v>
      </c>
      <c r="U355" s="3">
        <v>9</v>
      </c>
      <c r="V355" s="3">
        <v>9</v>
      </c>
      <c r="W355" s="4" t="s">
        <v>4593</v>
      </c>
      <c r="X355" s="4" t="s">
        <v>4593</v>
      </c>
      <c r="Y355" s="4" t="s">
        <v>4594</v>
      </c>
      <c r="Z355" s="4" t="s">
        <v>4594</v>
      </c>
      <c r="AA355" s="3">
        <v>866</v>
      </c>
      <c r="AB355" s="3">
        <v>779</v>
      </c>
      <c r="AC355" s="3">
        <v>785</v>
      </c>
      <c r="AD355" s="3">
        <v>5</v>
      </c>
      <c r="AE355" s="9">
        <v>5</v>
      </c>
      <c r="AF355" s="9">
        <v>28</v>
      </c>
      <c r="AG355" s="9">
        <v>29</v>
      </c>
      <c r="AH355" s="3">
        <v>10</v>
      </c>
      <c r="AI355" s="3">
        <v>10</v>
      </c>
      <c r="AJ355" s="3">
        <v>8</v>
      </c>
      <c r="AK355" s="3">
        <v>9</v>
      </c>
      <c r="AL355" s="3">
        <v>15</v>
      </c>
      <c r="AM355" s="3">
        <v>16</v>
      </c>
      <c r="AN355" s="3">
        <v>4</v>
      </c>
      <c r="AO355" s="3">
        <v>4</v>
      </c>
      <c r="AP355" s="3">
        <v>0</v>
      </c>
      <c r="AQ355" s="3">
        <v>0</v>
      </c>
      <c r="AR355" s="2" t="s">
        <v>5</v>
      </c>
      <c r="AS355" s="2" t="s">
        <v>46</v>
      </c>
      <c r="AT355" s="5" t="str">
        <f>HYPERLINK("http://catalog.hathitrust.org/Record/001015756","HathiTrust Record")</f>
        <v>HathiTrust Record</v>
      </c>
      <c r="AU355" s="5" t="str">
        <f>HYPERLINK("https://creighton-primo.hosted.exlibrisgroup.com/primo-explore/search?tab=default_tab&amp;search_scope=EVERYTHING&amp;vid=01CRU&amp;lang=en_US&amp;offset=0&amp;query=any,contains,991000160139702656","Catalog Record")</f>
        <v>Catalog Record</v>
      </c>
      <c r="AV355" s="5" t="str">
        <f>HYPERLINK("http://www.worldcat.org/oclc/61328","WorldCat Record")</f>
        <v>WorldCat Record</v>
      </c>
      <c r="AW355" s="2" t="s">
        <v>4595</v>
      </c>
      <c r="AX355" s="2" t="s">
        <v>4596</v>
      </c>
      <c r="AY355" s="2" t="s">
        <v>4597</v>
      </c>
      <c r="AZ355" s="2" t="s">
        <v>4597</v>
      </c>
      <c r="BA355" s="2" t="s">
        <v>4598</v>
      </c>
      <c r="BB355" s="2" t="s">
        <v>20</v>
      </c>
      <c r="BE355" s="2" t="s">
        <v>4599</v>
      </c>
      <c r="BF355" s="2" t="s">
        <v>4600</v>
      </c>
    </row>
    <row r="356" spans="1:58" ht="39.75" customHeight="1" x14ac:dyDescent="0.25">
      <c r="A356" s="7" t="s">
        <v>5</v>
      </c>
      <c r="B356" s="1" t="s">
        <v>0</v>
      </c>
      <c r="C356" s="1" t="s">
        <v>1</v>
      </c>
      <c r="D356" s="1" t="s">
        <v>4601</v>
      </c>
      <c r="E356" s="1" t="s">
        <v>4602</v>
      </c>
      <c r="F356" s="1" t="s">
        <v>4603</v>
      </c>
      <c r="H356" s="2" t="s">
        <v>5</v>
      </c>
      <c r="I356" s="2" t="s">
        <v>6</v>
      </c>
      <c r="J356" s="2" t="s">
        <v>5</v>
      </c>
      <c r="K356" s="2" t="s">
        <v>5</v>
      </c>
      <c r="L356" s="2" t="s">
        <v>7</v>
      </c>
      <c r="M356" s="1" t="s">
        <v>4604</v>
      </c>
      <c r="N356" s="1" t="s">
        <v>4605</v>
      </c>
      <c r="O356" s="2" t="s">
        <v>1515</v>
      </c>
      <c r="Q356" s="2" t="s">
        <v>60</v>
      </c>
      <c r="R356" s="2" t="s">
        <v>61</v>
      </c>
      <c r="S356" s="1" t="s">
        <v>4606</v>
      </c>
      <c r="T356" s="2" t="s">
        <v>13</v>
      </c>
      <c r="U356" s="3">
        <v>9</v>
      </c>
      <c r="V356" s="3">
        <v>9</v>
      </c>
      <c r="W356" s="4" t="s">
        <v>4607</v>
      </c>
      <c r="X356" s="4" t="s">
        <v>4607</v>
      </c>
      <c r="Y356" s="4" t="s">
        <v>4608</v>
      </c>
      <c r="Z356" s="4" t="s">
        <v>4608</v>
      </c>
      <c r="AA356" s="3">
        <v>99</v>
      </c>
      <c r="AB356" s="3">
        <v>88</v>
      </c>
      <c r="AC356" s="3">
        <v>93</v>
      </c>
      <c r="AD356" s="3">
        <v>2</v>
      </c>
      <c r="AE356" s="9">
        <v>2</v>
      </c>
      <c r="AF356" s="9">
        <v>3</v>
      </c>
      <c r="AG356" s="9">
        <v>3</v>
      </c>
      <c r="AH356" s="3">
        <v>1</v>
      </c>
      <c r="AI356" s="3">
        <v>1</v>
      </c>
      <c r="AJ356" s="3">
        <v>1</v>
      </c>
      <c r="AK356" s="3">
        <v>1</v>
      </c>
      <c r="AL356" s="3">
        <v>1</v>
      </c>
      <c r="AM356" s="3">
        <v>1</v>
      </c>
      <c r="AN356" s="3">
        <v>1</v>
      </c>
      <c r="AO356" s="3">
        <v>1</v>
      </c>
      <c r="AP356" s="3">
        <v>0</v>
      </c>
      <c r="AQ356" s="3">
        <v>0</v>
      </c>
      <c r="AR356" s="2" t="s">
        <v>5</v>
      </c>
      <c r="AS356" s="2" t="s">
        <v>5</v>
      </c>
      <c r="AU356" s="5" t="str">
        <f>HYPERLINK("https://creighton-primo.hosted.exlibrisgroup.com/primo-explore/search?tab=default_tab&amp;search_scope=EVERYTHING&amp;vid=01CRU&amp;lang=en_US&amp;offset=0&amp;query=any,contains,991004976119702656","Catalog Record")</f>
        <v>Catalog Record</v>
      </c>
      <c r="AV356" s="5" t="str">
        <f>HYPERLINK("http://www.worldcat.org/oclc/6385615","WorldCat Record")</f>
        <v>WorldCat Record</v>
      </c>
      <c r="AW356" s="2" t="s">
        <v>4609</v>
      </c>
      <c r="AX356" s="2" t="s">
        <v>4610</v>
      </c>
      <c r="AY356" s="2" t="s">
        <v>4611</v>
      </c>
      <c r="AZ356" s="2" t="s">
        <v>4611</v>
      </c>
      <c r="BA356" s="2" t="s">
        <v>4612</v>
      </c>
      <c r="BB356" s="2" t="s">
        <v>20</v>
      </c>
      <c r="BD356" s="2" t="s">
        <v>4613</v>
      </c>
      <c r="BE356" s="2" t="s">
        <v>4614</v>
      </c>
      <c r="BF356" s="2" t="s">
        <v>4615</v>
      </c>
    </row>
    <row r="357" spans="1:58" ht="39.75" customHeight="1" x14ac:dyDescent="0.25">
      <c r="A357" s="7" t="s">
        <v>5</v>
      </c>
      <c r="B357" s="1" t="s">
        <v>0</v>
      </c>
      <c r="C357" s="1" t="s">
        <v>1</v>
      </c>
      <c r="D357" s="1" t="s">
        <v>4616</v>
      </c>
      <c r="E357" s="1" t="s">
        <v>4617</v>
      </c>
      <c r="F357" s="1" t="s">
        <v>4618</v>
      </c>
      <c r="H357" s="2" t="s">
        <v>5</v>
      </c>
      <c r="I357" s="2" t="s">
        <v>6</v>
      </c>
      <c r="J357" s="2" t="s">
        <v>5</v>
      </c>
      <c r="K357" s="2" t="s">
        <v>5</v>
      </c>
      <c r="L357" s="2" t="s">
        <v>7</v>
      </c>
      <c r="M357" s="1" t="s">
        <v>4619</v>
      </c>
      <c r="N357" s="1" t="s">
        <v>4620</v>
      </c>
      <c r="O357" s="2" t="s">
        <v>1390</v>
      </c>
      <c r="Q357" s="2" t="s">
        <v>60</v>
      </c>
      <c r="R357" s="2" t="s">
        <v>1123</v>
      </c>
      <c r="T357" s="2" t="s">
        <v>13</v>
      </c>
      <c r="U357" s="3">
        <v>11</v>
      </c>
      <c r="V357" s="3">
        <v>11</v>
      </c>
      <c r="W357" s="4" t="s">
        <v>4621</v>
      </c>
      <c r="X357" s="4" t="s">
        <v>4621</v>
      </c>
      <c r="Y357" s="4" t="s">
        <v>4221</v>
      </c>
      <c r="Z357" s="4" t="s">
        <v>4221</v>
      </c>
      <c r="AA357" s="3">
        <v>676</v>
      </c>
      <c r="AB357" s="3">
        <v>535</v>
      </c>
      <c r="AC357" s="3">
        <v>671</v>
      </c>
      <c r="AD357" s="3">
        <v>4</v>
      </c>
      <c r="AE357" s="9">
        <v>6</v>
      </c>
      <c r="AF357" s="9">
        <v>29</v>
      </c>
      <c r="AG357" s="9">
        <v>36</v>
      </c>
      <c r="AH357" s="3">
        <v>9</v>
      </c>
      <c r="AI357" s="3">
        <v>12</v>
      </c>
      <c r="AJ357" s="3">
        <v>8</v>
      </c>
      <c r="AK357" s="3">
        <v>9</v>
      </c>
      <c r="AL357" s="3">
        <v>15</v>
      </c>
      <c r="AM357" s="3">
        <v>17</v>
      </c>
      <c r="AN357" s="3">
        <v>3</v>
      </c>
      <c r="AO357" s="3">
        <v>5</v>
      </c>
      <c r="AP357" s="3">
        <v>0</v>
      </c>
      <c r="AQ357" s="3">
        <v>0</v>
      </c>
      <c r="AR357" s="2" t="s">
        <v>5</v>
      </c>
      <c r="AS357" s="2" t="s">
        <v>5</v>
      </c>
      <c r="AU357" s="5" t="str">
        <f>HYPERLINK("https://creighton-primo.hosted.exlibrisgroup.com/primo-explore/search?tab=default_tab&amp;search_scope=EVERYTHING&amp;vid=01CRU&amp;lang=en_US&amp;offset=0&amp;query=any,contains,991004774869702656","Catalog Record")</f>
        <v>Catalog Record</v>
      </c>
      <c r="AV357" s="5" t="str">
        <f>HYPERLINK("http://www.worldcat.org/oclc/5100825","WorldCat Record")</f>
        <v>WorldCat Record</v>
      </c>
      <c r="AW357" s="2" t="s">
        <v>4622</v>
      </c>
      <c r="AX357" s="2" t="s">
        <v>4623</v>
      </c>
      <c r="AY357" s="2" t="s">
        <v>4624</v>
      </c>
      <c r="AZ357" s="2" t="s">
        <v>4624</v>
      </c>
      <c r="BA357" s="2" t="s">
        <v>4625</v>
      </c>
      <c r="BB357" s="2" t="s">
        <v>20</v>
      </c>
      <c r="BD357" s="2" t="s">
        <v>4626</v>
      </c>
      <c r="BE357" s="2" t="s">
        <v>4627</v>
      </c>
      <c r="BF357" s="2" t="s">
        <v>4628</v>
      </c>
    </row>
    <row r="358" spans="1:58" ht="39.75" customHeight="1" x14ac:dyDescent="0.25">
      <c r="A358" s="7" t="s">
        <v>5</v>
      </c>
      <c r="B358" s="1" t="s">
        <v>0</v>
      </c>
      <c r="C358" s="1" t="s">
        <v>1</v>
      </c>
      <c r="D358" s="1" t="s">
        <v>4629</v>
      </c>
      <c r="E358" s="1" t="s">
        <v>4630</v>
      </c>
      <c r="F358" s="1" t="s">
        <v>4631</v>
      </c>
      <c r="H358" s="2" t="s">
        <v>5</v>
      </c>
      <c r="I358" s="2" t="s">
        <v>6</v>
      </c>
      <c r="J358" s="2" t="s">
        <v>5</v>
      </c>
      <c r="K358" s="2" t="s">
        <v>5</v>
      </c>
      <c r="L358" s="2" t="s">
        <v>7</v>
      </c>
      <c r="M358" s="1" t="s">
        <v>4632</v>
      </c>
      <c r="N358" s="1" t="s">
        <v>4633</v>
      </c>
      <c r="O358" s="2" t="s">
        <v>886</v>
      </c>
      <c r="Q358" s="2" t="s">
        <v>60</v>
      </c>
      <c r="R358" s="2" t="s">
        <v>61</v>
      </c>
      <c r="S358" s="1" t="s">
        <v>4634</v>
      </c>
      <c r="T358" s="2" t="s">
        <v>13</v>
      </c>
      <c r="U358" s="3">
        <v>3</v>
      </c>
      <c r="V358" s="3">
        <v>3</v>
      </c>
      <c r="W358" s="4" t="s">
        <v>4635</v>
      </c>
      <c r="X358" s="4" t="s">
        <v>4635</v>
      </c>
      <c r="Y358" s="4" t="s">
        <v>4636</v>
      </c>
      <c r="Z358" s="4" t="s">
        <v>4636</v>
      </c>
      <c r="AA358" s="3">
        <v>641</v>
      </c>
      <c r="AB358" s="3">
        <v>570</v>
      </c>
      <c r="AC358" s="3">
        <v>577</v>
      </c>
      <c r="AD358" s="3">
        <v>2</v>
      </c>
      <c r="AE358" s="9">
        <v>2</v>
      </c>
      <c r="AF358" s="9">
        <v>18</v>
      </c>
      <c r="AG358" s="9">
        <v>18</v>
      </c>
      <c r="AH358" s="3">
        <v>9</v>
      </c>
      <c r="AI358" s="3">
        <v>9</v>
      </c>
      <c r="AJ358" s="3">
        <v>5</v>
      </c>
      <c r="AK358" s="3">
        <v>5</v>
      </c>
      <c r="AL358" s="3">
        <v>10</v>
      </c>
      <c r="AM358" s="3">
        <v>10</v>
      </c>
      <c r="AN358" s="3">
        <v>1</v>
      </c>
      <c r="AO358" s="3">
        <v>1</v>
      </c>
      <c r="AP358" s="3">
        <v>0</v>
      </c>
      <c r="AQ358" s="3">
        <v>0</v>
      </c>
      <c r="AR358" s="2" t="s">
        <v>5</v>
      </c>
      <c r="AS358" s="2" t="s">
        <v>46</v>
      </c>
      <c r="AT358" s="5" t="str">
        <f>HYPERLINK("http://catalog.hathitrust.org/Record/001219492","HathiTrust Record")</f>
        <v>HathiTrust Record</v>
      </c>
      <c r="AU358" s="5" t="str">
        <f>HYPERLINK("https://creighton-primo.hosted.exlibrisgroup.com/primo-explore/search?tab=default_tab&amp;search_scope=EVERYTHING&amp;vid=01CRU&amp;lang=en_US&amp;offset=0&amp;query=any,contains,991003215319702656","Catalog Record")</f>
        <v>Catalog Record</v>
      </c>
      <c r="AV358" s="5" t="str">
        <f>HYPERLINK("http://www.worldcat.org/oclc/741124","WorldCat Record")</f>
        <v>WorldCat Record</v>
      </c>
      <c r="AW358" s="2" t="s">
        <v>4637</v>
      </c>
      <c r="AX358" s="2" t="s">
        <v>4638</v>
      </c>
      <c r="AY358" s="2" t="s">
        <v>4639</v>
      </c>
      <c r="AZ358" s="2" t="s">
        <v>4639</v>
      </c>
      <c r="BA358" s="2" t="s">
        <v>4640</v>
      </c>
      <c r="BB358" s="2" t="s">
        <v>20</v>
      </c>
      <c r="BD358" s="2" t="s">
        <v>4641</v>
      </c>
      <c r="BE358" s="2" t="s">
        <v>4642</v>
      </c>
      <c r="BF358" s="2" t="s">
        <v>4643</v>
      </c>
    </row>
    <row r="359" spans="1:58" ht="39.75" customHeight="1" x14ac:dyDescent="0.25">
      <c r="A359" s="7" t="s">
        <v>5</v>
      </c>
      <c r="B359" s="1" t="s">
        <v>0</v>
      </c>
      <c r="C359" s="1" t="s">
        <v>1</v>
      </c>
      <c r="D359" s="1" t="s">
        <v>4644</v>
      </c>
      <c r="E359" s="1" t="s">
        <v>4645</v>
      </c>
      <c r="F359" s="1" t="s">
        <v>4646</v>
      </c>
      <c r="H359" s="2" t="s">
        <v>5</v>
      </c>
      <c r="I359" s="2" t="s">
        <v>6</v>
      </c>
      <c r="J359" s="2" t="s">
        <v>5</v>
      </c>
      <c r="K359" s="2" t="s">
        <v>5</v>
      </c>
      <c r="L359" s="2" t="s">
        <v>7</v>
      </c>
      <c r="M359" s="1" t="s">
        <v>4647</v>
      </c>
      <c r="N359" s="1" t="s">
        <v>4648</v>
      </c>
      <c r="O359" s="2" t="s">
        <v>121</v>
      </c>
      <c r="Q359" s="2" t="s">
        <v>60</v>
      </c>
      <c r="R359" s="2" t="s">
        <v>193</v>
      </c>
      <c r="T359" s="2" t="s">
        <v>13</v>
      </c>
      <c r="U359" s="3">
        <v>1</v>
      </c>
      <c r="V359" s="3">
        <v>1</v>
      </c>
      <c r="W359" s="4" t="s">
        <v>4649</v>
      </c>
      <c r="X359" s="4" t="s">
        <v>4649</v>
      </c>
      <c r="Y359" s="4" t="s">
        <v>4636</v>
      </c>
      <c r="Z359" s="4" t="s">
        <v>4636</v>
      </c>
      <c r="AA359" s="3">
        <v>556</v>
      </c>
      <c r="AB359" s="3">
        <v>418</v>
      </c>
      <c r="AC359" s="3">
        <v>428</v>
      </c>
      <c r="AD359" s="3">
        <v>4</v>
      </c>
      <c r="AE359" s="9">
        <v>4</v>
      </c>
      <c r="AF359" s="9">
        <v>28</v>
      </c>
      <c r="AG359" s="9">
        <v>28</v>
      </c>
      <c r="AH359" s="3">
        <v>9</v>
      </c>
      <c r="AI359" s="3">
        <v>9</v>
      </c>
      <c r="AJ359" s="3">
        <v>7</v>
      </c>
      <c r="AK359" s="3">
        <v>7</v>
      </c>
      <c r="AL359" s="3">
        <v>16</v>
      </c>
      <c r="AM359" s="3">
        <v>16</v>
      </c>
      <c r="AN359" s="3">
        <v>3</v>
      </c>
      <c r="AO359" s="3">
        <v>3</v>
      </c>
      <c r="AP359" s="3">
        <v>0</v>
      </c>
      <c r="AQ359" s="3">
        <v>0</v>
      </c>
      <c r="AR359" s="2" t="s">
        <v>5</v>
      </c>
      <c r="AS359" s="2" t="s">
        <v>46</v>
      </c>
      <c r="AT359" s="5" t="str">
        <f>HYPERLINK("http://catalog.hathitrust.org/Record/001807156","HathiTrust Record")</f>
        <v>HathiTrust Record</v>
      </c>
      <c r="AU359" s="5" t="str">
        <f>HYPERLINK("https://creighton-primo.hosted.exlibrisgroup.com/primo-explore/search?tab=default_tab&amp;search_scope=EVERYTHING&amp;vid=01CRU&amp;lang=en_US&amp;offset=0&amp;query=any,contains,991000084269702656","Catalog Record")</f>
        <v>Catalog Record</v>
      </c>
      <c r="AV359" s="5" t="str">
        <f>HYPERLINK("http://www.worldcat.org/oclc/32970","WorldCat Record")</f>
        <v>WorldCat Record</v>
      </c>
      <c r="AW359" s="2" t="s">
        <v>4650</v>
      </c>
      <c r="AX359" s="2" t="s">
        <v>4651</v>
      </c>
      <c r="AY359" s="2" t="s">
        <v>4652</v>
      </c>
      <c r="AZ359" s="2" t="s">
        <v>4652</v>
      </c>
      <c r="BA359" s="2" t="s">
        <v>4653</v>
      </c>
      <c r="BB359" s="2" t="s">
        <v>20</v>
      </c>
      <c r="BD359" s="2" t="s">
        <v>4654</v>
      </c>
      <c r="BE359" s="2" t="s">
        <v>4655</v>
      </c>
      <c r="BF359" s="2" t="s">
        <v>4656</v>
      </c>
    </row>
    <row r="360" spans="1:58" ht="39.75" customHeight="1" x14ac:dyDescent="0.25">
      <c r="A360" s="7" t="s">
        <v>5</v>
      </c>
      <c r="B360" s="1" t="s">
        <v>0</v>
      </c>
      <c r="C360" s="1" t="s">
        <v>1</v>
      </c>
      <c r="D360" s="1" t="s">
        <v>4657</v>
      </c>
      <c r="E360" s="1" t="s">
        <v>4658</v>
      </c>
      <c r="F360" s="1" t="s">
        <v>4659</v>
      </c>
      <c r="H360" s="2" t="s">
        <v>5</v>
      </c>
      <c r="I360" s="2" t="s">
        <v>6</v>
      </c>
      <c r="J360" s="2" t="s">
        <v>5</v>
      </c>
      <c r="K360" s="2" t="s">
        <v>5</v>
      </c>
      <c r="L360" s="2" t="s">
        <v>7</v>
      </c>
      <c r="M360" s="1" t="s">
        <v>4660</v>
      </c>
      <c r="N360" s="1" t="s">
        <v>4661</v>
      </c>
      <c r="O360" s="2" t="s">
        <v>584</v>
      </c>
      <c r="Q360" s="2" t="s">
        <v>60</v>
      </c>
      <c r="R360" s="2" t="s">
        <v>234</v>
      </c>
      <c r="T360" s="2" t="s">
        <v>13</v>
      </c>
      <c r="U360" s="3">
        <v>2</v>
      </c>
      <c r="V360" s="3">
        <v>2</v>
      </c>
      <c r="W360" s="4" t="s">
        <v>4662</v>
      </c>
      <c r="X360" s="4" t="s">
        <v>4662</v>
      </c>
      <c r="Y360" s="4" t="s">
        <v>4636</v>
      </c>
      <c r="Z360" s="4" t="s">
        <v>4636</v>
      </c>
      <c r="AA360" s="3">
        <v>335</v>
      </c>
      <c r="AB360" s="3">
        <v>309</v>
      </c>
      <c r="AC360" s="3">
        <v>2124</v>
      </c>
      <c r="AD360" s="3">
        <v>3</v>
      </c>
      <c r="AE360" s="9">
        <v>23</v>
      </c>
      <c r="AF360" s="9">
        <v>18</v>
      </c>
      <c r="AG360" s="9">
        <v>68</v>
      </c>
      <c r="AH360" s="3">
        <v>8</v>
      </c>
      <c r="AI360" s="3">
        <v>28</v>
      </c>
      <c r="AJ360" s="3">
        <v>4</v>
      </c>
      <c r="AK360" s="3">
        <v>11</v>
      </c>
      <c r="AL360" s="3">
        <v>8</v>
      </c>
      <c r="AM360" s="3">
        <v>28</v>
      </c>
      <c r="AN360" s="3">
        <v>2</v>
      </c>
      <c r="AO360" s="3">
        <v>15</v>
      </c>
      <c r="AP360" s="3">
        <v>0</v>
      </c>
      <c r="AQ360" s="3">
        <v>0</v>
      </c>
      <c r="AR360" s="2" t="s">
        <v>5</v>
      </c>
      <c r="AS360" s="2" t="s">
        <v>46</v>
      </c>
      <c r="AT360" s="5" t="str">
        <f>HYPERLINK("http://catalog.hathitrust.org/Record/001015812","HathiTrust Record")</f>
        <v>HathiTrust Record</v>
      </c>
      <c r="AU360" s="5" t="str">
        <f>HYPERLINK("https://creighton-primo.hosted.exlibrisgroup.com/primo-explore/search?tab=default_tab&amp;search_scope=EVERYTHING&amp;vid=01CRU&amp;lang=en_US&amp;offset=0&amp;query=any,contains,991003666769702656","Catalog Record")</f>
        <v>Catalog Record</v>
      </c>
      <c r="AV360" s="5" t="str">
        <f>HYPERLINK("http://www.worldcat.org/oclc/1281030","WorldCat Record")</f>
        <v>WorldCat Record</v>
      </c>
      <c r="AW360" s="2" t="s">
        <v>4663</v>
      </c>
      <c r="AX360" s="2" t="s">
        <v>4664</v>
      </c>
      <c r="AY360" s="2" t="s">
        <v>4665</v>
      </c>
      <c r="AZ360" s="2" t="s">
        <v>4665</v>
      </c>
      <c r="BA360" s="2" t="s">
        <v>4666</v>
      </c>
      <c r="BB360" s="2" t="s">
        <v>20</v>
      </c>
      <c r="BE360" s="2" t="s">
        <v>4667</v>
      </c>
      <c r="BF360" s="2" t="s">
        <v>4668</v>
      </c>
    </row>
    <row r="361" spans="1:58" ht="39.75" customHeight="1" x14ac:dyDescent="0.25">
      <c r="A361" s="7" t="s">
        <v>5</v>
      </c>
      <c r="B361" s="1" t="s">
        <v>0</v>
      </c>
      <c r="C361" s="1" t="s">
        <v>1</v>
      </c>
      <c r="D361" s="1" t="s">
        <v>4669</v>
      </c>
      <c r="E361" s="1" t="s">
        <v>4670</v>
      </c>
      <c r="F361" s="1" t="s">
        <v>4671</v>
      </c>
      <c r="H361" s="2" t="s">
        <v>5</v>
      </c>
      <c r="I361" s="2" t="s">
        <v>6</v>
      </c>
      <c r="J361" s="2" t="s">
        <v>5</v>
      </c>
      <c r="K361" s="2" t="s">
        <v>5</v>
      </c>
      <c r="L361" s="2" t="s">
        <v>7</v>
      </c>
      <c r="M361" s="1" t="s">
        <v>4672</v>
      </c>
      <c r="N361" s="1" t="s">
        <v>4673</v>
      </c>
      <c r="O361" s="2" t="s">
        <v>3250</v>
      </c>
      <c r="Q361" s="2" t="s">
        <v>4010</v>
      </c>
      <c r="R361" s="2" t="s">
        <v>4011</v>
      </c>
      <c r="S361" s="1" t="s">
        <v>4674</v>
      </c>
      <c r="T361" s="2" t="s">
        <v>13</v>
      </c>
      <c r="U361" s="3">
        <v>4</v>
      </c>
      <c r="V361" s="3">
        <v>4</v>
      </c>
      <c r="W361" s="4" t="s">
        <v>4675</v>
      </c>
      <c r="X361" s="4" t="s">
        <v>4675</v>
      </c>
      <c r="Y361" s="4" t="s">
        <v>4676</v>
      </c>
      <c r="Z361" s="4" t="s">
        <v>4676</v>
      </c>
      <c r="AA361" s="3">
        <v>13</v>
      </c>
      <c r="AB361" s="3">
        <v>8</v>
      </c>
      <c r="AC361" s="3">
        <v>9</v>
      </c>
      <c r="AD361" s="3">
        <v>1</v>
      </c>
      <c r="AE361" s="9">
        <v>1</v>
      </c>
      <c r="AF361" s="9">
        <v>0</v>
      </c>
      <c r="AG361" s="9">
        <v>0</v>
      </c>
      <c r="AH361" s="3">
        <v>0</v>
      </c>
      <c r="AI361" s="3">
        <v>0</v>
      </c>
      <c r="AJ361" s="3">
        <v>0</v>
      </c>
      <c r="AK361" s="3">
        <v>0</v>
      </c>
      <c r="AL361" s="3">
        <v>0</v>
      </c>
      <c r="AM361" s="3">
        <v>0</v>
      </c>
      <c r="AN361" s="3">
        <v>0</v>
      </c>
      <c r="AO361" s="3">
        <v>0</v>
      </c>
      <c r="AP361" s="3">
        <v>0</v>
      </c>
      <c r="AQ361" s="3">
        <v>0</v>
      </c>
      <c r="AR361" s="2" t="s">
        <v>5</v>
      </c>
      <c r="AS361" s="2" t="s">
        <v>5</v>
      </c>
      <c r="AU361" s="5" t="str">
        <f>HYPERLINK("https://creighton-primo.hosted.exlibrisgroup.com/primo-explore/search?tab=default_tab&amp;search_scope=EVERYTHING&amp;vid=01CRU&amp;lang=en_US&amp;offset=0&amp;query=any,contains,991004276889702656","Catalog Record")</f>
        <v>Catalog Record</v>
      </c>
      <c r="AV361" s="5" t="str">
        <f>HYPERLINK("http://www.worldcat.org/oclc/52442500","WorldCat Record")</f>
        <v>WorldCat Record</v>
      </c>
      <c r="AW361" s="2" t="s">
        <v>4677</v>
      </c>
      <c r="AX361" s="2" t="s">
        <v>4678</v>
      </c>
      <c r="AY361" s="2" t="s">
        <v>4679</v>
      </c>
      <c r="AZ361" s="2" t="s">
        <v>4679</v>
      </c>
      <c r="BA361" s="2" t="s">
        <v>4680</v>
      </c>
      <c r="BB361" s="2" t="s">
        <v>20</v>
      </c>
      <c r="BD361" s="2" t="s">
        <v>4681</v>
      </c>
      <c r="BE361" s="2" t="s">
        <v>4682</v>
      </c>
      <c r="BF361" s="2" t="s">
        <v>4683</v>
      </c>
    </row>
    <row r="362" spans="1:58" ht="39.75" customHeight="1" x14ac:dyDescent="0.25">
      <c r="A362" s="7" t="s">
        <v>5</v>
      </c>
      <c r="B362" s="1" t="s">
        <v>0</v>
      </c>
      <c r="C362" s="1" t="s">
        <v>1</v>
      </c>
      <c r="D362" s="1" t="s">
        <v>4684</v>
      </c>
      <c r="E362" s="1" t="s">
        <v>4685</v>
      </c>
      <c r="F362" s="1" t="s">
        <v>4686</v>
      </c>
      <c r="H362" s="2" t="s">
        <v>5</v>
      </c>
      <c r="I362" s="2" t="s">
        <v>6</v>
      </c>
      <c r="J362" s="2" t="s">
        <v>5</v>
      </c>
      <c r="K362" s="2" t="s">
        <v>5</v>
      </c>
      <c r="L362" s="2" t="s">
        <v>7</v>
      </c>
      <c r="M362" s="1" t="s">
        <v>4687</v>
      </c>
      <c r="N362" s="1" t="s">
        <v>4688</v>
      </c>
      <c r="O362" s="2" t="s">
        <v>886</v>
      </c>
      <c r="Q362" s="2" t="s">
        <v>60</v>
      </c>
      <c r="R362" s="2" t="s">
        <v>4689</v>
      </c>
      <c r="T362" s="2" t="s">
        <v>13</v>
      </c>
      <c r="U362" s="3">
        <v>1</v>
      </c>
      <c r="V362" s="3">
        <v>1</v>
      </c>
      <c r="W362" s="4" t="s">
        <v>4690</v>
      </c>
      <c r="X362" s="4" t="s">
        <v>4690</v>
      </c>
      <c r="Y362" s="4" t="s">
        <v>4691</v>
      </c>
      <c r="Z362" s="4" t="s">
        <v>4691</v>
      </c>
      <c r="AA362" s="3">
        <v>60</v>
      </c>
      <c r="AB362" s="3">
        <v>54</v>
      </c>
      <c r="AC362" s="3">
        <v>530</v>
      </c>
      <c r="AD362" s="3">
        <v>1</v>
      </c>
      <c r="AE362" s="9">
        <v>3</v>
      </c>
      <c r="AF362" s="9">
        <v>3</v>
      </c>
      <c r="AG362" s="9">
        <v>22</v>
      </c>
      <c r="AH362" s="3">
        <v>1</v>
      </c>
      <c r="AI362" s="3">
        <v>10</v>
      </c>
      <c r="AJ362" s="3">
        <v>1</v>
      </c>
      <c r="AK362" s="3">
        <v>3</v>
      </c>
      <c r="AL362" s="3">
        <v>2</v>
      </c>
      <c r="AM362" s="3">
        <v>9</v>
      </c>
      <c r="AN362" s="3">
        <v>0</v>
      </c>
      <c r="AO362" s="3">
        <v>2</v>
      </c>
      <c r="AP362" s="3">
        <v>0</v>
      </c>
      <c r="AQ362" s="3">
        <v>0</v>
      </c>
      <c r="AR362" s="2" t="s">
        <v>5</v>
      </c>
      <c r="AS362" s="2" t="s">
        <v>46</v>
      </c>
      <c r="AT362" s="5" t="str">
        <f>HYPERLINK("http://catalog.hathitrust.org/Record/102075847","HathiTrust Record")</f>
        <v>HathiTrust Record</v>
      </c>
      <c r="AU362" s="5" t="str">
        <f>HYPERLINK("https://creighton-primo.hosted.exlibrisgroup.com/primo-explore/search?tab=default_tab&amp;search_scope=EVERYTHING&amp;vid=01CRU&amp;lang=en_US&amp;offset=0&amp;query=any,contains,991003456289702656","Catalog Record")</f>
        <v>Catalog Record</v>
      </c>
      <c r="AV362" s="5" t="str">
        <f>HYPERLINK("http://www.worldcat.org/oclc/995672","WorldCat Record")</f>
        <v>WorldCat Record</v>
      </c>
      <c r="AW362" s="2" t="s">
        <v>4692</v>
      </c>
      <c r="AX362" s="2" t="s">
        <v>4693</v>
      </c>
      <c r="AY362" s="2" t="s">
        <v>4694</v>
      </c>
      <c r="AZ362" s="2" t="s">
        <v>4694</v>
      </c>
      <c r="BA362" s="2" t="s">
        <v>4695</v>
      </c>
      <c r="BB362" s="2" t="s">
        <v>20</v>
      </c>
      <c r="BD362" s="2" t="s">
        <v>4696</v>
      </c>
      <c r="BE362" s="2" t="s">
        <v>4697</v>
      </c>
      <c r="BF362" s="2" t="s">
        <v>4698</v>
      </c>
    </row>
    <row r="363" spans="1:58" ht="39.75" customHeight="1" x14ac:dyDescent="0.25">
      <c r="A363" s="7" t="s">
        <v>5</v>
      </c>
      <c r="B363" s="1" t="s">
        <v>0</v>
      </c>
      <c r="C363" s="1" t="s">
        <v>1</v>
      </c>
      <c r="D363" s="1" t="s">
        <v>4699</v>
      </c>
      <c r="E363" s="1" t="s">
        <v>4700</v>
      </c>
      <c r="F363" s="1" t="s">
        <v>4701</v>
      </c>
      <c r="H363" s="2" t="s">
        <v>5</v>
      </c>
      <c r="I363" s="2" t="s">
        <v>6</v>
      </c>
      <c r="J363" s="2" t="s">
        <v>5</v>
      </c>
      <c r="K363" s="2" t="s">
        <v>5</v>
      </c>
      <c r="L363" s="2" t="s">
        <v>7</v>
      </c>
      <c r="M363" s="1" t="s">
        <v>4702</v>
      </c>
      <c r="N363" s="1" t="s">
        <v>4703</v>
      </c>
      <c r="O363" s="2" t="s">
        <v>4704</v>
      </c>
      <c r="Q363" s="2" t="s">
        <v>60</v>
      </c>
      <c r="R363" s="2" t="s">
        <v>234</v>
      </c>
      <c r="S363" s="1" t="s">
        <v>4705</v>
      </c>
      <c r="T363" s="2" t="s">
        <v>13</v>
      </c>
      <c r="U363" s="3">
        <v>4</v>
      </c>
      <c r="V363" s="3">
        <v>4</v>
      </c>
      <c r="W363" s="4" t="s">
        <v>4706</v>
      </c>
      <c r="X363" s="4" t="s">
        <v>4706</v>
      </c>
      <c r="Y363" s="4" t="s">
        <v>4707</v>
      </c>
      <c r="Z363" s="4" t="s">
        <v>4707</v>
      </c>
      <c r="AA363" s="3">
        <v>353</v>
      </c>
      <c r="AB363" s="3">
        <v>321</v>
      </c>
      <c r="AC363" s="3">
        <v>384</v>
      </c>
      <c r="AD363" s="3">
        <v>3</v>
      </c>
      <c r="AE363" s="9">
        <v>3</v>
      </c>
      <c r="AF363" s="9">
        <v>19</v>
      </c>
      <c r="AG363" s="9">
        <v>22</v>
      </c>
      <c r="AH363" s="3">
        <v>4</v>
      </c>
      <c r="AI363" s="3">
        <v>4</v>
      </c>
      <c r="AJ363" s="3">
        <v>5</v>
      </c>
      <c r="AK363" s="3">
        <v>5</v>
      </c>
      <c r="AL363" s="3">
        <v>11</v>
      </c>
      <c r="AM363" s="3">
        <v>14</v>
      </c>
      <c r="AN363" s="3">
        <v>2</v>
      </c>
      <c r="AO363" s="3">
        <v>2</v>
      </c>
      <c r="AP363" s="3">
        <v>0</v>
      </c>
      <c r="AQ363" s="3">
        <v>0</v>
      </c>
      <c r="AR363" s="2" t="s">
        <v>46</v>
      </c>
      <c r="AS363" s="2" t="s">
        <v>5</v>
      </c>
      <c r="AT363" s="5" t="str">
        <f>HYPERLINK("http://catalog.hathitrust.org/Record/001015854","HathiTrust Record")</f>
        <v>HathiTrust Record</v>
      </c>
      <c r="AU363" s="5" t="str">
        <f>HYPERLINK("https://creighton-primo.hosted.exlibrisgroup.com/primo-explore/search?tab=default_tab&amp;search_scope=EVERYTHING&amp;vid=01CRU&amp;lang=en_US&amp;offset=0&amp;query=any,contains,991003661149702656","Catalog Record")</f>
        <v>Catalog Record</v>
      </c>
      <c r="AV363" s="5" t="str">
        <f>HYPERLINK("http://www.worldcat.org/oclc/1269699","WorldCat Record")</f>
        <v>WorldCat Record</v>
      </c>
      <c r="AW363" s="2" t="s">
        <v>4708</v>
      </c>
      <c r="AX363" s="2" t="s">
        <v>4709</v>
      </c>
      <c r="AY363" s="2" t="s">
        <v>4710</v>
      </c>
      <c r="AZ363" s="2" t="s">
        <v>4710</v>
      </c>
      <c r="BA363" s="2" t="s">
        <v>4711</v>
      </c>
      <c r="BB363" s="2" t="s">
        <v>20</v>
      </c>
      <c r="BE363" s="2" t="s">
        <v>4712</v>
      </c>
      <c r="BF363" s="2" t="s">
        <v>4713</v>
      </c>
    </row>
    <row r="364" spans="1:58" ht="39.75" customHeight="1" x14ac:dyDescent="0.25">
      <c r="A364" s="7" t="s">
        <v>5</v>
      </c>
      <c r="B364" s="1" t="s">
        <v>0</v>
      </c>
      <c r="C364" s="1" t="s">
        <v>1</v>
      </c>
      <c r="D364" s="1" t="s">
        <v>4714</v>
      </c>
      <c r="E364" s="1" t="s">
        <v>4715</v>
      </c>
      <c r="F364" s="1" t="s">
        <v>4716</v>
      </c>
      <c r="H364" s="2" t="s">
        <v>5</v>
      </c>
      <c r="I364" s="2" t="s">
        <v>6</v>
      </c>
      <c r="J364" s="2" t="s">
        <v>5</v>
      </c>
      <c r="K364" s="2" t="s">
        <v>5</v>
      </c>
      <c r="L364" s="2" t="s">
        <v>7</v>
      </c>
      <c r="M364" s="1" t="s">
        <v>4717</v>
      </c>
      <c r="N364" s="1" t="s">
        <v>4718</v>
      </c>
      <c r="O364" s="2" t="s">
        <v>468</v>
      </c>
      <c r="P364" s="1" t="s">
        <v>1744</v>
      </c>
      <c r="Q364" s="2" t="s">
        <v>60</v>
      </c>
      <c r="R364" s="2" t="s">
        <v>61</v>
      </c>
      <c r="T364" s="2" t="s">
        <v>13</v>
      </c>
      <c r="U364" s="3">
        <v>1</v>
      </c>
      <c r="V364" s="3">
        <v>1</v>
      </c>
      <c r="W364" s="4" t="s">
        <v>4719</v>
      </c>
      <c r="X364" s="4" t="s">
        <v>4719</v>
      </c>
      <c r="Y364" s="4" t="s">
        <v>4720</v>
      </c>
      <c r="Z364" s="4" t="s">
        <v>4720</v>
      </c>
      <c r="AA364" s="3">
        <v>873</v>
      </c>
      <c r="AB364" s="3">
        <v>832</v>
      </c>
      <c r="AC364" s="3">
        <v>938</v>
      </c>
      <c r="AD364" s="3">
        <v>7</v>
      </c>
      <c r="AE364" s="9">
        <v>7</v>
      </c>
      <c r="AF364" s="9">
        <v>34</v>
      </c>
      <c r="AG364" s="9">
        <v>40</v>
      </c>
      <c r="AH364" s="3">
        <v>14</v>
      </c>
      <c r="AI364" s="3">
        <v>15</v>
      </c>
      <c r="AJ364" s="3">
        <v>4</v>
      </c>
      <c r="AK364" s="3">
        <v>8</v>
      </c>
      <c r="AL364" s="3">
        <v>18</v>
      </c>
      <c r="AM364" s="3">
        <v>21</v>
      </c>
      <c r="AN364" s="3">
        <v>6</v>
      </c>
      <c r="AO364" s="3">
        <v>6</v>
      </c>
      <c r="AP364" s="3">
        <v>0</v>
      </c>
      <c r="AQ364" s="3">
        <v>0</v>
      </c>
      <c r="AR364" s="2" t="s">
        <v>5</v>
      </c>
      <c r="AS364" s="2" t="s">
        <v>5</v>
      </c>
      <c r="AU364" s="5" t="str">
        <f>HYPERLINK("https://creighton-primo.hosted.exlibrisgroup.com/primo-explore/search?tab=default_tab&amp;search_scope=EVERYTHING&amp;vid=01CRU&amp;lang=en_US&amp;offset=0&amp;query=any,contains,991002793359702656","Catalog Record")</f>
        <v>Catalog Record</v>
      </c>
      <c r="AV364" s="5" t="str">
        <f>HYPERLINK("http://www.worldcat.org/oclc/444327","WorldCat Record")</f>
        <v>WorldCat Record</v>
      </c>
      <c r="AW364" s="2" t="s">
        <v>4721</v>
      </c>
      <c r="AX364" s="2" t="s">
        <v>4722</v>
      </c>
      <c r="AY364" s="2" t="s">
        <v>4723</v>
      </c>
      <c r="AZ364" s="2" t="s">
        <v>4723</v>
      </c>
      <c r="BA364" s="2" t="s">
        <v>4724</v>
      </c>
      <c r="BB364" s="2" t="s">
        <v>20</v>
      </c>
      <c r="BE364" s="2" t="s">
        <v>4725</v>
      </c>
      <c r="BF364" s="2" t="s">
        <v>4726</v>
      </c>
    </row>
    <row r="365" spans="1:58" ht="39.75" customHeight="1" x14ac:dyDescent="0.25">
      <c r="A365" s="7" t="s">
        <v>5</v>
      </c>
      <c r="B365" s="1" t="s">
        <v>0</v>
      </c>
      <c r="C365" s="1" t="s">
        <v>1</v>
      </c>
      <c r="D365" s="1" t="s">
        <v>4727</v>
      </c>
      <c r="E365" s="1" t="s">
        <v>4728</v>
      </c>
      <c r="F365" s="1" t="s">
        <v>4729</v>
      </c>
      <c r="H365" s="2" t="s">
        <v>5</v>
      </c>
      <c r="I365" s="2" t="s">
        <v>6</v>
      </c>
      <c r="J365" s="2" t="s">
        <v>5</v>
      </c>
      <c r="K365" s="2" t="s">
        <v>5</v>
      </c>
      <c r="L365" s="2" t="s">
        <v>7</v>
      </c>
      <c r="M365" s="1" t="s">
        <v>4730</v>
      </c>
      <c r="N365" s="1" t="s">
        <v>4731</v>
      </c>
      <c r="O365" s="2" t="s">
        <v>1390</v>
      </c>
      <c r="Q365" s="2" t="s">
        <v>60</v>
      </c>
      <c r="R365" s="2" t="s">
        <v>262</v>
      </c>
      <c r="T365" s="2" t="s">
        <v>13</v>
      </c>
      <c r="U365" s="3">
        <v>3</v>
      </c>
      <c r="V365" s="3">
        <v>3</v>
      </c>
      <c r="W365" s="4" t="s">
        <v>4732</v>
      </c>
      <c r="X365" s="4" t="s">
        <v>4732</v>
      </c>
      <c r="Y365" s="4" t="s">
        <v>4221</v>
      </c>
      <c r="Z365" s="4" t="s">
        <v>4221</v>
      </c>
      <c r="AA365" s="3">
        <v>64</v>
      </c>
      <c r="AB365" s="3">
        <v>52</v>
      </c>
      <c r="AC365" s="3">
        <v>53</v>
      </c>
      <c r="AD365" s="3">
        <v>1</v>
      </c>
      <c r="AE365" s="9">
        <v>1</v>
      </c>
      <c r="AF365" s="9">
        <v>1</v>
      </c>
      <c r="AG365" s="9">
        <v>1</v>
      </c>
      <c r="AH365" s="3">
        <v>0</v>
      </c>
      <c r="AI365" s="3">
        <v>0</v>
      </c>
      <c r="AJ365" s="3">
        <v>1</v>
      </c>
      <c r="AK365" s="3">
        <v>1</v>
      </c>
      <c r="AL365" s="3">
        <v>0</v>
      </c>
      <c r="AM365" s="3">
        <v>0</v>
      </c>
      <c r="AN365" s="3">
        <v>0</v>
      </c>
      <c r="AO365" s="3">
        <v>0</v>
      </c>
      <c r="AP365" s="3">
        <v>0</v>
      </c>
      <c r="AQ365" s="3">
        <v>0</v>
      </c>
      <c r="AR365" s="2" t="s">
        <v>5</v>
      </c>
      <c r="AS365" s="2" t="s">
        <v>5</v>
      </c>
      <c r="AU365" s="5" t="str">
        <f>HYPERLINK("https://creighton-primo.hosted.exlibrisgroup.com/primo-explore/search?tab=default_tab&amp;search_scope=EVERYTHING&amp;vid=01CRU&amp;lang=en_US&amp;offset=0&amp;query=any,contains,991004986909702656","Catalog Record")</f>
        <v>Catalog Record</v>
      </c>
      <c r="AV365" s="5" t="str">
        <f>HYPERLINK("http://www.worldcat.org/oclc/6458072","WorldCat Record")</f>
        <v>WorldCat Record</v>
      </c>
      <c r="AW365" s="2" t="s">
        <v>4733</v>
      </c>
      <c r="AX365" s="2" t="s">
        <v>4734</v>
      </c>
      <c r="AY365" s="2" t="s">
        <v>4735</v>
      </c>
      <c r="AZ365" s="2" t="s">
        <v>4735</v>
      </c>
      <c r="BA365" s="2" t="s">
        <v>4736</v>
      </c>
      <c r="BB365" s="2" t="s">
        <v>20</v>
      </c>
      <c r="BD365" s="2" t="s">
        <v>4737</v>
      </c>
      <c r="BE365" s="2" t="s">
        <v>4738</v>
      </c>
      <c r="BF365" s="2" t="s">
        <v>4739</v>
      </c>
    </row>
    <row r="366" spans="1:58" ht="39.75" customHeight="1" x14ac:dyDescent="0.25">
      <c r="A366" s="7" t="s">
        <v>5</v>
      </c>
      <c r="B366" s="1" t="s">
        <v>0</v>
      </c>
      <c r="C366" s="1" t="s">
        <v>1</v>
      </c>
      <c r="D366" s="1" t="s">
        <v>4740</v>
      </c>
      <c r="E366" s="1" t="s">
        <v>4741</v>
      </c>
      <c r="F366" s="1" t="s">
        <v>4742</v>
      </c>
      <c r="H366" s="2" t="s">
        <v>5</v>
      </c>
      <c r="I366" s="2" t="s">
        <v>6</v>
      </c>
      <c r="J366" s="2" t="s">
        <v>5</v>
      </c>
      <c r="K366" s="2" t="s">
        <v>5</v>
      </c>
      <c r="L366" s="2" t="s">
        <v>7</v>
      </c>
      <c r="M366" s="1" t="s">
        <v>4743</v>
      </c>
      <c r="N366" s="1" t="s">
        <v>4744</v>
      </c>
      <c r="O366" s="2" t="s">
        <v>468</v>
      </c>
      <c r="Q366" s="2" t="s">
        <v>60</v>
      </c>
      <c r="R366" s="2" t="s">
        <v>61</v>
      </c>
      <c r="S366" s="1" t="s">
        <v>4745</v>
      </c>
      <c r="T366" s="2" t="s">
        <v>13</v>
      </c>
      <c r="U366" s="3">
        <v>11</v>
      </c>
      <c r="V366" s="3">
        <v>11</v>
      </c>
      <c r="W366" s="4" t="s">
        <v>4746</v>
      </c>
      <c r="X366" s="4" t="s">
        <v>4746</v>
      </c>
      <c r="Y366" s="4" t="s">
        <v>4747</v>
      </c>
      <c r="Z366" s="4" t="s">
        <v>4747</v>
      </c>
      <c r="AA366" s="3">
        <v>314</v>
      </c>
      <c r="AB366" s="3">
        <v>296</v>
      </c>
      <c r="AC366" s="3">
        <v>528</v>
      </c>
      <c r="AD366" s="3">
        <v>1</v>
      </c>
      <c r="AE366" s="9">
        <v>3</v>
      </c>
      <c r="AF366" s="9">
        <v>10</v>
      </c>
      <c r="AG366" s="9">
        <v>22</v>
      </c>
      <c r="AH366" s="3">
        <v>3</v>
      </c>
      <c r="AI366" s="3">
        <v>8</v>
      </c>
      <c r="AJ366" s="3">
        <v>2</v>
      </c>
      <c r="AK366" s="3">
        <v>4</v>
      </c>
      <c r="AL366" s="3">
        <v>7</v>
      </c>
      <c r="AM366" s="3">
        <v>14</v>
      </c>
      <c r="AN366" s="3">
        <v>0</v>
      </c>
      <c r="AO366" s="3">
        <v>2</v>
      </c>
      <c r="AP366" s="3">
        <v>0</v>
      </c>
      <c r="AQ366" s="3">
        <v>0</v>
      </c>
      <c r="AR366" s="2" t="s">
        <v>5</v>
      </c>
      <c r="AS366" s="2" t="s">
        <v>46</v>
      </c>
      <c r="AT366" s="5" t="str">
        <f>HYPERLINK("http://catalog.hathitrust.org/Record/001219787","HathiTrust Record")</f>
        <v>HathiTrust Record</v>
      </c>
      <c r="AU366" s="5" t="str">
        <f>HYPERLINK("https://creighton-primo.hosted.exlibrisgroup.com/primo-explore/search?tab=default_tab&amp;search_scope=EVERYTHING&amp;vid=01CRU&amp;lang=en_US&amp;offset=0&amp;query=any,contains,991003664539702656","Catalog Record")</f>
        <v>Catalog Record</v>
      </c>
      <c r="AV366" s="5" t="str">
        <f>HYPERLINK("http://www.worldcat.org/oclc/1277240","WorldCat Record")</f>
        <v>WorldCat Record</v>
      </c>
      <c r="AW366" s="2" t="s">
        <v>4748</v>
      </c>
      <c r="AX366" s="2" t="s">
        <v>4749</v>
      </c>
      <c r="AY366" s="2" t="s">
        <v>4750</v>
      </c>
      <c r="AZ366" s="2" t="s">
        <v>4750</v>
      </c>
      <c r="BA366" s="2" t="s">
        <v>4751</v>
      </c>
      <c r="BB366" s="2" t="s">
        <v>20</v>
      </c>
      <c r="BD366" s="2" t="s">
        <v>4752</v>
      </c>
      <c r="BE366" s="2" t="s">
        <v>4753</v>
      </c>
      <c r="BF366" s="2" t="s">
        <v>4754</v>
      </c>
    </row>
    <row r="367" spans="1:58" ht="39.75" customHeight="1" x14ac:dyDescent="0.25">
      <c r="A367" s="7" t="s">
        <v>5</v>
      </c>
      <c r="B367" s="1" t="s">
        <v>0</v>
      </c>
      <c r="C367" s="1" t="s">
        <v>1</v>
      </c>
      <c r="D367" s="1" t="s">
        <v>4755</v>
      </c>
      <c r="E367" s="1" t="s">
        <v>4756</v>
      </c>
      <c r="F367" s="1" t="s">
        <v>4757</v>
      </c>
      <c r="H367" s="2" t="s">
        <v>5</v>
      </c>
      <c r="I367" s="2" t="s">
        <v>6</v>
      </c>
      <c r="J367" s="2" t="s">
        <v>5</v>
      </c>
      <c r="K367" s="2" t="s">
        <v>5</v>
      </c>
      <c r="L367" s="2" t="s">
        <v>7</v>
      </c>
      <c r="M367" s="1" t="s">
        <v>4758</v>
      </c>
      <c r="N367" s="1" t="s">
        <v>4759</v>
      </c>
      <c r="O367" s="2" t="s">
        <v>2142</v>
      </c>
      <c r="Q367" s="2" t="s">
        <v>4010</v>
      </c>
      <c r="R367" s="2" t="s">
        <v>4011</v>
      </c>
      <c r="T367" s="2" t="s">
        <v>13</v>
      </c>
      <c r="U367" s="3">
        <v>2</v>
      </c>
      <c r="V367" s="3">
        <v>2</v>
      </c>
      <c r="W367" s="4" t="s">
        <v>4760</v>
      </c>
      <c r="X367" s="4" t="s">
        <v>4760</v>
      </c>
      <c r="Y367" s="4" t="s">
        <v>4761</v>
      </c>
      <c r="Z367" s="4" t="s">
        <v>4761</v>
      </c>
      <c r="AA367" s="3">
        <v>14</v>
      </c>
      <c r="AB367" s="3">
        <v>8</v>
      </c>
      <c r="AC367" s="3">
        <v>8</v>
      </c>
      <c r="AD367" s="3">
        <v>1</v>
      </c>
      <c r="AE367" s="9">
        <v>1</v>
      </c>
      <c r="AF367" s="9">
        <v>0</v>
      </c>
      <c r="AG367" s="9">
        <v>0</v>
      </c>
      <c r="AH367" s="3">
        <v>0</v>
      </c>
      <c r="AI367" s="3">
        <v>0</v>
      </c>
      <c r="AJ367" s="3">
        <v>0</v>
      </c>
      <c r="AK367" s="3">
        <v>0</v>
      </c>
      <c r="AL367" s="3">
        <v>0</v>
      </c>
      <c r="AM367" s="3">
        <v>0</v>
      </c>
      <c r="AN367" s="3">
        <v>0</v>
      </c>
      <c r="AO367" s="3">
        <v>0</v>
      </c>
      <c r="AP367" s="3">
        <v>0</v>
      </c>
      <c r="AQ367" s="3">
        <v>0</v>
      </c>
      <c r="AR367" s="2" t="s">
        <v>5</v>
      </c>
      <c r="AS367" s="2" t="s">
        <v>5</v>
      </c>
      <c r="AU367" s="5" t="str">
        <f>HYPERLINK("https://creighton-primo.hosted.exlibrisgroup.com/primo-explore/search?tab=default_tab&amp;search_scope=EVERYTHING&amp;vid=01CRU&amp;lang=en_US&amp;offset=0&amp;query=any,contains,991004507809702656","Catalog Record")</f>
        <v>Catalog Record</v>
      </c>
      <c r="AV367" s="5" t="str">
        <f>HYPERLINK("http://www.worldcat.org/oclc/57713506","WorldCat Record")</f>
        <v>WorldCat Record</v>
      </c>
      <c r="AW367" s="2" t="s">
        <v>4762</v>
      </c>
      <c r="AX367" s="2" t="s">
        <v>4763</v>
      </c>
      <c r="AY367" s="2" t="s">
        <v>4764</v>
      </c>
      <c r="AZ367" s="2" t="s">
        <v>4764</v>
      </c>
      <c r="BA367" s="2" t="s">
        <v>4765</v>
      </c>
      <c r="BB367" s="2" t="s">
        <v>20</v>
      </c>
      <c r="BD367" s="2" t="s">
        <v>4766</v>
      </c>
      <c r="BE367" s="2" t="s">
        <v>4767</v>
      </c>
      <c r="BF367" s="2" t="s">
        <v>4768</v>
      </c>
    </row>
    <row r="368" spans="1:58" ht="39.75" customHeight="1" x14ac:dyDescent="0.25">
      <c r="A368" s="7" t="s">
        <v>5</v>
      </c>
      <c r="B368" s="1" t="s">
        <v>0</v>
      </c>
      <c r="C368" s="1" t="s">
        <v>1</v>
      </c>
      <c r="D368" s="1" t="s">
        <v>4769</v>
      </c>
      <c r="E368" s="1" t="s">
        <v>4770</v>
      </c>
      <c r="F368" s="1" t="s">
        <v>4771</v>
      </c>
      <c r="H368" s="2" t="s">
        <v>5</v>
      </c>
      <c r="I368" s="2" t="s">
        <v>6</v>
      </c>
      <c r="J368" s="2" t="s">
        <v>5</v>
      </c>
      <c r="K368" s="2" t="s">
        <v>5</v>
      </c>
      <c r="L368" s="2" t="s">
        <v>7</v>
      </c>
      <c r="M368" s="1" t="s">
        <v>4772</v>
      </c>
      <c r="N368" s="1" t="s">
        <v>4773</v>
      </c>
      <c r="O368" s="2" t="s">
        <v>1622</v>
      </c>
      <c r="P368" s="1" t="s">
        <v>4774</v>
      </c>
      <c r="Q368" s="2" t="s">
        <v>4010</v>
      </c>
      <c r="R368" s="2" t="s">
        <v>234</v>
      </c>
      <c r="S368" s="1" t="s">
        <v>4775</v>
      </c>
      <c r="T368" s="2" t="s">
        <v>13</v>
      </c>
      <c r="U368" s="3">
        <v>1</v>
      </c>
      <c r="V368" s="3">
        <v>1</v>
      </c>
      <c r="W368" s="4" t="s">
        <v>4776</v>
      </c>
      <c r="X368" s="4" t="s">
        <v>4776</v>
      </c>
      <c r="Y368" s="4" t="s">
        <v>4707</v>
      </c>
      <c r="Z368" s="4" t="s">
        <v>4707</v>
      </c>
      <c r="AA368" s="3">
        <v>108</v>
      </c>
      <c r="AB368" s="3">
        <v>73</v>
      </c>
      <c r="AC368" s="3">
        <v>107</v>
      </c>
      <c r="AD368" s="3">
        <v>1</v>
      </c>
      <c r="AE368" s="9">
        <v>1</v>
      </c>
      <c r="AF368" s="9">
        <v>5</v>
      </c>
      <c r="AG368" s="9">
        <v>5</v>
      </c>
      <c r="AH368" s="3">
        <v>1</v>
      </c>
      <c r="AI368" s="3">
        <v>1</v>
      </c>
      <c r="AJ368" s="3">
        <v>3</v>
      </c>
      <c r="AK368" s="3">
        <v>3</v>
      </c>
      <c r="AL368" s="3">
        <v>3</v>
      </c>
      <c r="AM368" s="3">
        <v>3</v>
      </c>
      <c r="AN368" s="3">
        <v>0</v>
      </c>
      <c r="AO368" s="3">
        <v>0</v>
      </c>
      <c r="AP368" s="3">
        <v>0</v>
      </c>
      <c r="AQ368" s="3">
        <v>0</v>
      </c>
      <c r="AR368" s="2" t="s">
        <v>5</v>
      </c>
      <c r="AS368" s="2" t="s">
        <v>46</v>
      </c>
      <c r="AT368" s="5" t="str">
        <f>HYPERLINK("http://catalog.hathitrust.org/Record/001226968","HathiTrust Record")</f>
        <v>HathiTrust Record</v>
      </c>
      <c r="AU368" s="5" t="str">
        <f>HYPERLINK("https://creighton-primo.hosted.exlibrisgroup.com/primo-explore/search?tab=default_tab&amp;search_scope=EVERYTHING&amp;vid=01CRU&amp;lang=en_US&amp;offset=0&amp;query=any,contains,991003664599702656","Catalog Record")</f>
        <v>Catalog Record</v>
      </c>
      <c r="AV368" s="5" t="str">
        <f>HYPERLINK("http://www.worldcat.org/oclc/1277263","WorldCat Record")</f>
        <v>WorldCat Record</v>
      </c>
      <c r="AW368" s="2" t="s">
        <v>4777</v>
      </c>
      <c r="AX368" s="2" t="s">
        <v>4778</v>
      </c>
      <c r="AY368" s="2" t="s">
        <v>4779</v>
      </c>
      <c r="AZ368" s="2" t="s">
        <v>4779</v>
      </c>
      <c r="BA368" s="2" t="s">
        <v>4780</v>
      </c>
      <c r="BB368" s="2" t="s">
        <v>20</v>
      </c>
      <c r="BE368" s="2" t="s">
        <v>4781</v>
      </c>
      <c r="BF368" s="2" t="s">
        <v>4782</v>
      </c>
    </row>
    <row r="369" spans="1:58" ht="39.75" customHeight="1" x14ac:dyDescent="0.25">
      <c r="A369" s="7" t="s">
        <v>5</v>
      </c>
      <c r="B369" s="1" t="s">
        <v>0</v>
      </c>
      <c r="C369" s="1" t="s">
        <v>1</v>
      </c>
      <c r="D369" s="1" t="s">
        <v>4783</v>
      </c>
      <c r="E369" s="1" t="s">
        <v>4784</v>
      </c>
      <c r="F369" s="1" t="s">
        <v>4785</v>
      </c>
      <c r="H369" s="2" t="s">
        <v>5</v>
      </c>
      <c r="I369" s="2" t="s">
        <v>6</v>
      </c>
      <c r="J369" s="2" t="s">
        <v>5</v>
      </c>
      <c r="K369" s="2" t="s">
        <v>5</v>
      </c>
      <c r="L369" s="2" t="s">
        <v>7</v>
      </c>
      <c r="M369" s="1" t="s">
        <v>4786</v>
      </c>
      <c r="N369" s="1" t="s">
        <v>4787</v>
      </c>
      <c r="O369" s="2" t="s">
        <v>494</v>
      </c>
      <c r="Q369" s="2" t="s">
        <v>60</v>
      </c>
      <c r="R369" s="2" t="s">
        <v>422</v>
      </c>
      <c r="T369" s="2" t="s">
        <v>13</v>
      </c>
      <c r="U369" s="3">
        <v>7</v>
      </c>
      <c r="V369" s="3">
        <v>7</v>
      </c>
      <c r="W369" s="4" t="s">
        <v>4746</v>
      </c>
      <c r="X369" s="4" t="s">
        <v>4746</v>
      </c>
      <c r="Y369" s="4" t="s">
        <v>4221</v>
      </c>
      <c r="Z369" s="4" t="s">
        <v>4221</v>
      </c>
      <c r="AA369" s="3">
        <v>374</v>
      </c>
      <c r="AB369" s="3">
        <v>297</v>
      </c>
      <c r="AC369" s="3">
        <v>310</v>
      </c>
      <c r="AD369" s="3">
        <v>3</v>
      </c>
      <c r="AE369" s="9">
        <v>3</v>
      </c>
      <c r="AF369" s="9">
        <v>10</v>
      </c>
      <c r="AG369" s="9">
        <v>10</v>
      </c>
      <c r="AH369" s="3">
        <v>1</v>
      </c>
      <c r="AI369" s="3">
        <v>1</v>
      </c>
      <c r="AJ369" s="3">
        <v>4</v>
      </c>
      <c r="AK369" s="3">
        <v>4</v>
      </c>
      <c r="AL369" s="3">
        <v>5</v>
      </c>
      <c r="AM369" s="3">
        <v>5</v>
      </c>
      <c r="AN369" s="3">
        <v>2</v>
      </c>
      <c r="AO369" s="3">
        <v>2</v>
      </c>
      <c r="AP369" s="3">
        <v>0</v>
      </c>
      <c r="AQ369" s="3">
        <v>0</v>
      </c>
      <c r="AR369" s="2" t="s">
        <v>5</v>
      </c>
      <c r="AS369" s="2" t="s">
        <v>46</v>
      </c>
      <c r="AT369" s="5" t="str">
        <f>HYPERLINK("http://catalog.hathitrust.org/Record/000252034","HathiTrust Record")</f>
        <v>HathiTrust Record</v>
      </c>
      <c r="AU369" s="5" t="str">
        <f>HYPERLINK("https://creighton-primo.hosted.exlibrisgroup.com/primo-explore/search?tab=default_tab&amp;search_scope=EVERYTHING&amp;vid=01CRU&amp;lang=en_US&amp;offset=0&amp;query=any,contains,991004321659702656","Catalog Record")</f>
        <v>Catalog Record</v>
      </c>
      <c r="AV369" s="5" t="str">
        <f>HYPERLINK("http://www.worldcat.org/oclc/3018383","WorldCat Record")</f>
        <v>WorldCat Record</v>
      </c>
      <c r="AW369" s="2" t="s">
        <v>4788</v>
      </c>
      <c r="AX369" s="2" t="s">
        <v>4789</v>
      </c>
      <c r="AY369" s="2" t="s">
        <v>4790</v>
      </c>
      <c r="AZ369" s="2" t="s">
        <v>4790</v>
      </c>
      <c r="BA369" s="2" t="s">
        <v>4791</v>
      </c>
      <c r="BB369" s="2" t="s">
        <v>20</v>
      </c>
      <c r="BD369" s="2" t="s">
        <v>4792</v>
      </c>
      <c r="BE369" s="2" t="s">
        <v>4793</v>
      </c>
      <c r="BF369" s="2" t="s">
        <v>4794</v>
      </c>
    </row>
    <row r="370" spans="1:58" ht="39.75" customHeight="1" x14ac:dyDescent="0.25">
      <c r="A370" s="7" t="s">
        <v>5</v>
      </c>
      <c r="B370" s="1" t="s">
        <v>0</v>
      </c>
      <c r="C370" s="1" t="s">
        <v>1</v>
      </c>
      <c r="D370" s="1" t="s">
        <v>4795</v>
      </c>
      <c r="E370" s="1" t="s">
        <v>4796</v>
      </c>
      <c r="F370" s="1" t="s">
        <v>4797</v>
      </c>
      <c r="H370" s="2" t="s">
        <v>5</v>
      </c>
      <c r="I370" s="2" t="s">
        <v>6</v>
      </c>
      <c r="J370" s="2" t="s">
        <v>5</v>
      </c>
      <c r="K370" s="2" t="s">
        <v>5</v>
      </c>
      <c r="L370" s="2" t="s">
        <v>7</v>
      </c>
      <c r="M370" s="1" t="s">
        <v>4798</v>
      </c>
      <c r="N370" s="1" t="s">
        <v>4799</v>
      </c>
      <c r="O370" s="2" t="s">
        <v>392</v>
      </c>
      <c r="Q370" s="2" t="s">
        <v>60</v>
      </c>
      <c r="R370" s="2" t="s">
        <v>1123</v>
      </c>
      <c r="T370" s="2" t="s">
        <v>13</v>
      </c>
      <c r="U370" s="3">
        <v>1</v>
      </c>
      <c r="V370" s="3">
        <v>1</v>
      </c>
      <c r="W370" s="4" t="s">
        <v>4800</v>
      </c>
      <c r="X370" s="4" t="s">
        <v>4800</v>
      </c>
      <c r="Y370" s="4" t="s">
        <v>4707</v>
      </c>
      <c r="Z370" s="4" t="s">
        <v>4707</v>
      </c>
      <c r="AA370" s="3">
        <v>103</v>
      </c>
      <c r="AB370" s="3">
        <v>92</v>
      </c>
      <c r="AC370" s="3">
        <v>1033</v>
      </c>
      <c r="AD370" s="3">
        <v>1</v>
      </c>
      <c r="AE370" s="9">
        <v>6</v>
      </c>
      <c r="AF370" s="9">
        <v>3</v>
      </c>
      <c r="AG370" s="9">
        <v>39</v>
      </c>
      <c r="AH370" s="3">
        <v>3</v>
      </c>
      <c r="AI370" s="3">
        <v>16</v>
      </c>
      <c r="AJ370" s="3">
        <v>0</v>
      </c>
      <c r="AK370" s="3">
        <v>8</v>
      </c>
      <c r="AL370" s="3">
        <v>1</v>
      </c>
      <c r="AM370" s="3">
        <v>20</v>
      </c>
      <c r="AN370" s="3">
        <v>0</v>
      </c>
      <c r="AO370" s="3">
        <v>5</v>
      </c>
      <c r="AP370" s="3">
        <v>0</v>
      </c>
      <c r="AQ370" s="3">
        <v>0</v>
      </c>
      <c r="AR370" s="2" t="s">
        <v>5</v>
      </c>
      <c r="AS370" s="2" t="s">
        <v>46</v>
      </c>
      <c r="AT370" s="5" t="str">
        <f>HYPERLINK("http://catalog.hathitrust.org/Record/102047553","HathiTrust Record")</f>
        <v>HathiTrust Record</v>
      </c>
      <c r="AU370" s="5" t="str">
        <f>HYPERLINK("https://creighton-primo.hosted.exlibrisgroup.com/primo-explore/search?tab=default_tab&amp;search_scope=EVERYTHING&amp;vid=01CRU&amp;lang=en_US&amp;offset=0&amp;query=any,contains,991003477829702656","Catalog Record")</f>
        <v>Catalog Record</v>
      </c>
      <c r="AV370" s="5" t="str">
        <f>HYPERLINK("http://www.worldcat.org/oclc/1023395","WorldCat Record")</f>
        <v>WorldCat Record</v>
      </c>
      <c r="AW370" s="2" t="s">
        <v>4801</v>
      </c>
      <c r="AX370" s="2" t="s">
        <v>4802</v>
      </c>
      <c r="AY370" s="2" t="s">
        <v>4803</v>
      </c>
      <c r="AZ370" s="2" t="s">
        <v>4803</v>
      </c>
      <c r="BA370" s="2" t="s">
        <v>4804</v>
      </c>
      <c r="BB370" s="2" t="s">
        <v>20</v>
      </c>
      <c r="BD370" s="2" t="s">
        <v>4805</v>
      </c>
      <c r="BE370" s="2" t="s">
        <v>4806</v>
      </c>
      <c r="BF370" s="2" t="s">
        <v>4807</v>
      </c>
    </row>
    <row r="371" spans="1:58" ht="39.75" customHeight="1" x14ac:dyDescent="0.25">
      <c r="A371" s="7" t="s">
        <v>5</v>
      </c>
      <c r="B371" s="1" t="s">
        <v>0</v>
      </c>
      <c r="C371" s="1" t="s">
        <v>1</v>
      </c>
      <c r="D371" s="1" t="s">
        <v>4808</v>
      </c>
      <c r="E371" s="1" t="s">
        <v>4809</v>
      </c>
      <c r="F371" s="1" t="s">
        <v>4810</v>
      </c>
      <c r="H371" s="2" t="s">
        <v>5</v>
      </c>
      <c r="I371" s="2" t="s">
        <v>6</v>
      </c>
      <c r="J371" s="2" t="s">
        <v>5</v>
      </c>
      <c r="K371" s="2" t="s">
        <v>5</v>
      </c>
      <c r="L371" s="2" t="s">
        <v>7</v>
      </c>
      <c r="M371" s="1" t="s">
        <v>4798</v>
      </c>
      <c r="N371" s="1" t="s">
        <v>4811</v>
      </c>
      <c r="O371" s="2" t="s">
        <v>121</v>
      </c>
      <c r="P371" s="1" t="s">
        <v>4812</v>
      </c>
      <c r="Q371" s="2" t="s">
        <v>60</v>
      </c>
      <c r="R371" s="2" t="s">
        <v>292</v>
      </c>
      <c r="T371" s="2" t="s">
        <v>13</v>
      </c>
      <c r="U371" s="3">
        <v>1</v>
      </c>
      <c r="V371" s="3">
        <v>1</v>
      </c>
      <c r="W371" s="4" t="s">
        <v>4800</v>
      </c>
      <c r="X371" s="4" t="s">
        <v>4800</v>
      </c>
      <c r="Y371" s="4" t="s">
        <v>4221</v>
      </c>
      <c r="Z371" s="4" t="s">
        <v>4221</v>
      </c>
      <c r="AA371" s="3">
        <v>631</v>
      </c>
      <c r="AB371" s="3">
        <v>592</v>
      </c>
      <c r="AC371" s="3">
        <v>628</v>
      </c>
      <c r="AD371" s="3">
        <v>4</v>
      </c>
      <c r="AE371" s="9">
        <v>5</v>
      </c>
      <c r="AF371" s="9">
        <v>29</v>
      </c>
      <c r="AG371" s="9">
        <v>31</v>
      </c>
      <c r="AH371" s="3">
        <v>9</v>
      </c>
      <c r="AI371" s="3">
        <v>10</v>
      </c>
      <c r="AJ371" s="3">
        <v>7</v>
      </c>
      <c r="AK371" s="3">
        <v>8</v>
      </c>
      <c r="AL371" s="3">
        <v>18</v>
      </c>
      <c r="AM371" s="3">
        <v>20</v>
      </c>
      <c r="AN371" s="3">
        <v>2</v>
      </c>
      <c r="AO371" s="3">
        <v>2</v>
      </c>
      <c r="AP371" s="3">
        <v>0</v>
      </c>
      <c r="AQ371" s="3">
        <v>0</v>
      </c>
      <c r="AR371" s="2" t="s">
        <v>5</v>
      </c>
      <c r="AS371" s="2" t="s">
        <v>5</v>
      </c>
      <c r="AU371" s="5" t="str">
        <f>HYPERLINK("https://creighton-primo.hosted.exlibrisgroup.com/primo-explore/search?tab=default_tab&amp;search_scope=EVERYTHING&amp;vid=01CRU&amp;lang=en_US&amp;offset=0&amp;query=any,contains,991004907529702656","Catalog Record")</f>
        <v>Catalog Record</v>
      </c>
      <c r="AV371" s="5" t="str">
        <f>HYPERLINK("http://www.worldcat.org/oclc/23577","WorldCat Record")</f>
        <v>WorldCat Record</v>
      </c>
      <c r="AW371" s="2" t="s">
        <v>4813</v>
      </c>
      <c r="AX371" s="2" t="s">
        <v>4814</v>
      </c>
      <c r="AY371" s="2" t="s">
        <v>4815</v>
      </c>
      <c r="AZ371" s="2" t="s">
        <v>4815</v>
      </c>
      <c r="BA371" s="2" t="s">
        <v>4816</v>
      </c>
      <c r="BB371" s="2" t="s">
        <v>20</v>
      </c>
      <c r="BD371" s="2" t="s">
        <v>4817</v>
      </c>
      <c r="BE371" s="2" t="s">
        <v>4818</v>
      </c>
      <c r="BF371" s="2" t="s">
        <v>4819</v>
      </c>
    </row>
    <row r="372" spans="1:58" ht="39.75" customHeight="1" x14ac:dyDescent="0.25">
      <c r="A372" s="7" t="s">
        <v>5</v>
      </c>
      <c r="B372" s="1" t="s">
        <v>0</v>
      </c>
      <c r="C372" s="1" t="s">
        <v>1</v>
      </c>
      <c r="D372" s="1" t="s">
        <v>4820</v>
      </c>
      <c r="E372" s="1" t="s">
        <v>4821</v>
      </c>
      <c r="F372" s="1" t="s">
        <v>4822</v>
      </c>
      <c r="H372" s="2" t="s">
        <v>5</v>
      </c>
      <c r="I372" s="2" t="s">
        <v>6</v>
      </c>
      <c r="J372" s="2" t="s">
        <v>5</v>
      </c>
      <c r="K372" s="2" t="s">
        <v>5</v>
      </c>
      <c r="L372" s="2" t="s">
        <v>7</v>
      </c>
      <c r="M372" s="1" t="s">
        <v>4823</v>
      </c>
      <c r="N372" s="1" t="s">
        <v>4824</v>
      </c>
      <c r="O372" s="2" t="s">
        <v>4825</v>
      </c>
      <c r="Q372" s="2" t="s">
        <v>4010</v>
      </c>
      <c r="R372" s="2" t="s">
        <v>4011</v>
      </c>
      <c r="S372" s="1" t="s">
        <v>4826</v>
      </c>
      <c r="T372" s="2" t="s">
        <v>13</v>
      </c>
      <c r="U372" s="3">
        <v>4</v>
      </c>
      <c r="V372" s="3">
        <v>4</v>
      </c>
      <c r="W372" s="4" t="s">
        <v>4827</v>
      </c>
      <c r="X372" s="4" t="s">
        <v>4827</v>
      </c>
      <c r="Y372" s="4" t="s">
        <v>4828</v>
      </c>
      <c r="Z372" s="4" t="s">
        <v>4828</v>
      </c>
      <c r="AA372" s="3">
        <v>74</v>
      </c>
      <c r="AB372" s="3">
        <v>50</v>
      </c>
      <c r="AC372" s="3">
        <v>60</v>
      </c>
      <c r="AD372" s="3">
        <v>1</v>
      </c>
      <c r="AE372" s="9">
        <v>1</v>
      </c>
      <c r="AF372" s="9">
        <v>1</v>
      </c>
      <c r="AG372" s="9">
        <v>1</v>
      </c>
      <c r="AH372" s="3">
        <v>0</v>
      </c>
      <c r="AI372" s="3">
        <v>0</v>
      </c>
      <c r="AJ372" s="3">
        <v>0</v>
      </c>
      <c r="AK372" s="3">
        <v>0</v>
      </c>
      <c r="AL372" s="3">
        <v>1</v>
      </c>
      <c r="AM372" s="3">
        <v>1</v>
      </c>
      <c r="AN372" s="3">
        <v>0</v>
      </c>
      <c r="AO372" s="3">
        <v>0</v>
      </c>
      <c r="AP372" s="3">
        <v>0</v>
      </c>
      <c r="AQ372" s="3">
        <v>0</v>
      </c>
      <c r="AR372" s="2" t="s">
        <v>5</v>
      </c>
      <c r="AS372" s="2" t="s">
        <v>46</v>
      </c>
      <c r="AT372" s="5" t="str">
        <f>HYPERLINK("http://catalog.hathitrust.org/Record/004983173","HathiTrust Record")</f>
        <v>HathiTrust Record</v>
      </c>
      <c r="AU372" s="5" t="str">
        <f>HYPERLINK("https://creighton-primo.hosted.exlibrisgroup.com/primo-explore/search?tab=default_tab&amp;search_scope=EVERYTHING&amp;vid=01CRU&amp;lang=en_US&amp;offset=0&amp;query=any,contains,991004560539702656","Catalog Record")</f>
        <v>Catalog Record</v>
      </c>
      <c r="AV372" s="5" t="str">
        <f>HYPERLINK("http://www.worldcat.org/oclc/59753074","WorldCat Record")</f>
        <v>WorldCat Record</v>
      </c>
      <c r="AW372" s="2" t="s">
        <v>4829</v>
      </c>
      <c r="AX372" s="2" t="s">
        <v>4830</v>
      </c>
      <c r="AY372" s="2" t="s">
        <v>4831</v>
      </c>
      <c r="AZ372" s="2" t="s">
        <v>4831</v>
      </c>
      <c r="BA372" s="2" t="s">
        <v>4832</v>
      </c>
      <c r="BB372" s="2" t="s">
        <v>20</v>
      </c>
      <c r="BD372" s="2" t="s">
        <v>4833</v>
      </c>
      <c r="BE372" s="2" t="s">
        <v>4834</v>
      </c>
      <c r="BF372" s="2" t="s">
        <v>4835</v>
      </c>
    </row>
    <row r="373" spans="1:58" ht="39.75" customHeight="1" x14ac:dyDescent="0.25">
      <c r="A373" s="7" t="s">
        <v>5</v>
      </c>
      <c r="B373" s="1" t="s">
        <v>0</v>
      </c>
      <c r="C373" s="1" t="s">
        <v>1</v>
      </c>
      <c r="D373" s="1" t="s">
        <v>4836</v>
      </c>
      <c r="E373" s="1" t="s">
        <v>4837</v>
      </c>
      <c r="F373" s="1" t="s">
        <v>4838</v>
      </c>
      <c r="H373" s="2" t="s">
        <v>5</v>
      </c>
      <c r="I373" s="2" t="s">
        <v>6</v>
      </c>
      <c r="J373" s="2" t="s">
        <v>5</v>
      </c>
      <c r="K373" s="2" t="s">
        <v>5</v>
      </c>
      <c r="L373" s="2" t="s">
        <v>7</v>
      </c>
      <c r="M373" s="1" t="s">
        <v>4839</v>
      </c>
      <c r="N373" s="1" t="s">
        <v>4840</v>
      </c>
      <c r="O373" s="2" t="s">
        <v>3817</v>
      </c>
      <c r="Q373" s="2" t="s">
        <v>4010</v>
      </c>
      <c r="R373" s="2" t="s">
        <v>193</v>
      </c>
      <c r="S373" s="1" t="s">
        <v>4841</v>
      </c>
      <c r="T373" s="2" t="s">
        <v>13</v>
      </c>
      <c r="U373" s="3">
        <v>2</v>
      </c>
      <c r="V373" s="3">
        <v>2</v>
      </c>
      <c r="W373" s="4" t="s">
        <v>4842</v>
      </c>
      <c r="X373" s="4" t="s">
        <v>4842</v>
      </c>
      <c r="Y373" s="4" t="s">
        <v>4843</v>
      </c>
      <c r="Z373" s="4" t="s">
        <v>4843</v>
      </c>
      <c r="AA373" s="3">
        <v>146</v>
      </c>
      <c r="AB373" s="3">
        <v>107</v>
      </c>
      <c r="AC373" s="3">
        <v>164</v>
      </c>
      <c r="AD373" s="3">
        <v>2</v>
      </c>
      <c r="AE373" s="9">
        <v>2</v>
      </c>
      <c r="AF373" s="9">
        <v>10</v>
      </c>
      <c r="AG373" s="9">
        <v>11</v>
      </c>
      <c r="AH373" s="3">
        <v>3</v>
      </c>
      <c r="AI373" s="3">
        <v>3</v>
      </c>
      <c r="AJ373" s="3">
        <v>6</v>
      </c>
      <c r="AK373" s="3">
        <v>6</v>
      </c>
      <c r="AL373" s="3">
        <v>5</v>
      </c>
      <c r="AM373" s="3">
        <v>6</v>
      </c>
      <c r="AN373" s="3">
        <v>1</v>
      </c>
      <c r="AO373" s="3">
        <v>1</v>
      </c>
      <c r="AP373" s="3">
        <v>0</v>
      </c>
      <c r="AQ373" s="3">
        <v>0</v>
      </c>
      <c r="AR373" s="2" t="s">
        <v>5</v>
      </c>
      <c r="AS373" s="2" t="s">
        <v>5</v>
      </c>
      <c r="AU373" s="5" t="str">
        <f>HYPERLINK("https://creighton-primo.hosted.exlibrisgroup.com/primo-explore/search?tab=default_tab&amp;search_scope=EVERYTHING&amp;vid=01CRU&amp;lang=en_US&amp;offset=0&amp;query=any,contains,991002795349702656","Catalog Record")</f>
        <v>Catalog Record</v>
      </c>
      <c r="AV373" s="5" t="str">
        <f>HYPERLINK("http://www.worldcat.org/oclc/36713262","WorldCat Record")</f>
        <v>WorldCat Record</v>
      </c>
      <c r="AW373" s="2" t="s">
        <v>4844</v>
      </c>
      <c r="AX373" s="2" t="s">
        <v>4845</v>
      </c>
      <c r="AY373" s="2" t="s">
        <v>4846</v>
      </c>
      <c r="AZ373" s="2" t="s">
        <v>4846</v>
      </c>
      <c r="BA373" s="2" t="s">
        <v>4847</v>
      </c>
      <c r="BB373" s="2" t="s">
        <v>20</v>
      </c>
      <c r="BD373" s="2" t="s">
        <v>4848</v>
      </c>
      <c r="BE373" s="2" t="s">
        <v>4849</v>
      </c>
      <c r="BF373" s="2" t="s">
        <v>4850</v>
      </c>
    </row>
    <row r="374" spans="1:58" ht="39.75" customHeight="1" x14ac:dyDescent="0.25">
      <c r="A374" s="7" t="s">
        <v>5</v>
      </c>
      <c r="B374" s="1" t="s">
        <v>0</v>
      </c>
      <c r="C374" s="1" t="s">
        <v>1</v>
      </c>
      <c r="D374" s="1" t="s">
        <v>4851</v>
      </c>
      <c r="E374" s="1" t="s">
        <v>4852</v>
      </c>
      <c r="F374" s="1" t="s">
        <v>4853</v>
      </c>
      <c r="H374" s="2" t="s">
        <v>5</v>
      </c>
      <c r="I374" s="2" t="s">
        <v>6</v>
      </c>
      <c r="J374" s="2" t="s">
        <v>5</v>
      </c>
      <c r="K374" s="2" t="s">
        <v>5</v>
      </c>
      <c r="L374" s="2" t="s">
        <v>7</v>
      </c>
      <c r="M374" s="1" t="s">
        <v>4854</v>
      </c>
      <c r="N374" s="1" t="s">
        <v>4855</v>
      </c>
      <c r="O374" s="2" t="s">
        <v>2448</v>
      </c>
      <c r="Q374" s="2" t="s">
        <v>4010</v>
      </c>
      <c r="R374" s="2" t="s">
        <v>4011</v>
      </c>
      <c r="S374" s="1" t="s">
        <v>4856</v>
      </c>
      <c r="T374" s="2" t="s">
        <v>13</v>
      </c>
      <c r="U374" s="3">
        <v>4</v>
      </c>
      <c r="V374" s="3">
        <v>4</v>
      </c>
      <c r="W374" s="4" t="s">
        <v>4827</v>
      </c>
      <c r="X374" s="4" t="s">
        <v>4827</v>
      </c>
      <c r="Y374" s="4" t="s">
        <v>4857</v>
      </c>
      <c r="Z374" s="4" t="s">
        <v>4857</v>
      </c>
      <c r="AA374" s="3">
        <v>7</v>
      </c>
      <c r="AB374" s="3">
        <v>5</v>
      </c>
      <c r="AC374" s="3">
        <v>7</v>
      </c>
      <c r="AD374" s="3">
        <v>1</v>
      </c>
      <c r="AE374" s="9">
        <v>1</v>
      </c>
      <c r="AF374" s="9">
        <v>0</v>
      </c>
      <c r="AG374" s="9">
        <v>0</v>
      </c>
      <c r="AH374" s="3">
        <v>0</v>
      </c>
      <c r="AI374" s="3">
        <v>0</v>
      </c>
      <c r="AJ374" s="3">
        <v>0</v>
      </c>
      <c r="AK374" s="3">
        <v>0</v>
      </c>
      <c r="AL374" s="3">
        <v>0</v>
      </c>
      <c r="AM374" s="3">
        <v>0</v>
      </c>
      <c r="AN374" s="3">
        <v>0</v>
      </c>
      <c r="AO374" s="3">
        <v>0</v>
      </c>
      <c r="AP374" s="3">
        <v>0</v>
      </c>
      <c r="AQ374" s="3">
        <v>0</v>
      </c>
      <c r="AR374" s="2" t="s">
        <v>5</v>
      </c>
      <c r="AS374" s="2" t="s">
        <v>5</v>
      </c>
      <c r="AU374" s="5" t="str">
        <f>HYPERLINK("https://creighton-primo.hosted.exlibrisgroup.com/primo-explore/search?tab=default_tab&amp;search_scope=EVERYTHING&amp;vid=01CRU&amp;lang=en_US&amp;offset=0&amp;query=any,contains,991004507699702656","Catalog Record")</f>
        <v>Catalog Record</v>
      </c>
      <c r="AV374" s="5" t="str">
        <f>HYPERLINK("http://www.worldcat.org/oclc/45435035","WorldCat Record")</f>
        <v>WorldCat Record</v>
      </c>
      <c r="AW374" s="2" t="s">
        <v>4858</v>
      </c>
      <c r="AX374" s="2" t="s">
        <v>4859</v>
      </c>
      <c r="AY374" s="2" t="s">
        <v>4860</v>
      </c>
      <c r="AZ374" s="2" t="s">
        <v>4860</v>
      </c>
      <c r="BA374" s="2" t="s">
        <v>4861</v>
      </c>
      <c r="BB374" s="2" t="s">
        <v>20</v>
      </c>
      <c r="BE374" s="2" t="s">
        <v>4862</v>
      </c>
      <c r="BF374" s="2" t="s">
        <v>4863</v>
      </c>
    </row>
    <row r="375" spans="1:58" ht="39.75" customHeight="1" x14ac:dyDescent="0.25">
      <c r="A375" s="7" t="s">
        <v>5</v>
      </c>
      <c r="B375" s="1" t="s">
        <v>0</v>
      </c>
      <c r="C375" s="1" t="s">
        <v>1</v>
      </c>
      <c r="D375" s="1" t="s">
        <v>4864</v>
      </c>
      <c r="E375" s="1" t="s">
        <v>4865</v>
      </c>
      <c r="F375" s="1" t="s">
        <v>4866</v>
      </c>
      <c r="H375" s="2" t="s">
        <v>5</v>
      </c>
      <c r="I375" s="2" t="s">
        <v>6</v>
      </c>
      <c r="J375" s="2" t="s">
        <v>5</v>
      </c>
      <c r="K375" s="2" t="s">
        <v>5</v>
      </c>
      <c r="L375" s="2" t="s">
        <v>7</v>
      </c>
      <c r="M375" s="1" t="s">
        <v>4867</v>
      </c>
      <c r="N375" s="1" t="s">
        <v>4868</v>
      </c>
      <c r="O375" s="2" t="s">
        <v>3250</v>
      </c>
      <c r="P375" s="1" t="s">
        <v>4869</v>
      </c>
      <c r="Q375" s="2" t="s">
        <v>4010</v>
      </c>
      <c r="R375" s="2" t="s">
        <v>4011</v>
      </c>
      <c r="S375" s="1" t="s">
        <v>4870</v>
      </c>
      <c r="T375" s="2" t="s">
        <v>13</v>
      </c>
      <c r="U375" s="3">
        <v>3</v>
      </c>
      <c r="V375" s="3">
        <v>3</v>
      </c>
      <c r="W375" s="4" t="s">
        <v>4827</v>
      </c>
      <c r="X375" s="4" t="s">
        <v>4827</v>
      </c>
      <c r="Y375" s="4" t="s">
        <v>4871</v>
      </c>
      <c r="Z375" s="4" t="s">
        <v>4871</v>
      </c>
      <c r="AA375" s="3">
        <v>6</v>
      </c>
      <c r="AB375" s="3">
        <v>3</v>
      </c>
      <c r="AC375" s="3">
        <v>105</v>
      </c>
      <c r="AD375" s="3">
        <v>1</v>
      </c>
      <c r="AE375" s="9">
        <v>1</v>
      </c>
      <c r="AF375" s="9">
        <v>0</v>
      </c>
      <c r="AG375" s="9">
        <v>5</v>
      </c>
      <c r="AH375" s="3">
        <v>0</v>
      </c>
      <c r="AI375" s="3">
        <v>2</v>
      </c>
      <c r="AJ375" s="3">
        <v>0</v>
      </c>
      <c r="AK375" s="3">
        <v>3</v>
      </c>
      <c r="AL375" s="3">
        <v>0</v>
      </c>
      <c r="AM375" s="3">
        <v>2</v>
      </c>
      <c r="AN375" s="3">
        <v>0</v>
      </c>
      <c r="AO375" s="3">
        <v>0</v>
      </c>
      <c r="AP375" s="3">
        <v>0</v>
      </c>
      <c r="AQ375" s="3">
        <v>0</v>
      </c>
      <c r="AR375" s="2" t="s">
        <v>5</v>
      </c>
      <c r="AS375" s="2" t="s">
        <v>5</v>
      </c>
      <c r="AU375" s="5" t="str">
        <f>HYPERLINK("https://creighton-primo.hosted.exlibrisgroup.com/primo-explore/search?tab=default_tab&amp;search_scope=EVERYTHING&amp;vid=01CRU&amp;lang=en_US&amp;offset=0&amp;query=any,contains,991004507759702656","Catalog Record")</f>
        <v>Catalog Record</v>
      </c>
      <c r="AV375" s="5" t="str">
        <f>HYPERLINK("http://www.worldcat.org/oclc/52972398","WorldCat Record")</f>
        <v>WorldCat Record</v>
      </c>
      <c r="AW375" s="2" t="s">
        <v>4872</v>
      </c>
      <c r="AX375" s="2" t="s">
        <v>4873</v>
      </c>
      <c r="AY375" s="2" t="s">
        <v>4874</v>
      </c>
      <c r="AZ375" s="2" t="s">
        <v>4874</v>
      </c>
      <c r="BA375" s="2" t="s">
        <v>4875</v>
      </c>
      <c r="BB375" s="2" t="s">
        <v>20</v>
      </c>
      <c r="BD375" s="2" t="s">
        <v>4876</v>
      </c>
      <c r="BE375" s="2" t="s">
        <v>4877</v>
      </c>
      <c r="BF375" s="2" t="s">
        <v>4878</v>
      </c>
    </row>
    <row r="376" spans="1:58" ht="39.75" customHeight="1" x14ac:dyDescent="0.25">
      <c r="A376" s="7" t="s">
        <v>5</v>
      </c>
      <c r="B376" s="1" t="s">
        <v>0</v>
      </c>
      <c r="C376" s="1" t="s">
        <v>1</v>
      </c>
      <c r="D376" s="1" t="s">
        <v>4879</v>
      </c>
      <c r="E376" s="1" t="s">
        <v>4880</v>
      </c>
      <c r="F376" s="1" t="s">
        <v>4881</v>
      </c>
      <c r="H376" s="2" t="s">
        <v>5</v>
      </c>
      <c r="I376" s="2" t="s">
        <v>6</v>
      </c>
      <c r="J376" s="2" t="s">
        <v>5</v>
      </c>
      <c r="K376" s="2" t="s">
        <v>5</v>
      </c>
      <c r="L376" s="2" t="s">
        <v>7</v>
      </c>
      <c r="M376" s="1" t="s">
        <v>4882</v>
      </c>
      <c r="N376" s="1" t="s">
        <v>4883</v>
      </c>
      <c r="O376" s="2" t="s">
        <v>4825</v>
      </c>
      <c r="P376" s="1" t="s">
        <v>1377</v>
      </c>
      <c r="Q376" s="2" t="s">
        <v>60</v>
      </c>
      <c r="R376" s="2" t="s">
        <v>61</v>
      </c>
      <c r="T376" s="2" t="s">
        <v>13</v>
      </c>
      <c r="U376" s="3">
        <v>1</v>
      </c>
      <c r="V376" s="3">
        <v>1</v>
      </c>
      <c r="W376" s="4" t="s">
        <v>4884</v>
      </c>
      <c r="X376" s="4" t="s">
        <v>4884</v>
      </c>
      <c r="Y376" s="4" t="s">
        <v>4884</v>
      </c>
      <c r="Z376" s="4" t="s">
        <v>4884</v>
      </c>
      <c r="AA376" s="3">
        <v>634</v>
      </c>
      <c r="AB376" s="3">
        <v>611</v>
      </c>
      <c r="AC376" s="3">
        <v>749</v>
      </c>
      <c r="AD376" s="3">
        <v>4</v>
      </c>
      <c r="AE376" s="9">
        <v>5</v>
      </c>
      <c r="AF376" s="9">
        <v>13</v>
      </c>
      <c r="AG376" s="9">
        <v>13</v>
      </c>
      <c r="AH376" s="3">
        <v>4</v>
      </c>
      <c r="AI376" s="3">
        <v>4</v>
      </c>
      <c r="AJ376" s="3">
        <v>5</v>
      </c>
      <c r="AK376" s="3">
        <v>5</v>
      </c>
      <c r="AL376" s="3">
        <v>6</v>
      </c>
      <c r="AM376" s="3">
        <v>6</v>
      </c>
      <c r="AN376" s="3">
        <v>1</v>
      </c>
      <c r="AO376" s="3">
        <v>1</v>
      </c>
      <c r="AP376" s="3">
        <v>0</v>
      </c>
      <c r="AQ376" s="3">
        <v>0</v>
      </c>
      <c r="AR376" s="2" t="s">
        <v>5</v>
      </c>
      <c r="AS376" s="2" t="s">
        <v>5</v>
      </c>
      <c r="AU376" s="5" t="str">
        <f>HYPERLINK("https://creighton-primo.hosted.exlibrisgroup.com/primo-explore/search?tab=default_tab&amp;search_scope=EVERYTHING&amp;vid=01CRU&amp;lang=en_US&amp;offset=0&amp;query=any,contains,991004635979702656","Catalog Record")</f>
        <v>Catalog Record</v>
      </c>
      <c r="AV376" s="5" t="str">
        <f>HYPERLINK("http://www.worldcat.org/oclc/57530128","WorldCat Record")</f>
        <v>WorldCat Record</v>
      </c>
      <c r="AW376" s="2" t="s">
        <v>4885</v>
      </c>
      <c r="AX376" s="2" t="s">
        <v>4886</v>
      </c>
      <c r="AY376" s="2" t="s">
        <v>4887</v>
      </c>
      <c r="AZ376" s="2" t="s">
        <v>4887</v>
      </c>
      <c r="BA376" s="2" t="s">
        <v>4888</v>
      </c>
      <c r="BB376" s="2" t="s">
        <v>20</v>
      </c>
      <c r="BD376" s="2" t="s">
        <v>4889</v>
      </c>
      <c r="BE376" s="2" t="s">
        <v>4890</v>
      </c>
      <c r="BF376" s="2" t="s">
        <v>4891</v>
      </c>
    </row>
    <row r="377" spans="1:58" ht="39.75" customHeight="1" x14ac:dyDescent="0.25">
      <c r="A377" s="7" t="s">
        <v>5</v>
      </c>
      <c r="B377" s="1" t="s">
        <v>0</v>
      </c>
      <c r="C377" s="1" t="s">
        <v>1</v>
      </c>
      <c r="D377" s="1" t="s">
        <v>4892</v>
      </c>
      <c r="E377" s="1" t="s">
        <v>4893</v>
      </c>
      <c r="F377" s="1" t="s">
        <v>4894</v>
      </c>
      <c r="H377" s="2" t="s">
        <v>5</v>
      </c>
      <c r="I377" s="2" t="s">
        <v>6</v>
      </c>
      <c r="J377" s="2" t="s">
        <v>5</v>
      </c>
      <c r="K377" s="2" t="s">
        <v>5</v>
      </c>
      <c r="L377" s="2" t="s">
        <v>7</v>
      </c>
      <c r="M377" s="1" t="s">
        <v>4895</v>
      </c>
      <c r="N377" s="1" t="s">
        <v>4896</v>
      </c>
      <c r="O377" s="2" t="s">
        <v>3941</v>
      </c>
      <c r="Q377" s="2" t="s">
        <v>4010</v>
      </c>
      <c r="R377" s="2" t="s">
        <v>4011</v>
      </c>
      <c r="S377" s="1" t="s">
        <v>4897</v>
      </c>
      <c r="T377" s="2" t="s">
        <v>13</v>
      </c>
      <c r="U377" s="3">
        <v>4</v>
      </c>
      <c r="V377" s="3">
        <v>4</v>
      </c>
      <c r="W377" s="4" t="s">
        <v>4675</v>
      </c>
      <c r="X377" s="4" t="s">
        <v>4675</v>
      </c>
      <c r="Y377" s="4" t="s">
        <v>4676</v>
      </c>
      <c r="Z377" s="4" t="s">
        <v>4676</v>
      </c>
      <c r="AA377" s="3">
        <v>7</v>
      </c>
      <c r="AB377" s="3">
        <v>3</v>
      </c>
      <c r="AC377" s="3">
        <v>3</v>
      </c>
      <c r="AD377" s="3">
        <v>1</v>
      </c>
      <c r="AE377" s="9">
        <v>1</v>
      </c>
      <c r="AF377" s="9">
        <v>0</v>
      </c>
      <c r="AG377" s="9">
        <v>0</v>
      </c>
      <c r="AH377" s="3">
        <v>0</v>
      </c>
      <c r="AI377" s="3">
        <v>0</v>
      </c>
      <c r="AJ377" s="3">
        <v>0</v>
      </c>
      <c r="AK377" s="3">
        <v>0</v>
      </c>
      <c r="AL377" s="3">
        <v>0</v>
      </c>
      <c r="AM377" s="3">
        <v>0</v>
      </c>
      <c r="AN377" s="3">
        <v>0</v>
      </c>
      <c r="AO377" s="3">
        <v>0</v>
      </c>
      <c r="AP377" s="3">
        <v>0</v>
      </c>
      <c r="AQ377" s="3">
        <v>0</v>
      </c>
      <c r="AR377" s="2" t="s">
        <v>5</v>
      </c>
      <c r="AS377" s="2" t="s">
        <v>5</v>
      </c>
      <c r="AU377" s="5" t="str">
        <f>HYPERLINK("https://creighton-primo.hosted.exlibrisgroup.com/primo-explore/search?tab=default_tab&amp;search_scope=EVERYTHING&amp;vid=01CRU&amp;lang=en_US&amp;offset=0&amp;query=any,contains,991004276849702656","Catalog Record")</f>
        <v>Catalog Record</v>
      </c>
      <c r="AV377" s="5" t="str">
        <f>HYPERLINK("http://www.worldcat.org/oclc/52442433","WorldCat Record")</f>
        <v>WorldCat Record</v>
      </c>
      <c r="AW377" s="2" t="s">
        <v>4898</v>
      </c>
      <c r="AX377" s="2" t="s">
        <v>4899</v>
      </c>
      <c r="AY377" s="2" t="s">
        <v>4900</v>
      </c>
      <c r="AZ377" s="2" t="s">
        <v>4900</v>
      </c>
      <c r="BA377" s="2" t="s">
        <v>4901</v>
      </c>
      <c r="BB377" s="2" t="s">
        <v>20</v>
      </c>
      <c r="BD377" s="2" t="s">
        <v>4902</v>
      </c>
      <c r="BE377" s="2" t="s">
        <v>4903</v>
      </c>
      <c r="BF377" s="2" t="s">
        <v>4904</v>
      </c>
    </row>
    <row r="378" spans="1:58" ht="39.75" customHeight="1" x14ac:dyDescent="0.25">
      <c r="A378" s="7" t="s">
        <v>5</v>
      </c>
      <c r="B378" s="1" t="s">
        <v>0</v>
      </c>
      <c r="C378" s="1" t="s">
        <v>1</v>
      </c>
      <c r="D378" s="1" t="s">
        <v>4905</v>
      </c>
      <c r="E378" s="1" t="s">
        <v>4906</v>
      </c>
      <c r="F378" s="1" t="s">
        <v>4907</v>
      </c>
      <c r="H378" s="2" t="s">
        <v>5</v>
      </c>
      <c r="I378" s="2" t="s">
        <v>6</v>
      </c>
      <c r="J378" s="2" t="s">
        <v>5</v>
      </c>
      <c r="K378" s="2" t="s">
        <v>5</v>
      </c>
      <c r="L378" s="2" t="s">
        <v>7</v>
      </c>
      <c r="M378" s="1" t="s">
        <v>4908</v>
      </c>
      <c r="N378" s="1" t="s">
        <v>4909</v>
      </c>
      <c r="O378" s="2" t="s">
        <v>3250</v>
      </c>
      <c r="P378" s="1" t="s">
        <v>4910</v>
      </c>
      <c r="Q378" s="2" t="s">
        <v>4010</v>
      </c>
      <c r="R378" s="2" t="s">
        <v>4011</v>
      </c>
      <c r="S378" s="1" t="s">
        <v>4911</v>
      </c>
      <c r="T378" s="2" t="s">
        <v>13</v>
      </c>
      <c r="U378" s="3">
        <v>3</v>
      </c>
      <c r="V378" s="3">
        <v>3</v>
      </c>
      <c r="W378" s="4" t="s">
        <v>4912</v>
      </c>
      <c r="X378" s="4" t="s">
        <v>4912</v>
      </c>
      <c r="Y378" s="4" t="s">
        <v>4913</v>
      </c>
      <c r="Z378" s="4" t="s">
        <v>4913</v>
      </c>
      <c r="AA378" s="3">
        <v>88</v>
      </c>
      <c r="AB378" s="3">
        <v>51</v>
      </c>
      <c r="AC378" s="3">
        <v>53</v>
      </c>
      <c r="AD378" s="3">
        <v>1</v>
      </c>
      <c r="AE378" s="9">
        <v>1</v>
      </c>
      <c r="AF378" s="9">
        <v>3</v>
      </c>
      <c r="AG378" s="9">
        <v>3</v>
      </c>
      <c r="AH378" s="3">
        <v>0</v>
      </c>
      <c r="AI378" s="3">
        <v>0</v>
      </c>
      <c r="AJ378" s="3">
        <v>2</v>
      </c>
      <c r="AK378" s="3">
        <v>2</v>
      </c>
      <c r="AL378" s="3">
        <v>2</v>
      </c>
      <c r="AM378" s="3">
        <v>2</v>
      </c>
      <c r="AN378" s="3">
        <v>0</v>
      </c>
      <c r="AO378" s="3">
        <v>0</v>
      </c>
      <c r="AP378" s="3">
        <v>0</v>
      </c>
      <c r="AQ378" s="3">
        <v>0</v>
      </c>
      <c r="AR378" s="2" t="s">
        <v>5</v>
      </c>
      <c r="AS378" s="2" t="s">
        <v>46</v>
      </c>
      <c r="AT378" s="5" t="str">
        <f>HYPERLINK("http://catalog.hathitrust.org/Record/004334473","HathiTrust Record")</f>
        <v>HathiTrust Record</v>
      </c>
      <c r="AU378" s="5" t="str">
        <f>HYPERLINK("https://creighton-primo.hosted.exlibrisgroup.com/primo-explore/search?tab=default_tab&amp;search_scope=EVERYTHING&amp;vid=01CRU&amp;lang=en_US&amp;offset=0&amp;query=any,contains,991004634549702656","Catalog Record")</f>
        <v>Catalog Record</v>
      </c>
      <c r="AV378" s="5" t="str">
        <f>HYPERLINK("http://www.worldcat.org/oclc/52476903","WorldCat Record")</f>
        <v>WorldCat Record</v>
      </c>
      <c r="AW378" s="2" t="s">
        <v>4914</v>
      </c>
      <c r="AX378" s="2" t="s">
        <v>4915</v>
      </c>
      <c r="AY378" s="2" t="s">
        <v>4916</v>
      </c>
      <c r="AZ378" s="2" t="s">
        <v>4916</v>
      </c>
      <c r="BA378" s="2" t="s">
        <v>4917</v>
      </c>
      <c r="BB378" s="2" t="s">
        <v>20</v>
      </c>
      <c r="BD378" s="2" t="s">
        <v>4918</v>
      </c>
      <c r="BE378" s="2" t="s">
        <v>4919</v>
      </c>
      <c r="BF378" s="2" t="s">
        <v>4920</v>
      </c>
    </row>
    <row r="379" spans="1:58" ht="39.75" customHeight="1" x14ac:dyDescent="0.25">
      <c r="A379" s="7" t="s">
        <v>5</v>
      </c>
      <c r="B379" s="1" t="s">
        <v>0</v>
      </c>
      <c r="C379" s="1" t="s">
        <v>1</v>
      </c>
      <c r="D379" s="1" t="s">
        <v>4921</v>
      </c>
      <c r="E379" s="1" t="s">
        <v>4922</v>
      </c>
      <c r="F379" s="1" t="s">
        <v>4923</v>
      </c>
      <c r="H379" s="2" t="s">
        <v>5</v>
      </c>
      <c r="I379" s="2" t="s">
        <v>6</v>
      </c>
      <c r="J379" s="2" t="s">
        <v>5</v>
      </c>
      <c r="K379" s="2" t="s">
        <v>5</v>
      </c>
      <c r="L379" s="2" t="s">
        <v>7</v>
      </c>
      <c r="M379" s="1" t="s">
        <v>4924</v>
      </c>
      <c r="N379" s="1" t="s">
        <v>4925</v>
      </c>
      <c r="O379" s="2" t="s">
        <v>524</v>
      </c>
      <c r="Q379" s="2" t="s">
        <v>60</v>
      </c>
      <c r="R379" s="2" t="s">
        <v>871</v>
      </c>
      <c r="T379" s="2" t="s">
        <v>13</v>
      </c>
      <c r="U379" s="3">
        <v>0</v>
      </c>
      <c r="V379" s="3">
        <v>0</v>
      </c>
      <c r="W379" s="4" t="s">
        <v>4926</v>
      </c>
      <c r="X379" s="4" t="s">
        <v>4926</v>
      </c>
      <c r="Y379" s="4" t="s">
        <v>4927</v>
      </c>
      <c r="Z379" s="4" t="s">
        <v>4927</v>
      </c>
      <c r="AA379" s="3">
        <v>526</v>
      </c>
      <c r="AB379" s="3">
        <v>446</v>
      </c>
      <c r="AC379" s="3">
        <v>620</v>
      </c>
      <c r="AD379" s="3">
        <v>3</v>
      </c>
      <c r="AE379" s="9">
        <v>3</v>
      </c>
      <c r="AF379" s="9">
        <v>28</v>
      </c>
      <c r="AG379" s="9">
        <v>35</v>
      </c>
      <c r="AH379" s="3">
        <v>10</v>
      </c>
      <c r="AI379" s="3">
        <v>16</v>
      </c>
      <c r="AJ379" s="3">
        <v>6</v>
      </c>
      <c r="AK379" s="3">
        <v>8</v>
      </c>
      <c r="AL379" s="3">
        <v>16</v>
      </c>
      <c r="AM379" s="3">
        <v>18</v>
      </c>
      <c r="AN379" s="3">
        <v>1</v>
      </c>
      <c r="AO379" s="3">
        <v>1</v>
      </c>
      <c r="AP379" s="3">
        <v>0</v>
      </c>
      <c r="AQ379" s="3">
        <v>0</v>
      </c>
      <c r="AR379" s="2" t="s">
        <v>46</v>
      </c>
      <c r="AS379" s="2" t="s">
        <v>5</v>
      </c>
      <c r="AT379" s="5" t="str">
        <f>HYPERLINK("http://catalog.hathitrust.org/Record/001211091","HathiTrust Record")</f>
        <v>HathiTrust Record</v>
      </c>
      <c r="AU379" s="5" t="str">
        <f>HYPERLINK("https://creighton-primo.hosted.exlibrisgroup.com/primo-explore/search?tab=default_tab&amp;search_scope=EVERYTHING&amp;vid=01CRU&amp;lang=en_US&amp;offset=0&amp;query=any,contains,991002404329702656","Catalog Record")</f>
        <v>Catalog Record</v>
      </c>
      <c r="AV379" s="5" t="str">
        <f>HYPERLINK("http://www.worldcat.org/oclc/338420","WorldCat Record")</f>
        <v>WorldCat Record</v>
      </c>
      <c r="AW379" s="2" t="s">
        <v>4928</v>
      </c>
      <c r="AX379" s="2" t="s">
        <v>4929</v>
      </c>
      <c r="AY379" s="2" t="s">
        <v>4930</v>
      </c>
      <c r="AZ379" s="2" t="s">
        <v>4930</v>
      </c>
      <c r="BA379" s="2" t="s">
        <v>4931</v>
      </c>
      <c r="BB379" s="2" t="s">
        <v>20</v>
      </c>
      <c r="BE379" s="2" t="s">
        <v>4932</v>
      </c>
      <c r="BF379" s="2" t="s">
        <v>4933</v>
      </c>
    </row>
    <row r="380" spans="1:58" ht="39.75" customHeight="1" x14ac:dyDescent="0.25">
      <c r="A380" s="7" t="s">
        <v>5</v>
      </c>
      <c r="B380" s="1" t="s">
        <v>0</v>
      </c>
      <c r="C380" s="1" t="s">
        <v>1</v>
      </c>
      <c r="D380" s="1" t="s">
        <v>4934</v>
      </c>
      <c r="E380" s="1" t="s">
        <v>4935</v>
      </c>
      <c r="F380" s="1" t="s">
        <v>4936</v>
      </c>
      <c r="H380" s="2" t="s">
        <v>5</v>
      </c>
      <c r="I380" s="2" t="s">
        <v>6</v>
      </c>
      <c r="J380" s="2" t="s">
        <v>5</v>
      </c>
      <c r="K380" s="2" t="s">
        <v>5</v>
      </c>
      <c r="L380" s="2" t="s">
        <v>7</v>
      </c>
      <c r="N380" s="1" t="s">
        <v>4937</v>
      </c>
      <c r="O380" s="2" t="s">
        <v>2142</v>
      </c>
      <c r="Q380" s="2" t="s">
        <v>60</v>
      </c>
      <c r="R380" s="2" t="s">
        <v>61</v>
      </c>
      <c r="S380" s="1" t="s">
        <v>4938</v>
      </c>
      <c r="T380" s="2" t="s">
        <v>13</v>
      </c>
      <c r="U380" s="3">
        <v>1</v>
      </c>
      <c r="V380" s="3">
        <v>1</v>
      </c>
      <c r="W380" s="4" t="s">
        <v>4939</v>
      </c>
      <c r="X380" s="4" t="s">
        <v>4939</v>
      </c>
      <c r="Y380" s="4" t="s">
        <v>4939</v>
      </c>
      <c r="Z380" s="4" t="s">
        <v>4939</v>
      </c>
      <c r="AA380" s="3">
        <v>245</v>
      </c>
      <c r="AB380" s="3">
        <v>225</v>
      </c>
      <c r="AC380" s="3">
        <v>230</v>
      </c>
      <c r="AD380" s="3">
        <v>5</v>
      </c>
      <c r="AE380" s="9">
        <v>5</v>
      </c>
      <c r="AF380" s="9">
        <v>12</v>
      </c>
      <c r="AG380" s="9">
        <v>12</v>
      </c>
      <c r="AH380" s="3">
        <v>3</v>
      </c>
      <c r="AI380" s="3">
        <v>3</v>
      </c>
      <c r="AJ380" s="3">
        <v>4</v>
      </c>
      <c r="AK380" s="3">
        <v>4</v>
      </c>
      <c r="AL380" s="3">
        <v>4</v>
      </c>
      <c r="AM380" s="3">
        <v>4</v>
      </c>
      <c r="AN380" s="3">
        <v>4</v>
      </c>
      <c r="AO380" s="3">
        <v>4</v>
      </c>
      <c r="AP380" s="3">
        <v>0</v>
      </c>
      <c r="AQ380" s="3">
        <v>0</v>
      </c>
      <c r="AR380" s="2" t="s">
        <v>5</v>
      </c>
      <c r="AS380" s="2" t="s">
        <v>5</v>
      </c>
      <c r="AU380" s="5" t="str">
        <f>HYPERLINK("https://creighton-primo.hosted.exlibrisgroup.com/primo-explore/search?tab=default_tab&amp;search_scope=EVERYTHING&amp;vid=01CRU&amp;lang=en_US&amp;offset=0&amp;query=any,contains,991005043989702656","Catalog Record")</f>
        <v>Catalog Record</v>
      </c>
      <c r="AV380" s="5" t="str">
        <f>HYPERLINK("http://www.worldcat.org/oclc/55730037","WorldCat Record")</f>
        <v>WorldCat Record</v>
      </c>
      <c r="AW380" s="2" t="s">
        <v>4940</v>
      </c>
      <c r="AX380" s="2" t="s">
        <v>4941</v>
      </c>
      <c r="AY380" s="2" t="s">
        <v>4942</v>
      </c>
      <c r="AZ380" s="2" t="s">
        <v>4942</v>
      </c>
      <c r="BA380" s="2" t="s">
        <v>4943</v>
      </c>
      <c r="BB380" s="2" t="s">
        <v>20</v>
      </c>
      <c r="BD380" s="2" t="s">
        <v>4944</v>
      </c>
      <c r="BE380" s="2" t="s">
        <v>4945</v>
      </c>
      <c r="BF380" s="2" t="s">
        <v>4946</v>
      </c>
    </row>
    <row r="381" spans="1:58" ht="39.75" customHeight="1" x14ac:dyDescent="0.25">
      <c r="A381" s="7" t="s">
        <v>5</v>
      </c>
      <c r="B381" s="1" t="s">
        <v>0</v>
      </c>
      <c r="C381" s="1" t="s">
        <v>1</v>
      </c>
      <c r="D381" s="1" t="s">
        <v>4947</v>
      </c>
      <c r="E381" s="1" t="s">
        <v>4948</v>
      </c>
      <c r="F381" s="1" t="s">
        <v>4949</v>
      </c>
      <c r="H381" s="2" t="s">
        <v>5</v>
      </c>
      <c r="I381" s="2" t="s">
        <v>6</v>
      </c>
      <c r="J381" s="2" t="s">
        <v>5</v>
      </c>
      <c r="K381" s="2" t="s">
        <v>5</v>
      </c>
      <c r="L381" s="2" t="s">
        <v>7</v>
      </c>
      <c r="M381" s="1" t="s">
        <v>4950</v>
      </c>
      <c r="N381" s="1" t="s">
        <v>4951</v>
      </c>
      <c r="O381" s="2" t="s">
        <v>121</v>
      </c>
      <c r="Q381" s="2" t="s">
        <v>60</v>
      </c>
      <c r="R381" s="2" t="s">
        <v>193</v>
      </c>
      <c r="T381" s="2" t="s">
        <v>13</v>
      </c>
      <c r="U381" s="3">
        <v>4</v>
      </c>
      <c r="V381" s="3">
        <v>4</v>
      </c>
      <c r="W381" s="4" t="s">
        <v>4952</v>
      </c>
      <c r="X381" s="4" t="s">
        <v>4952</v>
      </c>
      <c r="Y381" s="4" t="s">
        <v>122</v>
      </c>
      <c r="Z381" s="4" t="s">
        <v>122</v>
      </c>
      <c r="AA381" s="3">
        <v>504</v>
      </c>
      <c r="AB381" s="3">
        <v>368</v>
      </c>
      <c r="AC381" s="3">
        <v>370</v>
      </c>
      <c r="AD381" s="3">
        <v>2</v>
      </c>
      <c r="AE381" s="9">
        <v>2</v>
      </c>
      <c r="AF381" s="9">
        <v>20</v>
      </c>
      <c r="AG381" s="9">
        <v>20</v>
      </c>
      <c r="AH381" s="3">
        <v>7</v>
      </c>
      <c r="AI381" s="3">
        <v>7</v>
      </c>
      <c r="AJ381" s="3">
        <v>6</v>
      </c>
      <c r="AK381" s="3">
        <v>6</v>
      </c>
      <c r="AL381" s="3">
        <v>12</v>
      </c>
      <c r="AM381" s="3">
        <v>12</v>
      </c>
      <c r="AN381" s="3">
        <v>1</v>
      </c>
      <c r="AO381" s="3">
        <v>1</v>
      </c>
      <c r="AP381" s="3">
        <v>0</v>
      </c>
      <c r="AQ381" s="3">
        <v>0</v>
      </c>
      <c r="AR381" s="2" t="s">
        <v>5</v>
      </c>
      <c r="AS381" s="2" t="s">
        <v>46</v>
      </c>
      <c r="AT381" s="5" t="str">
        <f>HYPERLINK("http://catalog.hathitrust.org/Record/001356328","HathiTrust Record")</f>
        <v>HathiTrust Record</v>
      </c>
      <c r="AU381" s="5" t="str">
        <f>HYPERLINK("https://creighton-primo.hosted.exlibrisgroup.com/primo-explore/search?tab=default_tab&amp;search_scope=EVERYTHING&amp;vid=01CRU&amp;lang=en_US&amp;offset=0&amp;query=any,contains,991000103039702656","Catalog Record")</f>
        <v>Catalog Record</v>
      </c>
      <c r="AV381" s="5" t="str">
        <f>HYPERLINK("http://www.worldcat.org/oclc/45278","WorldCat Record")</f>
        <v>WorldCat Record</v>
      </c>
      <c r="AW381" s="2" t="s">
        <v>4953</v>
      </c>
      <c r="AX381" s="2" t="s">
        <v>4954</v>
      </c>
      <c r="AY381" s="2" t="s">
        <v>4955</v>
      </c>
      <c r="AZ381" s="2" t="s">
        <v>4955</v>
      </c>
      <c r="BA381" s="2" t="s">
        <v>4956</v>
      </c>
      <c r="BB381" s="2" t="s">
        <v>20</v>
      </c>
      <c r="BD381" s="2" t="s">
        <v>4957</v>
      </c>
      <c r="BE381" s="2" t="s">
        <v>4958</v>
      </c>
      <c r="BF381" s="2" t="s">
        <v>4959</v>
      </c>
    </row>
    <row r="382" spans="1:58" ht="39.75" customHeight="1" x14ac:dyDescent="0.25">
      <c r="A382" s="7" t="s">
        <v>5</v>
      </c>
      <c r="B382" s="1" t="s">
        <v>0</v>
      </c>
      <c r="C382" s="1" t="s">
        <v>1</v>
      </c>
      <c r="D382" s="1" t="s">
        <v>4960</v>
      </c>
      <c r="E382" s="1" t="s">
        <v>4961</v>
      </c>
      <c r="F382" s="1" t="s">
        <v>4962</v>
      </c>
      <c r="H382" s="2" t="s">
        <v>5</v>
      </c>
      <c r="I382" s="2" t="s">
        <v>6</v>
      </c>
      <c r="J382" s="2" t="s">
        <v>5</v>
      </c>
      <c r="K382" s="2" t="s">
        <v>5</v>
      </c>
      <c r="L382" s="2" t="s">
        <v>7</v>
      </c>
      <c r="M382" s="1" t="s">
        <v>4963</v>
      </c>
      <c r="N382" s="1" t="s">
        <v>4964</v>
      </c>
      <c r="O382" s="2" t="s">
        <v>4298</v>
      </c>
      <c r="Q382" s="2" t="s">
        <v>60</v>
      </c>
      <c r="R382" s="2" t="s">
        <v>277</v>
      </c>
      <c r="S382" s="1" t="s">
        <v>4965</v>
      </c>
      <c r="T382" s="2" t="s">
        <v>13</v>
      </c>
      <c r="U382" s="3">
        <v>1</v>
      </c>
      <c r="V382" s="3">
        <v>1</v>
      </c>
      <c r="W382" s="4" t="s">
        <v>4966</v>
      </c>
      <c r="X382" s="4" t="s">
        <v>4966</v>
      </c>
      <c r="Y382" s="4" t="s">
        <v>4967</v>
      </c>
      <c r="Z382" s="4" t="s">
        <v>4967</v>
      </c>
      <c r="AA382" s="3">
        <v>306</v>
      </c>
      <c r="AB382" s="3">
        <v>284</v>
      </c>
      <c r="AC382" s="3">
        <v>346</v>
      </c>
      <c r="AD382" s="3">
        <v>5</v>
      </c>
      <c r="AE382" s="9">
        <v>5</v>
      </c>
      <c r="AF382" s="9">
        <v>11</v>
      </c>
      <c r="AG382" s="9">
        <v>13</v>
      </c>
      <c r="AH382" s="3">
        <v>3</v>
      </c>
      <c r="AI382" s="3">
        <v>5</v>
      </c>
      <c r="AJ382" s="3">
        <v>1</v>
      </c>
      <c r="AK382" s="3">
        <v>1</v>
      </c>
      <c r="AL382" s="3">
        <v>5</v>
      </c>
      <c r="AM382" s="3">
        <v>6</v>
      </c>
      <c r="AN382" s="3">
        <v>4</v>
      </c>
      <c r="AO382" s="3">
        <v>4</v>
      </c>
      <c r="AP382" s="3">
        <v>0</v>
      </c>
      <c r="AQ382" s="3">
        <v>0</v>
      </c>
      <c r="AR382" s="2" t="s">
        <v>46</v>
      </c>
      <c r="AS382" s="2" t="s">
        <v>5</v>
      </c>
      <c r="AT382" s="5" t="str">
        <f>HYPERLINK("http://catalog.hathitrust.org/Record/001358589","HathiTrust Record")</f>
        <v>HathiTrust Record</v>
      </c>
      <c r="AU382" s="5" t="str">
        <f>HYPERLINK("https://creighton-primo.hosted.exlibrisgroup.com/primo-explore/search?tab=default_tab&amp;search_scope=EVERYTHING&amp;vid=01CRU&amp;lang=en_US&amp;offset=0&amp;query=any,contains,991003776519702656","Catalog Record")</f>
        <v>Catalog Record</v>
      </c>
      <c r="AV382" s="5" t="str">
        <f>HYPERLINK("http://www.worldcat.org/oclc/1484641","WorldCat Record")</f>
        <v>WorldCat Record</v>
      </c>
      <c r="AW382" s="2" t="s">
        <v>4968</v>
      </c>
      <c r="AX382" s="2" t="s">
        <v>4969</v>
      </c>
      <c r="AY382" s="2" t="s">
        <v>4970</v>
      </c>
      <c r="AZ382" s="2" t="s">
        <v>4970</v>
      </c>
      <c r="BA382" s="2" t="s">
        <v>4971</v>
      </c>
      <c r="BB382" s="2" t="s">
        <v>20</v>
      </c>
      <c r="BE382" s="2" t="s">
        <v>4972</v>
      </c>
      <c r="BF382" s="2" t="s">
        <v>4973</v>
      </c>
    </row>
    <row r="383" spans="1:58" ht="39.75" customHeight="1" x14ac:dyDescent="0.25">
      <c r="A383" s="7" t="s">
        <v>5</v>
      </c>
      <c r="B383" s="1" t="s">
        <v>0</v>
      </c>
      <c r="C383" s="1" t="s">
        <v>1</v>
      </c>
      <c r="D383" s="1" t="s">
        <v>4974</v>
      </c>
      <c r="E383" s="1" t="s">
        <v>4975</v>
      </c>
      <c r="F383" s="1" t="s">
        <v>4976</v>
      </c>
      <c r="H383" s="2" t="s">
        <v>5</v>
      </c>
      <c r="I383" s="2" t="s">
        <v>6</v>
      </c>
      <c r="J383" s="2" t="s">
        <v>5</v>
      </c>
      <c r="K383" s="2" t="s">
        <v>5</v>
      </c>
      <c r="L383" s="2" t="s">
        <v>7</v>
      </c>
      <c r="M383" s="1" t="s">
        <v>4977</v>
      </c>
      <c r="N383" s="1" t="s">
        <v>4978</v>
      </c>
      <c r="O383" s="2" t="s">
        <v>736</v>
      </c>
      <c r="P383" s="1" t="s">
        <v>4979</v>
      </c>
      <c r="Q383" s="2" t="s">
        <v>60</v>
      </c>
      <c r="R383" s="2" t="s">
        <v>193</v>
      </c>
      <c r="T383" s="2" t="s">
        <v>13</v>
      </c>
      <c r="U383" s="3">
        <v>5</v>
      </c>
      <c r="V383" s="3">
        <v>5</v>
      </c>
      <c r="W383" s="4" t="s">
        <v>4980</v>
      </c>
      <c r="X383" s="4" t="s">
        <v>4980</v>
      </c>
      <c r="Y383" s="4" t="s">
        <v>4981</v>
      </c>
      <c r="Z383" s="4" t="s">
        <v>4981</v>
      </c>
      <c r="AA383" s="3">
        <v>470</v>
      </c>
      <c r="AB383" s="3">
        <v>314</v>
      </c>
      <c r="AC383" s="3">
        <v>315</v>
      </c>
      <c r="AD383" s="3">
        <v>3</v>
      </c>
      <c r="AE383" s="9">
        <v>3</v>
      </c>
      <c r="AF383" s="9">
        <v>17</v>
      </c>
      <c r="AG383" s="9">
        <v>17</v>
      </c>
      <c r="AH383" s="3">
        <v>4</v>
      </c>
      <c r="AI383" s="3">
        <v>4</v>
      </c>
      <c r="AJ383" s="3">
        <v>6</v>
      </c>
      <c r="AK383" s="3">
        <v>6</v>
      </c>
      <c r="AL383" s="3">
        <v>9</v>
      </c>
      <c r="AM383" s="3">
        <v>9</v>
      </c>
      <c r="AN383" s="3">
        <v>2</v>
      </c>
      <c r="AO383" s="3">
        <v>2</v>
      </c>
      <c r="AP383" s="3">
        <v>0</v>
      </c>
      <c r="AQ383" s="3">
        <v>0</v>
      </c>
      <c r="AR383" s="2" t="s">
        <v>5</v>
      </c>
      <c r="AS383" s="2" t="s">
        <v>5</v>
      </c>
      <c r="AU383" s="5" t="str">
        <f>HYPERLINK("https://creighton-primo.hosted.exlibrisgroup.com/primo-explore/search?tab=default_tab&amp;search_scope=EVERYTHING&amp;vid=01CRU&amp;lang=en_US&amp;offset=0&amp;query=any,contains,991001915899702656","Catalog Record")</f>
        <v>Catalog Record</v>
      </c>
      <c r="AV383" s="5" t="str">
        <f>HYPERLINK("http://www.worldcat.org/oclc/24175628","WorldCat Record")</f>
        <v>WorldCat Record</v>
      </c>
      <c r="AW383" s="2" t="s">
        <v>4982</v>
      </c>
      <c r="AX383" s="2" t="s">
        <v>4983</v>
      </c>
      <c r="AY383" s="2" t="s">
        <v>4984</v>
      </c>
      <c r="AZ383" s="2" t="s">
        <v>4984</v>
      </c>
      <c r="BA383" s="2" t="s">
        <v>4985</v>
      </c>
      <c r="BB383" s="2" t="s">
        <v>20</v>
      </c>
      <c r="BD383" s="2" t="s">
        <v>4986</v>
      </c>
      <c r="BE383" s="2" t="s">
        <v>4987</v>
      </c>
      <c r="BF383" s="2" t="s">
        <v>4988</v>
      </c>
    </row>
    <row r="384" spans="1:58" ht="39.75" customHeight="1" x14ac:dyDescent="0.25">
      <c r="A384" s="7" t="s">
        <v>5</v>
      </c>
      <c r="B384" s="1" t="s">
        <v>0</v>
      </c>
      <c r="C384" s="1" t="s">
        <v>1</v>
      </c>
      <c r="D384" s="1" t="s">
        <v>4989</v>
      </c>
      <c r="E384" s="1" t="s">
        <v>4990</v>
      </c>
      <c r="F384" s="1" t="s">
        <v>4991</v>
      </c>
      <c r="H384" s="2" t="s">
        <v>5</v>
      </c>
      <c r="I384" s="2" t="s">
        <v>6</v>
      </c>
      <c r="J384" s="2" t="s">
        <v>5</v>
      </c>
      <c r="K384" s="2" t="s">
        <v>5</v>
      </c>
      <c r="L384" s="2" t="s">
        <v>7</v>
      </c>
      <c r="M384" s="1" t="s">
        <v>4992</v>
      </c>
      <c r="N384" s="1" t="s">
        <v>4993</v>
      </c>
      <c r="O384" s="2" t="s">
        <v>708</v>
      </c>
      <c r="Q384" s="2" t="s">
        <v>11</v>
      </c>
      <c r="R384" s="2" t="s">
        <v>28</v>
      </c>
      <c r="S384" s="1" t="s">
        <v>4994</v>
      </c>
      <c r="T384" s="2" t="s">
        <v>13</v>
      </c>
      <c r="U384" s="3">
        <v>2</v>
      </c>
      <c r="V384" s="3">
        <v>2</v>
      </c>
      <c r="W384" s="4" t="s">
        <v>4980</v>
      </c>
      <c r="X384" s="4" t="s">
        <v>4980</v>
      </c>
      <c r="Y384" s="4" t="s">
        <v>180</v>
      </c>
      <c r="Z384" s="4" t="s">
        <v>180</v>
      </c>
      <c r="AA384" s="3">
        <v>182</v>
      </c>
      <c r="AB384" s="3">
        <v>96</v>
      </c>
      <c r="AC384" s="3">
        <v>104</v>
      </c>
      <c r="AD384" s="3">
        <v>2</v>
      </c>
      <c r="AE384" s="9">
        <v>2</v>
      </c>
      <c r="AF384" s="9">
        <v>6</v>
      </c>
      <c r="AG384" s="9">
        <v>7</v>
      </c>
      <c r="AH384" s="3">
        <v>4</v>
      </c>
      <c r="AI384" s="3">
        <v>4</v>
      </c>
      <c r="AJ384" s="3">
        <v>1</v>
      </c>
      <c r="AK384" s="3">
        <v>1</v>
      </c>
      <c r="AL384" s="3">
        <v>2</v>
      </c>
      <c r="AM384" s="3">
        <v>3</v>
      </c>
      <c r="AN384" s="3">
        <v>1</v>
      </c>
      <c r="AO384" s="3">
        <v>1</v>
      </c>
      <c r="AP384" s="3">
        <v>0</v>
      </c>
      <c r="AQ384" s="3">
        <v>0</v>
      </c>
      <c r="AR384" s="2" t="s">
        <v>5</v>
      </c>
      <c r="AS384" s="2" t="s">
        <v>5</v>
      </c>
      <c r="AU384" s="5" t="str">
        <f>HYPERLINK("https://creighton-primo.hosted.exlibrisgroup.com/primo-explore/search?tab=default_tab&amp;search_scope=EVERYTHING&amp;vid=01CRU&amp;lang=en_US&amp;offset=0&amp;query=any,contains,991001238289702656","Catalog Record")</f>
        <v>Catalog Record</v>
      </c>
      <c r="AV384" s="5" t="str">
        <f>HYPERLINK("http://www.worldcat.org/oclc/17571116","WorldCat Record")</f>
        <v>WorldCat Record</v>
      </c>
      <c r="AW384" s="2" t="s">
        <v>4995</v>
      </c>
      <c r="AX384" s="2" t="s">
        <v>4996</v>
      </c>
      <c r="AY384" s="2" t="s">
        <v>4997</v>
      </c>
      <c r="AZ384" s="2" t="s">
        <v>4997</v>
      </c>
      <c r="BA384" s="2" t="s">
        <v>4998</v>
      </c>
      <c r="BB384" s="2" t="s">
        <v>20</v>
      </c>
      <c r="BD384" s="2" t="s">
        <v>4999</v>
      </c>
      <c r="BE384" s="2" t="s">
        <v>5000</v>
      </c>
      <c r="BF384" s="2" t="s">
        <v>5001</v>
      </c>
    </row>
    <row r="385" spans="1:58" ht="39.75" customHeight="1" x14ac:dyDescent="0.25">
      <c r="A385" s="7" t="s">
        <v>5</v>
      </c>
      <c r="B385" s="1" t="s">
        <v>0</v>
      </c>
      <c r="C385" s="1" t="s">
        <v>1</v>
      </c>
      <c r="D385" s="1" t="s">
        <v>5002</v>
      </c>
      <c r="E385" s="1" t="s">
        <v>5003</v>
      </c>
      <c r="F385" s="1" t="s">
        <v>5004</v>
      </c>
      <c r="H385" s="2" t="s">
        <v>5</v>
      </c>
      <c r="I385" s="2" t="s">
        <v>6</v>
      </c>
      <c r="J385" s="2" t="s">
        <v>5</v>
      </c>
      <c r="K385" s="2" t="s">
        <v>5</v>
      </c>
      <c r="L385" s="2" t="s">
        <v>7</v>
      </c>
      <c r="M385" s="1" t="s">
        <v>1953</v>
      </c>
      <c r="N385" s="1" t="s">
        <v>5005</v>
      </c>
      <c r="O385" s="2" t="s">
        <v>162</v>
      </c>
      <c r="Q385" s="2" t="s">
        <v>60</v>
      </c>
      <c r="R385" s="2" t="s">
        <v>61</v>
      </c>
      <c r="T385" s="2" t="s">
        <v>13</v>
      </c>
      <c r="U385" s="3">
        <v>3</v>
      </c>
      <c r="V385" s="3">
        <v>3</v>
      </c>
      <c r="W385" s="4" t="s">
        <v>5006</v>
      </c>
      <c r="X385" s="4" t="s">
        <v>5006</v>
      </c>
      <c r="Y385" s="4" t="s">
        <v>4967</v>
      </c>
      <c r="Z385" s="4" t="s">
        <v>4967</v>
      </c>
      <c r="AA385" s="3">
        <v>326</v>
      </c>
      <c r="AB385" s="3">
        <v>294</v>
      </c>
      <c r="AC385" s="3">
        <v>658</v>
      </c>
      <c r="AD385" s="3">
        <v>3</v>
      </c>
      <c r="AE385" s="9">
        <v>3</v>
      </c>
      <c r="AF385" s="9">
        <v>17</v>
      </c>
      <c r="AG385" s="9">
        <v>30</v>
      </c>
      <c r="AH385" s="3">
        <v>6</v>
      </c>
      <c r="AI385" s="3">
        <v>9</v>
      </c>
      <c r="AJ385" s="3">
        <v>4</v>
      </c>
      <c r="AK385" s="3">
        <v>8</v>
      </c>
      <c r="AL385" s="3">
        <v>8</v>
      </c>
      <c r="AM385" s="3">
        <v>16</v>
      </c>
      <c r="AN385" s="3">
        <v>2</v>
      </c>
      <c r="AO385" s="3">
        <v>2</v>
      </c>
      <c r="AP385" s="3">
        <v>0</v>
      </c>
      <c r="AQ385" s="3">
        <v>0</v>
      </c>
      <c r="AR385" s="2" t="s">
        <v>5</v>
      </c>
      <c r="AS385" s="2" t="s">
        <v>5</v>
      </c>
      <c r="AU385" s="5" t="str">
        <f>HYPERLINK("https://creighton-primo.hosted.exlibrisgroup.com/primo-explore/search?tab=default_tab&amp;search_scope=EVERYTHING&amp;vid=01CRU&amp;lang=en_US&amp;offset=0&amp;query=any,contains,991000656599702656","Catalog Record")</f>
        <v>Catalog Record</v>
      </c>
      <c r="AV385" s="5" t="str">
        <f>HYPERLINK("http://www.worldcat.org/oclc/115660","WorldCat Record")</f>
        <v>WorldCat Record</v>
      </c>
      <c r="AW385" s="2" t="s">
        <v>5007</v>
      </c>
      <c r="AX385" s="2" t="s">
        <v>5008</v>
      </c>
      <c r="AY385" s="2" t="s">
        <v>5009</v>
      </c>
      <c r="AZ385" s="2" t="s">
        <v>5009</v>
      </c>
      <c r="BA385" s="2" t="s">
        <v>5010</v>
      </c>
      <c r="BB385" s="2" t="s">
        <v>20</v>
      </c>
      <c r="BD385" s="2" t="s">
        <v>5011</v>
      </c>
      <c r="BE385" s="2" t="s">
        <v>5012</v>
      </c>
      <c r="BF385" s="2" t="s">
        <v>5013</v>
      </c>
    </row>
    <row r="386" spans="1:58" ht="39.75" customHeight="1" x14ac:dyDescent="0.25">
      <c r="A386" s="7" t="s">
        <v>5</v>
      </c>
      <c r="B386" s="1" t="s">
        <v>0</v>
      </c>
      <c r="C386" s="1" t="s">
        <v>1</v>
      </c>
      <c r="D386" s="1" t="s">
        <v>5014</v>
      </c>
      <c r="E386" s="1" t="s">
        <v>5015</v>
      </c>
      <c r="F386" s="1" t="s">
        <v>5016</v>
      </c>
      <c r="H386" s="2" t="s">
        <v>5</v>
      </c>
      <c r="I386" s="2" t="s">
        <v>6</v>
      </c>
      <c r="J386" s="2" t="s">
        <v>5</v>
      </c>
      <c r="K386" s="2" t="s">
        <v>5</v>
      </c>
      <c r="L386" s="2" t="s">
        <v>7</v>
      </c>
      <c r="M386" s="1" t="s">
        <v>5017</v>
      </c>
      <c r="N386" s="1" t="s">
        <v>5018</v>
      </c>
      <c r="O386" s="2" t="s">
        <v>995</v>
      </c>
      <c r="Q386" s="2" t="s">
        <v>60</v>
      </c>
      <c r="R386" s="2" t="s">
        <v>323</v>
      </c>
      <c r="T386" s="2" t="s">
        <v>13</v>
      </c>
      <c r="U386" s="3">
        <v>3</v>
      </c>
      <c r="V386" s="3">
        <v>3</v>
      </c>
      <c r="W386" s="4" t="s">
        <v>5019</v>
      </c>
      <c r="X386" s="4" t="s">
        <v>5019</v>
      </c>
      <c r="Y386" s="4" t="s">
        <v>180</v>
      </c>
      <c r="Z386" s="4" t="s">
        <v>180</v>
      </c>
      <c r="AA386" s="3">
        <v>436</v>
      </c>
      <c r="AB386" s="3">
        <v>348</v>
      </c>
      <c r="AC386" s="3">
        <v>363</v>
      </c>
      <c r="AD386" s="3">
        <v>3</v>
      </c>
      <c r="AE386" s="9">
        <v>3</v>
      </c>
      <c r="AF386" s="9">
        <v>17</v>
      </c>
      <c r="AG386" s="9">
        <v>18</v>
      </c>
      <c r="AH386" s="3">
        <v>6</v>
      </c>
      <c r="AI386" s="3">
        <v>7</v>
      </c>
      <c r="AJ386" s="3">
        <v>3</v>
      </c>
      <c r="AK386" s="3">
        <v>3</v>
      </c>
      <c r="AL386" s="3">
        <v>11</v>
      </c>
      <c r="AM386" s="3">
        <v>12</v>
      </c>
      <c r="AN386" s="3">
        <v>2</v>
      </c>
      <c r="AO386" s="3">
        <v>2</v>
      </c>
      <c r="AP386" s="3">
        <v>0</v>
      </c>
      <c r="AQ386" s="3">
        <v>0</v>
      </c>
      <c r="AR386" s="2" t="s">
        <v>5</v>
      </c>
      <c r="AS386" s="2" t="s">
        <v>46</v>
      </c>
      <c r="AT386" s="5" t="str">
        <f>HYPERLINK("http://catalog.hathitrust.org/Record/000225644","HathiTrust Record")</f>
        <v>HathiTrust Record</v>
      </c>
      <c r="AU386" s="5" t="str">
        <f>HYPERLINK("https://creighton-primo.hosted.exlibrisgroup.com/primo-explore/search?tab=default_tab&amp;search_scope=EVERYTHING&amp;vid=01CRU&amp;lang=en_US&amp;offset=0&amp;query=any,contains,991005084619702656","Catalog Record")</f>
        <v>Catalog Record</v>
      </c>
      <c r="AV386" s="5" t="str">
        <f>HYPERLINK("http://www.worldcat.org/oclc/7179534","WorldCat Record")</f>
        <v>WorldCat Record</v>
      </c>
      <c r="AW386" s="2" t="s">
        <v>5020</v>
      </c>
      <c r="AX386" s="2" t="s">
        <v>5021</v>
      </c>
      <c r="AY386" s="2" t="s">
        <v>5022</v>
      </c>
      <c r="AZ386" s="2" t="s">
        <v>5022</v>
      </c>
      <c r="BA386" s="2" t="s">
        <v>5023</v>
      </c>
      <c r="BB386" s="2" t="s">
        <v>20</v>
      </c>
      <c r="BD386" s="2" t="s">
        <v>5024</v>
      </c>
      <c r="BE386" s="2" t="s">
        <v>5025</v>
      </c>
      <c r="BF386" s="2" t="s">
        <v>5026</v>
      </c>
    </row>
    <row r="387" spans="1:58" ht="39.75" customHeight="1" x14ac:dyDescent="0.25">
      <c r="A387" s="7" t="s">
        <v>5</v>
      </c>
      <c r="B387" s="1" t="s">
        <v>0</v>
      </c>
      <c r="C387" s="1" t="s">
        <v>1</v>
      </c>
      <c r="D387" s="1" t="s">
        <v>5027</v>
      </c>
      <c r="E387" s="1" t="s">
        <v>5028</v>
      </c>
      <c r="F387" s="1" t="s">
        <v>5029</v>
      </c>
      <c r="H387" s="2" t="s">
        <v>5</v>
      </c>
      <c r="I387" s="2" t="s">
        <v>6</v>
      </c>
      <c r="J387" s="2" t="s">
        <v>5</v>
      </c>
      <c r="K387" s="2" t="s">
        <v>5</v>
      </c>
      <c r="L387" s="2" t="s">
        <v>7</v>
      </c>
      <c r="N387" s="1" t="s">
        <v>5030</v>
      </c>
      <c r="O387" s="2" t="s">
        <v>995</v>
      </c>
      <c r="P387" s="1" t="s">
        <v>2170</v>
      </c>
      <c r="Q387" s="2" t="s">
        <v>1151</v>
      </c>
      <c r="R387" s="2" t="s">
        <v>1066</v>
      </c>
      <c r="S387" s="1" t="s">
        <v>5031</v>
      </c>
      <c r="T387" s="2" t="s">
        <v>13</v>
      </c>
      <c r="U387" s="3">
        <v>1</v>
      </c>
      <c r="V387" s="3">
        <v>1</v>
      </c>
      <c r="W387" s="4" t="s">
        <v>5032</v>
      </c>
      <c r="X387" s="4" t="s">
        <v>5032</v>
      </c>
      <c r="Y387" s="4" t="s">
        <v>5032</v>
      </c>
      <c r="Z387" s="4" t="s">
        <v>5032</v>
      </c>
      <c r="AA387" s="3">
        <v>73</v>
      </c>
      <c r="AB387" s="3">
        <v>57</v>
      </c>
      <c r="AC387" s="3">
        <v>64</v>
      </c>
      <c r="AD387" s="3">
        <v>1</v>
      </c>
      <c r="AE387" s="9">
        <v>1</v>
      </c>
      <c r="AF387" s="9">
        <v>1</v>
      </c>
      <c r="AG387" s="9">
        <v>1</v>
      </c>
      <c r="AH387" s="3">
        <v>0</v>
      </c>
      <c r="AI387" s="3">
        <v>0</v>
      </c>
      <c r="AJ387" s="3">
        <v>1</v>
      </c>
      <c r="AK387" s="3">
        <v>1</v>
      </c>
      <c r="AL387" s="3">
        <v>0</v>
      </c>
      <c r="AM387" s="3">
        <v>0</v>
      </c>
      <c r="AN387" s="3">
        <v>0</v>
      </c>
      <c r="AO387" s="3">
        <v>0</v>
      </c>
      <c r="AP387" s="3">
        <v>0</v>
      </c>
      <c r="AQ387" s="3">
        <v>0</v>
      </c>
      <c r="AR387" s="2" t="s">
        <v>5</v>
      </c>
      <c r="AS387" s="2" t="s">
        <v>46</v>
      </c>
      <c r="AT387" s="5" t="str">
        <f>HYPERLINK("http://catalog.hathitrust.org/Record/101094290","HathiTrust Record")</f>
        <v>HathiTrust Record</v>
      </c>
      <c r="AU387" s="5" t="str">
        <f>HYPERLINK("https://creighton-primo.hosted.exlibrisgroup.com/primo-explore/search?tab=default_tab&amp;search_scope=EVERYTHING&amp;vid=01CRU&amp;lang=en_US&amp;offset=0&amp;query=any,contains,991004490329702656","Catalog Record")</f>
        <v>Catalog Record</v>
      </c>
      <c r="AV387" s="5" t="str">
        <f>HYPERLINK("http://www.worldcat.org/oclc/13234234","WorldCat Record")</f>
        <v>WorldCat Record</v>
      </c>
      <c r="AW387" s="2" t="s">
        <v>5033</v>
      </c>
      <c r="AX387" s="2" t="s">
        <v>5034</v>
      </c>
      <c r="AY387" s="2" t="s">
        <v>5035</v>
      </c>
      <c r="AZ387" s="2" t="s">
        <v>5035</v>
      </c>
      <c r="BA387" s="2" t="s">
        <v>5036</v>
      </c>
      <c r="BB387" s="2" t="s">
        <v>20</v>
      </c>
      <c r="BD387" s="2" t="s">
        <v>5037</v>
      </c>
      <c r="BE387" s="2" t="s">
        <v>5038</v>
      </c>
      <c r="BF387" s="2" t="s">
        <v>5039</v>
      </c>
    </row>
    <row r="388" spans="1:58" ht="39.75" customHeight="1" x14ac:dyDescent="0.25">
      <c r="A388" s="7" t="s">
        <v>5</v>
      </c>
      <c r="B388" s="1" t="s">
        <v>0</v>
      </c>
      <c r="C388" s="1" t="s">
        <v>1</v>
      </c>
      <c r="D388" s="1" t="s">
        <v>5040</v>
      </c>
      <c r="E388" s="1" t="s">
        <v>5041</v>
      </c>
      <c r="F388" s="1" t="s">
        <v>5042</v>
      </c>
      <c r="H388" s="2" t="s">
        <v>5</v>
      </c>
      <c r="I388" s="2" t="s">
        <v>6</v>
      </c>
      <c r="J388" s="2" t="s">
        <v>5</v>
      </c>
      <c r="K388" s="2" t="s">
        <v>5</v>
      </c>
      <c r="L388" s="2" t="s">
        <v>7</v>
      </c>
      <c r="M388" s="1" t="s">
        <v>5043</v>
      </c>
      <c r="N388" s="1" t="s">
        <v>5044</v>
      </c>
      <c r="O388" s="2" t="s">
        <v>108</v>
      </c>
      <c r="Q388" s="2" t="s">
        <v>1151</v>
      </c>
      <c r="R388" s="2" t="s">
        <v>1152</v>
      </c>
      <c r="S388" s="1" t="s">
        <v>5045</v>
      </c>
      <c r="T388" s="2" t="s">
        <v>13</v>
      </c>
      <c r="U388" s="3">
        <v>1</v>
      </c>
      <c r="V388" s="3">
        <v>1</v>
      </c>
      <c r="W388" s="4" t="s">
        <v>5032</v>
      </c>
      <c r="X388" s="4" t="s">
        <v>5032</v>
      </c>
      <c r="Y388" s="4" t="s">
        <v>5032</v>
      </c>
      <c r="Z388" s="4" t="s">
        <v>5032</v>
      </c>
      <c r="AA388" s="3">
        <v>223</v>
      </c>
      <c r="AB388" s="3">
        <v>168</v>
      </c>
      <c r="AC388" s="3">
        <v>170</v>
      </c>
      <c r="AD388" s="3">
        <v>2</v>
      </c>
      <c r="AE388" s="9">
        <v>2</v>
      </c>
      <c r="AF388" s="9">
        <v>8</v>
      </c>
      <c r="AG388" s="9">
        <v>8</v>
      </c>
      <c r="AH388" s="3">
        <v>2</v>
      </c>
      <c r="AI388" s="3">
        <v>2</v>
      </c>
      <c r="AJ388" s="3">
        <v>3</v>
      </c>
      <c r="AK388" s="3">
        <v>3</v>
      </c>
      <c r="AL388" s="3">
        <v>5</v>
      </c>
      <c r="AM388" s="3">
        <v>5</v>
      </c>
      <c r="AN388" s="3">
        <v>1</v>
      </c>
      <c r="AO388" s="3">
        <v>1</v>
      </c>
      <c r="AP388" s="3">
        <v>0</v>
      </c>
      <c r="AQ388" s="3">
        <v>0</v>
      </c>
      <c r="AR388" s="2" t="s">
        <v>5</v>
      </c>
      <c r="AS388" s="2" t="s">
        <v>46</v>
      </c>
      <c r="AT388" s="5" t="str">
        <f>HYPERLINK("http://catalog.hathitrust.org/Record/001048495","HathiTrust Record")</f>
        <v>HathiTrust Record</v>
      </c>
      <c r="AU388" s="5" t="str">
        <f>HYPERLINK("https://creighton-primo.hosted.exlibrisgroup.com/primo-explore/search?tab=default_tab&amp;search_scope=EVERYTHING&amp;vid=01CRU&amp;lang=en_US&amp;offset=0&amp;query=any,contains,991004490439702656","Catalog Record")</f>
        <v>Catalog Record</v>
      </c>
      <c r="AV388" s="5" t="str">
        <f>HYPERLINK("http://www.worldcat.org/oclc/536334","WorldCat Record")</f>
        <v>WorldCat Record</v>
      </c>
      <c r="AW388" s="2" t="s">
        <v>5046</v>
      </c>
      <c r="AX388" s="2" t="s">
        <v>5047</v>
      </c>
      <c r="AY388" s="2" t="s">
        <v>5048</v>
      </c>
      <c r="AZ388" s="2" t="s">
        <v>5048</v>
      </c>
      <c r="BA388" s="2" t="s">
        <v>5049</v>
      </c>
      <c r="BB388" s="2" t="s">
        <v>20</v>
      </c>
      <c r="BE388" s="2" t="s">
        <v>5050</v>
      </c>
      <c r="BF388" s="2" t="s">
        <v>5051</v>
      </c>
    </row>
    <row r="389" spans="1:58" ht="39.75" customHeight="1" x14ac:dyDescent="0.25">
      <c r="A389" s="7" t="s">
        <v>5</v>
      </c>
      <c r="B389" s="1" t="s">
        <v>0</v>
      </c>
      <c r="C389" s="1" t="s">
        <v>1</v>
      </c>
      <c r="D389" s="1" t="s">
        <v>5052</v>
      </c>
      <c r="E389" s="1" t="s">
        <v>5053</v>
      </c>
      <c r="F389" s="1" t="s">
        <v>5054</v>
      </c>
      <c r="H389" s="2" t="s">
        <v>5</v>
      </c>
      <c r="I389" s="2" t="s">
        <v>6</v>
      </c>
      <c r="J389" s="2" t="s">
        <v>5</v>
      </c>
      <c r="K389" s="2" t="s">
        <v>5</v>
      </c>
      <c r="L389" s="2" t="s">
        <v>7</v>
      </c>
      <c r="N389" s="1" t="s">
        <v>5055</v>
      </c>
      <c r="O389" s="2" t="s">
        <v>2610</v>
      </c>
      <c r="Q389" s="2" t="s">
        <v>60</v>
      </c>
      <c r="R389" s="2" t="s">
        <v>5056</v>
      </c>
      <c r="T389" s="2" t="s">
        <v>13</v>
      </c>
      <c r="U389" s="3">
        <v>1</v>
      </c>
      <c r="V389" s="3">
        <v>1</v>
      </c>
      <c r="W389" s="4" t="s">
        <v>5057</v>
      </c>
      <c r="X389" s="4" t="s">
        <v>5057</v>
      </c>
      <c r="Y389" s="4" t="s">
        <v>5057</v>
      </c>
      <c r="Z389" s="4" t="s">
        <v>5057</v>
      </c>
      <c r="AA389" s="3">
        <v>208</v>
      </c>
      <c r="AB389" s="3">
        <v>175</v>
      </c>
      <c r="AC389" s="3">
        <v>182</v>
      </c>
      <c r="AD389" s="3">
        <v>4</v>
      </c>
      <c r="AE389" s="9">
        <v>4</v>
      </c>
      <c r="AF389" s="9">
        <v>13</v>
      </c>
      <c r="AG389" s="9">
        <v>13</v>
      </c>
      <c r="AH389" s="3">
        <v>2</v>
      </c>
      <c r="AI389" s="3">
        <v>2</v>
      </c>
      <c r="AJ389" s="3">
        <v>4</v>
      </c>
      <c r="AK389" s="3">
        <v>4</v>
      </c>
      <c r="AL389" s="3">
        <v>6</v>
      </c>
      <c r="AM389" s="3">
        <v>6</v>
      </c>
      <c r="AN389" s="3">
        <v>3</v>
      </c>
      <c r="AO389" s="3">
        <v>3</v>
      </c>
      <c r="AP389" s="3">
        <v>0</v>
      </c>
      <c r="AQ389" s="3">
        <v>0</v>
      </c>
      <c r="AR389" s="2" t="s">
        <v>5</v>
      </c>
      <c r="AS389" s="2" t="s">
        <v>46</v>
      </c>
      <c r="AT389" s="5" t="str">
        <f>HYPERLINK("http://catalog.hathitrust.org/Record/003084178","HathiTrust Record")</f>
        <v>HathiTrust Record</v>
      </c>
      <c r="AU389" s="5" t="str">
        <f>HYPERLINK("https://creighton-primo.hosted.exlibrisgroup.com/primo-explore/search?tab=default_tab&amp;search_scope=EVERYTHING&amp;vid=01CRU&amp;lang=en_US&amp;offset=0&amp;query=any,contains,991004027709702656","Catalog Record")</f>
        <v>Catalog Record</v>
      </c>
      <c r="AV389" s="5" t="str">
        <f>HYPERLINK("http://www.worldcat.org/oclc/20507543","WorldCat Record")</f>
        <v>WorldCat Record</v>
      </c>
      <c r="AW389" s="2" t="s">
        <v>5058</v>
      </c>
      <c r="AX389" s="2" t="s">
        <v>5059</v>
      </c>
      <c r="AY389" s="2" t="s">
        <v>5060</v>
      </c>
      <c r="AZ389" s="2" t="s">
        <v>5060</v>
      </c>
      <c r="BA389" s="2" t="s">
        <v>5061</v>
      </c>
      <c r="BB389" s="2" t="s">
        <v>20</v>
      </c>
      <c r="BD389" s="2" t="s">
        <v>5062</v>
      </c>
      <c r="BE389" s="2" t="s">
        <v>5063</v>
      </c>
      <c r="BF389" s="2" t="s">
        <v>5064</v>
      </c>
    </row>
    <row r="390" spans="1:58" ht="39.75" customHeight="1" x14ac:dyDescent="0.25">
      <c r="A390" s="7" t="s">
        <v>5</v>
      </c>
      <c r="B390" s="1" t="s">
        <v>0</v>
      </c>
      <c r="C390" s="1" t="s">
        <v>1</v>
      </c>
      <c r="D390" s="1" t="s">
        <v>5065</v>
      </c>
      <c r="E390" s="1" t="s">
        <v>5066</v>
      </c>
      <c r="F390" s="1" t="s">
        <v>5067</v>
      </c>
      <c r="H390" s="2" t="s">
        <v>5</v>
      </c>
      <c r="I390" s="2" t="s">
        <v>6</v>
      </c>
      <c r="J390" s="2" t="s">
        <v>5</v>
      </c>
      <c r="K390" s="2" t="s">
        <v>46</v>
      </c>
      <c r="L390" s="2" t="s">
        <v>7</v>
      </c>
      <c r="M390" s="1" t="s">
        <v>5068</v>
      </c>
      <c r="N390" s="1" t="s">
        <v>5069</v>
      </c>
      <c r="O390" s="2" t="s">
        <v>791</v>
      </c>
      <c r="P390" s="1" t="s">
        <v>5070</v>
      </c>
      <c r="Q390" s="2" t="s">
        <v>1151</v>
      </c>
      <c r="R390" s="2" t="s">
        <v>1152</v>
      </c>
      <c r="T390" s="2" t="s">
        <v>13</v>
      </c>
      <c r="U390" s="3">
        <v>1</v>
      </c>
      <c r="V390" s="3">
        <v>1</v>
      </c>
      <c r="W390" s="4" t="s">
        <v>235</v>
      </c>
      <c r="X390" s="4" t="s">
        <v>235</v>
      </c>
      <c r="Y390" s="4" t="s">
        <v>5071</v>
      </c>
      <c r="Z390" s="4" t="s">
        <v>5071</v>
      </c>
      <c r="AA390" s="3">
        <v>53</v>
      </c>
      <c r="AB390" s="3">
        <v>46</v>
      </c>
      <c r="AC390" s="3">
        <v>572</v>
      </c>
      <c r="AD390" s="3">
        <v>1</v>
      </c>
      <c r="AE390" s="9">
        <v>3</v>
      </c>
      <c r="AF390" s="9">
        <v>2</v>
      </c>
      <c r="AG390" s="9">
        <v>31</v>
      </c>
      <c r="AH390" s="3">
        <v>0</v>
      </c>
      <c r="AI390" s="3">
        <v>16</v>
      </c>
      <c r="AJ390" s="3">
        <v>1</v>
      </c>
      <c r="AK390" s="3">
        <v>6</v>
      </c>
      <c r="AL390" s="3">
        <v>2</v>
      </c>
      <c r="AM390" s="3">
        <v>18</v>
      </c>
      <c r="AN390" s="3">
        <v>0</v>
      </c>
      <c r="AO390" s="3">
        <v>2</v>
      </c>
      <c r="AP390" s="3">
        <v>0</v>
      </c>
      <c r="AQ390" s="3">
        <v>0</v>
      </c>
      <c r="AR390" s="2" t="s">
        <v>5</v>
      </c>
      <c r="AS390" s="2" t="s">
        <v>5</v>
      </c>
      <c r="AU390" s="5" t="str">
        <f>HYPERLINK("https://creighton-primo.hosted.exlibrisgroup.com/primo-explore/search?tab=default_tab&amp;search_scope=EVERYTHING&amp;vid=01CRU&amp;lang=en_US&amp;offset=0&amp;query=any,contains,991004335849702656","Catalog Record")</f>
        <v>Catalog Record</v>
      </c>
      <c r="AV390" s="5" t="str">
        <f>HYPERLINK("http://www.worldcat.org/oclc/2013485","WorldCat Record")</f>
        <v>WorldCat Record</v>
      </c>
      <c r="AW390" s="2" t="s">
        <v>5072</v>
      </c>
      <c r="AX390" s="2" t="s">
        <v>5073</v>
      </c>
      <c r="AY390" s="2" t="s">
        <v>5074</v>
      </c>
      <c r="AZ390" s="2" t="s">
        <v>5074</v>
      </c>
      <c r="BA390" s="2" t="s">
        <v>5075</v>
      </c>
      <c r="BB390" s="2" t="s">
        <v>20</v>
      </c>
      <c r="BD390" s="2" t="s">
        <v>5076</v>
      </c>
      <c r="BE390" s="2" t="s">
        <v>5077</v>
      </c>
      <c r="BF390" s="2" t="s">
        <v>5078</v>
      </c>
    </row>
    <row r="391" spans="1:58" ht="39.75" customHeight="1" x14ac:dyDescent="0.25">
      <c r="A391" s="7" t="s">
        <v>5</v>
      </c>
      <c r="B391" s="1" t="s">
        <v>0</v>
      </c>
      <c r="C391" s="1" t="s">
        <v>1</v>
      </c>
      <c r="D391" s="1" t="s">
        <v>5079</v>
      </c>
      <c r="E391" s="1" t="s">
        <v>5080</v>
      </c>
      <c r="F391" s="1" t="s">
        <v>5081</v>
      </c>
      <c r="H391" s="2" t="s">
        <v>5</v>
      </c>
      <c r="I391" s="2" t="s">
        <v>6</v>
      </c>
      <c r="J391" s="2" t="s">
        <v>5</v>
      </c>
      <c r="K391" s="2" t="s">
        <v>5</v>
      </c>
      <c r="L391" s="2" t="s">
        <v>7</v>
      </c>
      <c r="M391" s="1" t="s">
        <v>5082</v>
      </c>
      <c r="N391" s="1" t="s">
        <v>5083</v>
      </c>
      <c r="O391" s="2" t="s">
        <v>886</v>
      </c>
      <c r="P391" s="1" t="s">
        <v>5084</v>
      </c>
      <c r="Q391" s="2" t="s">
        <v>1151</v>
      </c>
      <c r="R391" s="2" t="s">
        <v>1152</v>
      </c>
      <c r="S391" s="1" t="s">
        <v>5085</v>
      </c>
      <c r="T391" s="2" t="s">
        <v>13</v>
      </c>
      <c r="U391" s="3">
        <v>1</v>
      </c>
      <c r="V391" s="3">
        <v>1</v>
      </c>
      <c r="W391" s="4" t="s">
        <v>5086</v>
      </c>
      <c r="X391" s="4" t="s">
        <v>5086</v>
      </c>
      <c r="Y391" s="4" t="s">
        <v>5086</v>
      </c>
      <c r="Z391" s="4" t="s">
        <v>5086</v>
      </c>
      <c r="AA391" s="3">
        <v>65</v>
      </c>
      <c r="AB391" s="3">
        <v>36</v>
      </c>
      <c r="AC391" s="3">
        <v>39</v>
      </c>
      <c r="AD391" s="3">
        <v>1</v>
      </c>
      <c r="AE391" s="9">
        <v>1</v>
      </c>
      <c r="AF391" s="9">
        <v>1</v>
      </c>
      <c r="AG391" s="9">
        <v>1</v>
      </c>
      <c r="AH391" s="3">
        <v>0</v>
      </c>
      <c r="AI391" s="3">
        <v>0</v>
      </c>
      <c r="AJ391" s="3">
        <v>1</v>
      </c>
      <c r="AK391" s="3">
        <v>1</v>
      </c>
      <c r="AL391" s="3">
        <v>1</v>
      </c>
      <c r="AM391" s="3">
        <v>1</v>
      </c>
      <c r="AN391" s="3">
        <v>0</v>
      </c>
      <c r="AO391" s="3">
        <v>0</v>
      </c>
      <c r="AP391" s="3">
        <v>0</v>
      </c>
      <c r="AQ391" s="3">
        <v>0</v>
      </c>
      <c r="AR391" s="2" t="s">
        <v>5</v>
      </c>
      <c r="AS391" s="2" t="s">
        <v>46</v>
      </c>
      <c r="AT391" s="5" t="str">
        <f>HYPERLINK("http://catalog.hathitrust.org/Record/009104406","HathiTrust Record")</f>
        <v>HathiTrust Record</v>
      </c>
      <c r="AU391" s="5" t="str">
        <f>HYPERLINK("https://creighton-primo.hosted.exlibrisgroup.com/primo-explore/search?tab=default_tab&amp;search_scope=EVERYTHING&amp;vid=01CRU&amp;lang=en_US&amp;offset=0&amp;query=any,contains,991004523559702656","Catalog Record")</f>
        <v>Catalog Record</v>
      </c>
      <c r="AV391" s="5" t="str">
        <f>HYPERLINK("http://www.worldcat.org/oclc/2009251","WorldCat Record")</f>
        <v>WorldCat Record</v>
      </c>
      <c r="AW391" s="2" t="s">
        <v>5087</v>
      </c>
      <c r="AX391" s="2" t="s">
        <v>5088</v>
      </c>
      <c r="AY391" s="2" t="s">
        <v>5089</v>
      </c>
      <c r="AZ391" s="2" t="s">
        <v>5089</v>
      </c>
      <c r="BA391" s="2" t="s">
        <v>5090</v>
      </c>
      <c r="BB391" s="2" t="s">
        <v>20</v>
      </c>
      <c r="BD391" s="2" t="s">
        <v>5091</v>
      </c>
      <c r="BE391" s="2" t="s">
        <v>5092</v>
      </c>
      <c r="BF391" s="2" t="s">
        <v>5093</v>
      </c>
    </row>
    <row r="392" spans="1:58" ht="39.75" customHeight="1" x14ac:dyDescent="0.25">
      <c r="A392" s="7" t="s">
        <v>5</v>
      </c>
      <c r="B392" s="1" t="s">
        <v>0</v>
      </c>
      <c r="C392" s="1" t="s">
        <v>1</v>
      </c>
      <c r="D392" s="1" t="s">
        <v>5094</v>
      </c>
      <c r="E392" s="1" t="s">
        <v>5095</v>
      </c>
      <c r="F392" s="1" t="s">
        <v>5096</v>
      </c>
      <c r="H392" s="2" t="s">
        <v>5</v>
      </c>
      <c r="I392" s="2" t="s">
        <v>6</v>
      </c>
      <c r="J392" s="2" t="s">
        <v>5</v>
      </c>
      <c r="K392" s="2" t="s">
        <v>5</v>
      </c>
      <c r="L392" s="2" t="s">
        <v>7</v>
      </c>
      <c r="M392" s="1" t="s">
        <v>5097</v>
      </c>
      <c r="N392" s="1" t="s">
        <v>5098</v>
      </c>
      <c r="O392" s="2" t="s">
        <v>307</v>
      </c>
      <c r="Q392" s="2" t="s">
        <v>1151</v>
      </c>
      <c r="R392" s="2" t="s">
        <v>1152</v>
      </c>
      <c r="S392" s="1" t="s">
        <v>5099</v>
      </c>
      <c r="T392" s="2" t="s">
        <v>13</v>
      </c>
      <c r="U392" s="3">
        <v>1</v>
      </c>
      <c r="V392" s="3">
        <v>1</v>
      </c>
      <c r="W392" s="4" t="s">
        <v>5100</v>
      </c>
      <c r="X392" s="4" t="s">
        <v>5100</v>
      </c>
      <c r="Y392" s="4" t="s">
        <v>4707</v>
      </c>
      <c r="Z392" s="4" t="s">
        <v>4707</v>
      </c>
      <c r="AA392" s="3">
        <v>200</v>
      </c>
      <c r="AB392" s="3">
        <v>161</v>
      </c>
      <c r="AC392" s="3">
        <v>351</v>
      </c>
      <c r="AD392" s="3">
        <v>2</v>
      </c>
      <c r="AE392" s="9">
        <v>3</v>
      </c>
      <c r="AF392" s="9">
        <v>10</v>
      </c>
      <c r="AG392" s="9">
        <v>24</v>
      </c>
      <c r="AH392" s="3">
        <v>2</v>
      </c>
      <c r="AI392" s="3">
        <v>7</v>
      </c>
      <c r="AJ392" s="3">
        <v>3</v>
      </c>
      <c r="AK392" s="3">
        <v>7</v>
      </c>
      <c r="AL392" s="3">
        <v>6</v>
      </c>
      <c r="AM392" s="3">
        <v>14</v>
      </c>
      <c r="AN392" s="3">
        <v>1</v>
      </c>
      <c r="AO392" s="3">
        <v>2</v>
      </c>
      <c r="AP392" s="3">
        <v>0</v>
      </c>
      <c r="AQ392" s="3">
        <v>0</v>
      </c>
      <c r="AR392" s="2" t="s">
        <v>5</v>
      </c>
      <c r="AS392" s="2" t="s">
        <v>46</v>
      </c>
      <c r="AT392" s="5" t="str">
        <f>HYPERLINK("http://catalog.hathitrust.org/Record/001048682","HathiTrust Record")</f>
        <v>HathiTrust Record</v>
      </c>
      <c r="AU392" s="5" t="str">
        <f>HYPERLINK("https://creighton-primo.hosted.exlibrisgroup.com/primo-explore/search?tab=default_tab&amp;search_scope=EVERYTHING&amp;vid=01CRU&amp;lang=en_US&amp;offset=0&amp;query=any,contains,991003873479702656","Catalog Record")</f>
        <v>Catalog Record</v>
      </c>
      <c r="AV392" s="5" t="str">
        <f>HYPERLINK("http://www.worldcat.org/oclc/1698921","WorldCat Record")</f>
        <v>WorldCat Record</v>
      </c>
      <c r="AW392" s="2" t="s">
        <v>5101</v>
      </c>
      <c r="AX392" s="2" t="s">
        <v>5102</v>
      </c>
      <c r="AY392" s="2" t="s">
        <v>5103</v>
      </c>
      <c r="AZ392" s="2" t="s">
        <v>5103</v>
      </c>
      <c r="BA392" s="2" t="s">
        <v>5104</v>
      </c>
      <c r="BB392" s="2" t="s">
        <v>20</v>
      </c>
      <c r="BE392" s="2" t="s">
        <v>5105</v>
      </c>
      <c r="BF392" s="2" t="s">
        <v>5106</v>
      </c>
    </row>
    <row r="393" spans="1:58" ht="39.75" customHeight="1" x14ac:dyDescent="0.25">
      <c r="A393" s="7" t="s">
        <v>5</v>
      </c>
      <c r="B393" s="1" t="s">
        <v>0</v>
      </c>
      <c r="C393" s="1" t="s">
        <v>1</v>
      </c>
      <c r="D393" s="1" t="s">
        <v>5107</v>
      </c>
      <c r="E393" s="1" t="s">
        <v>5108</v>
      </c>
      <c r="F393" s="1" t="s">
        <v>5109</v>
      </c>
      <c r="G393" s="2" t="s">
        <v>5110</v>
      </c>
      <c r="H393" s="2" t="s">
        <v>46</v>
      </c>
      <c r="I393" s="2" t="s">
        <v>6</v>
      </c>
      <c r="J393" s="2" t="s">
        <v>5</v>
      </c>
      <c r="K393" s="2" t="s">
        <v>5</v>
      </c>
      <c r="L393" s="2" t="s">
        <v>7</v>
      </c>
      <c r="M393" s="1" t="s">
        <v>5111</v>
      </c>
      <c r="N393" s="1" t="s">
        <v>5112</v>
      </c>
      <c r="O393" s="2" t="s">
        <v>291</v>
      </c>
      <c r="P393" s="1" t="s">
        <v>5113</v>
      </c>
      <c r="Q393" s="2" t="s">
        <v>1151</v>
      </c>
      <c r="R393" s="2" t="s">
        <v>1152</v>
      </c>
      <c r="T393" s="2" t="s">
        <v>13</v>
      </c>
      <c r="U393" s="3">
        <v>0</v>
      </c>
      <c r="V393" s="3">
        <v>8</v>
      </c>
      <c r="X393" s="4" t="s">
        <v>5114</v>
      </c>
      <c r="Y393" s="4" t="s">
        <v>5115</v>
      </c>
      <c r="Z393" s="4" t="s">
        <v>5116</v>
      </c>
      <c r="AA393" s="3">
        <v>37</v>
      </c>
      <c r="AB393" s="3">
        <v>34</v>
      </c>
      <c r="AC393" s="3">
        <v>407</v>
      </c>
      <c r="AD393" s="3">
        <v>1</v>
      </c>
      <c r="AE393" s="9">
        <v>3</v>
      </c>
      <c r="AF393" s="9">
        <v>2</v>
      </c>
      <c r="AG393" s="9">
        <v>23</v>
      </c>
      <c r="AH393" s="3">
        <v>1</v>
      </c>
      <c r="AI393" s="3">
        <v>7</v>
      </c>
      <c r="AJ393" s="3">
        <v>0</v>
      </c>
      <c r="AK393" s="3">
        <v>8</v>
      </c>
      <c r="AL393" s="3">
        <v>1</v>
      </c>
      <c r="AM393" s="3">
        <v>11</v>
      </c>
      <c r="AN393" s="3">
        <v>0</v>
      </c>
      <c r="AO393" s="3">
        <v>2</v>
      </c>
      <c r="AP393" s="3">
        <v>0</v>
      </c>
      <c r="AQ393" s="3">
        <v>0</v>
      </c>
      <c r="AR393" s="2" t="s">
        <v>5</v>
      </c>
      <c r="AS393" s="2" t="s">
        <v>5</v>
      </c>
      <c r="AU393" s="5" t="str">
        <f>HYPERLINK("https://creighton-primo.hosted.exlibrisgroup.com/primo-explore/search?tab=default_tab&amp;search_scope=EVERYTHING&amp;vid=01CRU&amp;lang=en_US&amp;offset=0&amp;query=any,contains,991005101939702656","Catalog Record")</f>
        <v>Catalog Record</v>
      </c>
      <c r="AV393" s="5" t="str">
        <f>HYPERLINK("http://www.worldcat.org/oclc/7294877","WorldCat Record")</f>
        <v>WorldCat Record</v>
      </c>
      <c r="AW393" s="2" t="s">
        <v>5117</v>
      </c>
      <c r="AX393" s="2" t="s">
        <v>5118</v>
      </c>
      <c r="AY393" s="2" t="s">
        <v>5119</v>
      </c>
      <c r="AZ393" s="2" t="s">
        <v>5119</v>
      </c>
      <c r="BA393" s="2" t="s">
        <v>5120</v>
      </c>
      <c r="BB393" s="2" t="s">
        <v>20</v>
      </c>
      <c r="BD393" s="2" t="s">
        <v>5121</v>
      </c>
      <c r="BE393" s="2" t="s">
        <v>5122</v>
      </c>
      <c r="BF393" s="2" t="s">
        <v>5123</v>
      </c>
    </row>
    <row r="394" spans="1:58" ht="39.75" customHeight="1" x14ac:dyDescent="0.25">
      <c r="A394" s="7" t="s">
        <v>5</v>
      </c>
      <c r="B394" s="1" t="s">
        <v>0</v>
      </c>
      <c r="C394" s="1" t="s">
        <v>1</v>
      </c>
      <c r="D394" s="1" t="s">
        <v>5107</v>
      </c>
      <c r="E394" s="1" t="s">
        <v>5108</v>
      </c>
      <c r="F394" s="1" t="s">
        <v>5109</v>
      </c>
      <c r="G394" s="2" t="s">
        <v>2107</v>
      </c>
      <c r="H394" s="2" t="s">
        <v>46</v>
      </c>
      <c r="I394" s="2" t="s">
        <v>6</v>
      </c>
      <c r="J394" s="2" t="s">
        <v>5</v>
      </c>
      <c r="K394" s="2" t="s">
        <v>5</v>
      </c>
      <c r="L394" s="2" t="s">
        <v>7</v>
      </c>
      <c r="M394" s="1" t="s">
        <v>5111</v>
      </c>
      <c r="N394" s="1" t="s">
        <v>5112</v>
      </c>
      <c r="O394" s="2" t="s">
        <v>291</v>
      </c>
      <c r="P394" s="1" t="s">
        <v>5113</v>
      </c>
      <c r="Q394" s="2" t="s">
        <v>1151</v>
      </c>
      <c r="R394" s="2" t="s">
        <v>1152</v>
      </c>
      <c r="T394" s="2" t="s">
        <v>13</v>
      </c>
      <c r="U394" s="3">
        <v>0</v>
      </c>
      <c r="V394" s="3">
        <v>8</v>
      </c>
      <c r="X394" s="4" t="s">
        <v>5114</v>
      </c>
      <c r="Y394" s="4" t="s">
        <v>5115</v>
      </c>
      <c r="Z394" s="4" t="s">
        <v>5116</v>
      </c>
      <c r="AA394" s="3">
        <v>37</v>
      </c>
      <c r="AB394" s="3">
        <v>34</v>
      </c>
      <c r="AC394" s="3">
        <v>407</v>
      </c>
      <c r="AD394" s="3">
        <v>1</v>
      </c>
      <c r="AE394" s="9">
        <v>3</v>
      </c>
      <c r="AF394" s="9">
        <v>2</v>
      </c>
      <c r="AG394" s="9">
        <v>23</v>
      </c>
      <c r="AH394" s="3">
        <v>1</v>
      </c>
      <c r="AI394" s="3">
        <v>7</v>
      </c>
      <c r="AJ394" s="3">
        <v>0</v>
      </c>
      <c r="AK394" s="3">
        <v>8</v>
      </c>
      <c r="AL394" s="3">
        <v>1</v>
      </c>
      <c r="AM394" s="3">
        <v>11</v>
      </c>
      <c r="AN394" s="3">
        <v>0</v>
      </c>
      <c r="AO394" s="3">
        <v>2</v>
      </c>
      <c r="AP394" s="3">
        <v>0</v>
      </c>
      <c r="AQ394" s="3">
        <v>0</v>
      </c>
      <c r="AR394" s="2" t="s">
        <v>5</v>
      </c>
      <c r="AS394" s="2" t="s">
        <v>5</v>
      </c>
      <c r="AU394" s="5" t="str">
        <f>HYPERLINK("https://creighton-primo.hosted.exlibrisgroup.com/primo-explore/search?tab=default_tab&amp;search_scope=EVERYTHING&amp;vid=01CRU&amp;lang=en_US&amp;offset=0&amp;query=any,contains,991005101939702656","Catalog Record")</f>
        <v>Catalog Record</v>
      </c>
      <c r="AV394" s="5" t="str">
        <f>HYPERLINK("http://www.worldcat.org/oclc/7294877","WorldCat Record")</f>
        <v>WorldCat Record</v>
      </c>
      <c r="AW394" s="2" t="s">
        <v>5117</v>
      </c>
      <c r="AX394" s="2" t="s">
        <v>5118</v>
      </c>
      <c r="AY394" s="2" t="s">
        <v>5119</v>
      </c>
      <c r="AZ394" s="2" t="s">
        <v>5119</v>
      </c>
      <c r="BA394" s="2" t="s">
        <v>5120</v>
      </c>
      <c r="BB394" s="2" t="s">
        <v>20</v>
      </c>
      <c r="BD394" s="2" t="s">
        <v>5121</v>
      </c>
      <c r="BE394" s="2" t="s">
        <v>5124</v>
      </c>
      <c r="BF394" s="2" t="s">
        <v>5125</v>
      </c>
    </row>
    <row r="395" spans="1:58" ht="39.75" customHeight="1" x14ac:dyDescent="0.25">
      <c r="A395" s="7" t="s">
        <v>5</v>
      </c>
      <c r="B395" s="1" t="s">
        <v>0</v>
      </c>
      <c r="C395" s="1" t="s">
        <v>1</v>
      </c>
      <c r="D395" s="1" t="s">
        <v>5107</v>
      </c>
      <c r="E395" s="1" t="s">
        <v>5108</v>
      </c>
      <c r="F395" s="1" t="s">
        <v>5109</v>
      </c>
      <c r="G395" s="2" t="s">
        <v>5126</v>
      </c>
      <c r="H395" s="2" t="s">
        <v>46</v>
      </c>
      <c r="I395" s="2" t="s">
        <v>6</v>
      </c>
      <c r="J395" s="2" t="s">
        <v>5</v>
      </c>
      <c r="K395" s="2" t="s">
        <v>5</v>
      </c>
      <c r="L395" s="2" t="s">
        <v>7</v>
      </c>
      <c r="M395" s="1" t="s">
        <v>5111</v>
      </c>
      <c r="N395" s="1" t="s">
        <v>5112</v>
      </c>
      <c r="O395" s="2" t="s">
        <v>291</v>
      </c>
      <c r="P395" s="1" t="s">
        <v>5113</v>
      </c>
      <c r="Q395" s="2" t="s">
        <v>1151</v>
      </c>
      <c r="R395" s="2" t="s">
        <v>1152</v>
      </c>
      <c r="T395" s="2" t="s">
        <v>13</v>
      </c>
      <c r="U395" s="3">
        <v>5</v>
      </c>
      <c r="V395" s="3">
        <v>8</v>
      </c>
      <c r="W395" s="4" t="s">
        <v>5127</v>
      </c>
      <c r="X395" s="4" t="s">
        <v>5114</v>
      </c>
      <c r="Y395" s="4" t="s">
        <v>5115</v>
      </c>
      <c r="Z395" s="4" t="s">
        <v>5116</v>
      </c>
      <c r="AA395" s="3">
        <v>37</v>
      </c>
      <c r="AB395" s="3">
        <v>34</v>
      </c>
      <c r="AC395" s="3">
        <v>407</v>
      </c>
      <c r="AD395" s="3">
        <v>1</v>
      </c>
      <c r="AE395" s="9">
        <v>3</v>
      </c>
      <c r="AF395" s="9">
        <v>2</v>
      </c>
      <c r="AG395" s="9">
        <v>23</v>
      </c>
      <c r="AH395" s="3">
        <v>1</v>
      </c>
      <c r="AI395" s="3">
        <v>7</v>
      </c>
      <c r="AJ395" s="3">
        <v>0</v>
      </c>
      <c r="AK395" s="3">
        <v>8</v>
      </c>
      <c r="AL395" s="3">
        <v>1</v>
      </c>
      <c r="AM395" s="3">
        <v>11</v>
      </c>
      <c r="AN395" s="3">
        <v>0</v>
      </c>
      <c r="AO395" s="3">
        <v>2</v>
      </c>
      <c r="AP395" s="3">
        <v>0</v>
      </c>
      <c r="AQ395" s="3">
        <v>0</v>
      </c>
      <c r="AR395" s="2" t="s">
        <v>5</v>
      </c>
      <c r="AS395" s="2" t="s">
        <v>5</v>
      </c>
      <c r="AU395" s="5" t="str">
        <f>HYPERLINK("https://creighton-primo.hosted.exlibrisgroup.com/primo-explore/search?tab=default_tab&amp;search_scope=EVERYTHING&amp;vid=01CRU&amp;lang=en_US&amp;offset=0&amp;query=any,contains,991005101939702656","Catalog Record")</f>
        <v>Catalog Record</v>
      </c>
      <c r="AV395" s="5" t="str">
        <f>HYPERLINK("http://www.worldcat.org/oclc/7294877","WorldCat Record")</f>
        <v>WorldCat Record</v>
      </c>
      <c r="AW395" s="2" t="s">
        <v>5117</v>
      </c>
      <c r="AX395" s="2" t="s">
        <v>5118</v>
      </c>
      <c r="AY395" s="2" t="s">
        <v>5119</v>
      </c>
      <c r="AZ395" s="2" t="s">
        <v>5119</v>
      </c>
      <c r="BA395" s="2" t="s">
        <v>5120</v>
      </c>
      <c r="BB395" s="2" t="s">
        <v>20</v>
      </c>
      <c r="BD395" s="2" t="s">
        <v>5121</v>
      </c>
      <c r="BE395" s="2" t="s">
        <v>5128</v>
      </c>
      <c r="BF395" s="2" t="s">
        <v>5129</v>
      </c>
    </row>
    <row r="396" spans="1:58" ht="39.75" customHeight="1" x14ac:dyDescent="0.25">
      <c r="A396" s="7" t="s">
        <v>5</v>
      </c>
      <c r="B396" s="1" t="s">
        <v>0</v>
      </c>
      <c r="C396" s="1" t="s">
        <v>1</v>
      </c>
      <c r="D396" s="1" t="s">
        <v>5107</v>
      </c>
      <c r="E396" s="1" t="s">
        <v>5108</v>
      </c>
      <c r="F396" s="1" t="s">
        <v>5109</v>
      </c>
      <c r="G396" s="2" t="s">
        <v>2083</v>
      </c>
      <c r="H396" s="2" t="s">
        <v>46</v>
      </c>
      <c r="I396" s="2" t="s">
        <v>6</v>
      </c>
      <c r="J396" s="2" t="s">
        <v>5</v>
      </c>
      <c r="K396" s="2" t="s">
        <v>5</v>
      </c>
      <c r="L396" s="2" t="s">
        <v>7</v>
      </c>
      <c r="M396" s="1" t="s">
        <v>5111</v>
      </c>
      <c r="N396" s="1" t="s">
        <v>5112</v>
      </c>
      <c r="O396" s="2" t="s">
        <v>291</v>
      </c>
      <c r="P396" s="1" t="s">
        <v>5113</v>
      </c>
      <c r="Q396" s="2" t="s">
        <v>1151</v>
      </c>
      <c r="R396" s="2" t="s">
        <v>1152</v>
      </c>
      <c r="T396" s="2" t="s">
        <v>13</v>
      </c>
      <c r="U396" s="3">
        <v>3</v>
      </c>
      <c r="V396" s="3">
        <v>8</v>
      </c>
      <c r="W396" s="4" t="s">
        <v>5114</v>
      </c>
      <c r="X396" s="4" t="s">
        <v>5114</v>
      </c>
      <c r="Y396" s="4" t="s">
        <v>5116</v>
      </c>
      <c r="Z396" s="4" t="s">
        <v>5116</v>
      </c>
      <c r="AA396" s="3">
        <v>37</v>
      </c>
      <c r="AB396" s="3">
        <v>34</v>
      </c>
      <c r="AC396" s="3">
        <v>407</v>
      </c>
      <c r="AD396" s="3">
        <v>1</v>
      </c>
      <c r="AE396" s="9">
        <v>3</v>
      </c>
      <c r="AF396" s="9">
        <v>2</v>
      </c>
      <c r="AG396" s="9">
        <v>23</v>
      </c>
      <c r="AH396" s="3">
        <v>1</v>
      </c>
      <c r="AI396" s="3">
        <v>7</v>
      </c>
      <c r="AJ396" s="3">
        <v>0</v>
      </c>
      <c r="AK396" s="3">
        <v>8</v>
      </c>
      <c r="AL396" s="3">
        <v>1</v>
      </c>
      <c r="AM396" s="3">
        <v>11</v>
      </c>
      <c r="AN396" s="3">
        <v>0</v>
      </c>
      <c r="AO396" s="3">
        <v>2</v>
      </c>
      <c r="AP396" s="3">
        <v>0</v>
      </c>
      <c r="AQ396" s="3">
        <v>0</v>
      </c>
      <c r="AR396" s="2" t="s">
        <v>5</v>
      </c>
      <c r="AS396" s="2" t="s">
        <v>5</v>
      </c>
      <c r="AU396" s="5" t="str">
        <f>HYPERLINK("https://creighton-primo.hosted.exlibrisgroup.com/primo-explore/search?tab=default_tab&amp;search_scope=EVERYTHING&amp;vid=01CRU&amp;lang=en_US&amp;offset=0&amp;query=any,contains,991005101939702656","Catalog Record")</f>
        <v>Catalog Record</v>
      </c>
      <c r="AV396" s="5" t="str">
        <f>HYPERLINK("http://www.worldcat.org/oclc/7294877","WorldCat Record")</f>
        <v>WorldCat Record</v>
      </c>
      <c r="AW396" s="2" t="s">
        <v>5117</v>
      </c>
      <c r="AX396" s="2" t="s">
        <v>5118</v>
      </c>
      <c r="AY396" s="2" t="s">
        <v>5119</v>
      </c>
      <c r="AZ396" s="2" t="s">
        <v>5119</v>
      </c>
      <c r="BA396" s="2" t="s">
        <v>5120</v>
      </c>
      <c r="BB396" s="2" t="s">
        <v>20</v>
      </c>
      <c r="BD396" s="2" t="s">
        <v>5121</v>
      </c>
      <c r="BE396" s="2" t="s">
        <v>5130</v>
      </c>
      <c r="BF396" s="2" t="s">
        <v>5131</v>
      </c>
    </row>
    <row r="397" spans="1:58" ht="39.75" customHeight="1" x14ac:dyDescent="0.25">
      <c r="A397" s="7" t="s">
        <v>5</v>
      </c>
      <c r="B397" s="1" t="s">
        <v>0</v>
      </c>
      <c r="C397" s="1" t="s">
        <v>1</v>
      </c>
      <c r="D397" s="1" t="s">
        <v>5132</v>
      </c>
      <c r="E397" s="1" t="s">
        <v>5133</v>
      </c>
      <c r="F397" s="1" t="s">
        <v>5134</v>
      </c>
      <c r="H397" s="2" t="s">
        <v>5</v>
      </c>
      <c r="I397" s="2" t="s">
        <v>6</v>
      </c>
      <c r="J397" s="2" t="s">
        <v>5</v>
      </c>
      <c r="K397" s="2" t="s">
        <v>5</v>
      </c>
      <c r="L397" s="2" t="s">
        <v>7</v>
      </c>
      <c r="N397" s="1" t="s">
        <v>5135</v>
      </c>
      <c r="O397" s="2" t="s">
        <v>392</v>
      </c>
      <c r="Q397" s="2" t="s">
        <v>1151</v>
      </c>
      <c r="R397" s="2" t="s">
        <v>1152</v>
      </c>
      <c r="S397" s="1" t="s">
        <v>5136</v>
      </c>
      <c r="T397" s="2" t="s">
        <v>13</v>
      </c>
      <c r="U397" s="3">
        <v>1</v>
      </c>
      <c r="V397" s="3">
        <v>1</v>
      </c>
      <c r="W397" s="4" t="s">
        <v>5137</v>
      </c>
      <c r="X397" s="4" t="s">
        <v>5137</v>
      </c>
      <c r="Y397" s="4" t="s">
        <v>5137</v>
      </c>
      <c r="Z397" s="4" t="s">
        <v>5137</v>
      </c>
      <c r="AA397" s="3">
        <v>41</v>
      </c>
      <c r="AB397" s="3">
        <v>28</v>
      </c>
      <c r="AC397" s="3">
        <v>35</v>
      </c>
      <c r="AD397" s="3">
        <v>1</v>
      </c>
      <c r="AE397" s="9">
        <v>1</v>
      </c>
      <c r="AF397" s="9">
        <v>3</v>
      </c>
      <c r="AG397" s="9">
        <v>3</v>
      </c>
      <c r="AH397" s="3">
        <v>1</v>
      </c>
      <c r="AI397" s="3">
        <v>1</v>
      </c>
      <c r="AJ397" s="3">
        <v>2</v>
      </c>
      <c r="AK397" s="3">
        <v>2</v>
      </c>
      <c r="AL397" s="3">
        <v>1</v>
      </c>
      <c r="AM397" s="3">
        <v>1</v>
      </c>
      <c r="AN397" s="3">
        <v>0</v>
      </c>
      <c r="AO397" s="3">
        <v>0</v>
      </c>
      <c r="AP397" s="3">
        <v>0</v>
      </c>
      <c r="AQ397" s="3">
        <v>0</v>
      </c>
      <c r="AR397" s="2" t="s">
        <v>5</v>
      </c>
      <c r="AS397" s="2" t="s">
        <v>5</v>
      </c>
      <c r="AU397" s="5" t="str">
        <f>HYPERLINK("https://creighton-primo.hosted.exlibrisgroup.com/primo-explore/search?tab=default_tab&amp;search_scope=EVERYTHING&amp;vid=01CRU&amp;lang=en_US&amp;offset=0&amp;query=any,contains,991004509289702656","Catalog Record")</f>
        <v>Catalog Record</v>
      </c>
      <c r="AV397" s="5" t="str">
        <f>HYPERLINK("http://www.worldcat.org/oclc/718159","WorldCat Record")</f>
        <v>WorldCat Record</v>
      </c>
      <c r="AW397" s="2" t="s">
        <v>5138</v>
      </c>
      <c r="AX397" s="2" t="s">
        <v>5139</v>
      </c>
      <c r="AY397" s="2" t="s">
        <v>5140</v>
      </c>
      <c r="AZ397" s="2" t="s">
        <v>5140</v>
      </c>
      <c r="BA397" s="2" t="s">
        <v>5141</v>
      </c>
      <c r="BB397" s="2" t="s">
        <v>20</v>
      </c>
      <c r="BE397" s="2" t="s">
        <v>5142</v>
      </c>
      <c r="BF397" s="2" t="s">
        <v>5143</v>
      </c>
    </row>
    <row r="398" spans="1:58" ht="39.75" customHeight="1" x14ac:dyDescent="0.25">
      <c r="A398" s="7" t="s">
        <v>5</v>
      </c>
      <c r="B398" s="1" t="s">
        <v>0</v>
      </c>
      <c r="C398" s="1" t="s">
        <v>1</v>
      </c>
      <c r="D398" s="1" t="s">
        <v>5144</v>
      </c>
      <c r="E398" s="1" t="s">
        <v>5145</v>
      </c>
      <c r="F398" s="1" t="s">
        <v>5146</v>
      </c>
      <c r="G398" s="2" t="s">
        <v>5147</v>
      </c>
      <c r="H398" s="2" t="s">
        <v>46</v>
      </c>
      <c r="I398" s="2" t="s">
        <v>6</v>
      </c>
      <c r="J398" s="2" t="s">
        <v>5</v>
      </c>
      <c r="K398" s="2" t="s">
        <v>5</v>
      </c>
      <c r="L398" s="2" t="s">
        <v>7</v>
      </c>
      <c r="M398" s="1" t="s">
        <v>5148</v>
      </c>
      <c r="N398" s="1" t="s">
        <v>5149</v>
      </c>
      <c r="O398" s="2" t="s">
        <v>1515</v>
      </c>
      <c r="Q398" s="2" t="s">
        <v>1151</v>
      </c>
      <c r="R398" s="2" t="s">
        <v>1152</v>
      </c>
      <c r="T398" s="2" t="s">
        <v>13</v>
      </c>
      <c r="U398" s="3">
        <v>0</v>
      </c>
      <c r="V398" s="3">
        <v>13</v>
      </c>
      <c r="X398" s="4" t="s">
        <v>5150</v>
      </c>
      <c r="Y398" s="4" t="s">
        <v>5151</v>
      </c>
      <c r="Z398" s="4" t="s">
        <v>5152</v>
      </c>
      <c r="AA398" s="3">
        <v>323</v>
      </c>
      <c r="AB398" s="3">
        <v>284</v>
      </c>
      <c r="AC398" s="3">
        <v>298</v>
      </c>
      <c r="AD398" s="3">
        <v>2</v>
      </c>
      <c r="AE398" s="9">
        <v>2</v>
      </c>
      <c r="AF398" s="9">
        <v>20</v>
      </c>
      <c r="AG398" s="9">
        <v>21</v>
      </c>
      <c r="AH398" s="3">
        <v>7</v>
      </c>
      <c r="AI398" s="3">
        <v>7</v>
      </c>
      <c r="AJ398" s="3">
        <v>8</v>
      </c>
      <c r="AK398" s="3">
        <v>9</v>
      </c>
      <c r="AL398" s="3">
        <v>12</v>
      </c>
      <c r="AM398" s="3">
        <v>13</v>
      </c>
      <c r="AN398" s="3">
        <v>1</v>
      </c>
      <c r="AO398" s="3">
        <v>1</v>
      </c>
      <c r="AP398" s="3">
        <v>0</v>
      </c>
      <c r="AQ398" s="3">
        <v>0</v>
      </c>
      <c r="AR398" s="2" t="s">
        <v>5</v>
      </c>
      <c r="AS398" s="2" t="s">
        <v>46</v>
      </c>
      <c r="AT398" s="5" t="str">
        <f>HYPERLINK("http://catalog.hathitrust.org/Record/000150396","HathiTrust Record")</f>
        <v>HathiTrust Record</v>
      </c>
      <c r="AU398" s="5" t="str">
        <f>HYPERLINK("https://creighton-primo.hosted.exlibrisgroup.com/primo-explore/search?tab=default_tab&amp;search_scope=EVERYTHING&amp;vid=01CRU&amp;lang=en_US&amp;offset=0&amp;query=any,contains,991005204689702656","Catalog Record")</f>
        <v>Catalog Record</v>
      </c>
      <c r="AV398" s="5" t="str">
        <f>HYPERLINK("http://www.worldcat.org/oclc/8112114","WorldCat Record")</f>
        <v>WorldCat Record</v>
      </c>
      <c r="AW398" s="2" t="s">
        <v>5153</v>
      </c>
      <c r="AX398" s="2" t="s">
        <v>5154</v>
      </c>
      <c r="AY398" s="2" t="s">
        <v>5155</v>
      </c>
      <c r="AZ398" s="2" t="s">
        <v>5155</v>
      </c>
      <c r="BA398" s="2" t="s">
        <v>5156</v>
      </c>
      <c r="BB398" s="2" t="s">
        <v>20</v>
      </c>
      <c r="BD398" s="2" t="s">
        <v>5157</v>
      </c>
      <c r="BE398" s="2" t="s">
        <v>5158</v>
      </c>
      <c r="BF398" s="2" t="s">
        <v>5159</v>
      </c>
    </row>
    <row r="399" spans="1:58" ht="39.75" customHeight="1" x14ac:dyDescent="0.25">
      <c r="A399" s="7" t="s">
        <v>5</v>
      </c>
      <c r="B399" s="1" t="s">
        <v>0</v>
      </c>
      <c r="C399" s="1" t="s">
        <v>1</v>
      </c>
      <c r="D399" s="1" t="s">
        <v>5144</v>
      </c>
      <c r="E399" s="1" t="s">
        <v>5145</v>
      </c>
      <c r="F399" s="1" t="s">
        <v>5146</v>
      </c>
      <c r="G399" s="2" t="s">
        <v>5160</v>
      </c>
      <c r="H399" s="2" t="s">
        <v>46</v>
      </c>
      <c r="I399" s="2" t="s">
        <v>6</v>
      </c>
      <c r="J399" s="2" t="s">
        <v>5</v>
      </c>
      <c r="K399" s="2" t="s">
        <v>5</v>
      </c>
      <c r="L399" s="2" t="s">
        <v>7</v>
      </c>
      <c r="M399" s="1" t="s">
        <v>5148</v>
      </c>
      <c r="N399" s="1" t="s">
        <v>5149</v>
      </c>
      <c r="O399" s="2" t="s">
        <v>1515</v>
      </c>
      <c r="Q399" s="2" t="s">
        <v>1151</v>
      </c>
      <c r="R399" s="2" t="s">
        <v>1152</v>
      </c>
      <c r="T399" s="2" t="s">
        <v>13</v>
      </c>
      <c r="U399" s="3">
        <v>0</v>
      </c>
      <c r="V399" s="3">
        <v>13</v>
      </c>
      <c r="X399" s="4" t="s">
        <v>5150</v>
      </c>
      <c r="Y399" s="4" t="s">
        <v>5152</v>
      </c>
      <c r="Z399" s="4" t="s">
        <v>5152</v>
      </c>
      <c r="AA399" s="3">
        <v>323</v>
      </c>
      <c r="AB399" s="3">
        <v>284</v>
      </c>
      <c r="AC399" s="3">
        <v>298</v>
      </c>
      <c r="AD399" s="3">
        <v>2</v>
      </c>
      <c r="AE399" s="9">
        <v>2</v>
      </c>
      <c r="AF399" s="9">
        <v>20</v>
      </c>
      <c r="AG399" s="9">
        <v>21</v>
      </c>
      <c r="AH399" s="3">
        <v>7</v>
      </c>
      <c r="AI399" s="3">
        <v>7</v>
      </c>
      <c r="AJ399" s="3">
        <v>8</v>
      </c>
      <c r="AK399" s="3">
        <v>9</v>
      </c>
      <c r="AL399" s="3">
        <v>12</v>
      </c>
      <c r="AM399" s="3">
        <v>13</v>
      </c>
      <c r="AN399" s="3">
        <v>1</v>
      </c>
      <c r="AO399" s="3">
        <v>1</v>
      </c>
      <c r="AP399" s="3">
        <v>0</v>
      </c>
      <c r="AQ399" s="3">
        <v>0</v>
      </c>
      <c r="AR399" s="2" t="s">
        <v>5</v>
      </c>
      <c r="AS399" s="2" t="s">
        <v>46</v>
      </c>
      <c r="AT399" s="5" t="str">
        <f>HYPERLINK("http://catalog.hathitrust.org/Record/000150396","HathiTrust Record")</f>
        <v>HathiTrust Record</v>
      </c>
      <c r="AU399" s="5" t="str">
        <f>HYPERLINK("https://creighton-primo.hosted.exlibrisgroup.com/primo-explore/search?tab=default_tab&amp;search_scope=EVERYTHING&amp;vid=01CRU&amp;lang=en_US&amp;offset=0&amp;query=any,contains,991005204689702656","Catalog Record")</f>
        <v>Catalog Record</v>
      </c>
      <c r="AV399" s="5" t="str">
        <f>HYPERLINK("http://www.worldcat.org/oclc/8112114","WorldCat Record")</f>
        <v>WorldCat Record</v>
      </c>
      <c r="AW399" s="2" t="s">
        <v>5153</v>
      </c>
      <c r="AX399" s="2" t="s">
        <v>5154</v>
      </c>
      <c r="AY399" s="2" t="s">
        <v>5155</v>
      </c>
      <c r="AZ399" s="2" t="s">
        <v>5155</v>
      </c>
      <c r="BA399" s="2" t="s">
        <v>5156</v>
      </c>
      <c r="BB399" s="2" t="s">
        <v>20</v>
      </c>
      <c r="BD399" s="2" t="s">
        <v>5157</v>
      </c>
      <c r="BE399" s="2" t="s">
        <v>5161</v>
      </c>
      <c r="BF399" s="2" t="s">
        <v>5162</v>
      </c>
    </row>
    <row r="400" spans="1:58" ht="39.75" customHeight="1" x14ac:dyDescent="0.25">
      <c r="A400" s="7" t="s">
        <v>5</v>
      </c>
      <c r="B400" s="1" t="s">
        <v>0</v>
      </c>
      <c r="C400" s="1" t="s">
        <v>1</v>
      </c>
      <c r="D400" s="1" t="s">
        <v>5144</v>
      </c>
      <c r="E400" s="1" t="s">
        <v>5145</v>
      </c>
      <c r="F400" s="1" t="s">
        <v>5146</v>
      </c>
      <c r="G400" s="2" t="s">
        <v>5163</v>
      </c>
      <c r="H400" s="2" t="s">
        <v>46</v>
      </c>
      <c r="I400" s="2" t="s">
        <v>6</v>
      </c>
      <c r="J400" s="2" t="s">
        <v>5</v>
      </c>
      <c r="K400" s="2" t="s">
        <v>5</v>
      </c>
      <c r="L400" s="2" t="s">
        <v>7</v>
      </c>
      <c r="M400" s="1" t="s">
        <v>5148</v>
      </c>
      <c r="N400" s="1" t="s">
        <v>5149</v>
      </c>
      <c r="O400" s="2" t="s">
        <v>1515</v>
      </c>
      <c r="Q400" s="2" t="s">
        <v>1151</v>
      </c>
      <c r="R400" s="2" t="s">
        <v>1152</v>
      </c>
      <c r="T400" s="2" t="s">
        <v>13</v>
      </c>
      <c r="U400" s="3">
        <v>1</v>
      </c>
      <c r="V400" s="3">
        <v>13</v>
      </c>
      <c r="W400" s="4" t="s">
        <v>5164</v>
      </c>
      <c r="X400" s="4" t="s">
        <v>5150</v>
      </c>
      <c r="Y400" s="4" t="s">
        <v>5151</v>
      </c>
      <c r="Z400" s="4" t="s">
        <v>5152</v>
      </c>
      <c r="AA400" s="3">
        <v>323</v>
      </c>
      <c r="AB400" s="3">
        <v>284</v>
      </c>
      <c r="AC400" s="3">
        <v>298</v>
      </c>
      <c r="AD400" s="3">
        <v>2</v>
      </c>
      <c r="AE400" s="9">
        <v>2</v>
      </c>
      <c r="AF400" s="9">
        <v>20</v>
      </c>
      <c r="AG400" s="9">
        <v>21</v>
      </c>
      <c r="AH400" s="3">
        <v>7</v>
      </c>
      <c r="AI400" s="3">
        <v>7</v>
      </c>
      <c r="AJ400" s="3">
        <v>8</v>
      </c>
      <c r="AK400" s="3">
        <v>9</v>
      </c>
      <c r="AL400" s="3">
        <v>12</v>
      </c>
      <c r="AM400" s="3">
        <v>13</v>
      </c>
      <c r="AN400" s="3">
        <v>1</v>
      </c>
      <c r="AO400" s="3">
        <v>1</v>
      </c>
      <c r="AP400" s="3">
        <v>0</v>
      </c>
      <c r="AQ400" s="3">
        <v>0</v>
      </c>
      <c r="AR400" s="2" t="s">
        <v>5</v>
      </c>
      <c r="AS400" s="2" t="s">
        <v>46</v>
      </c>
      <c r="AT400" s="5" t="str">
        <f>HYPERLINK("http://catalog.hathitrust.org/Record/000150396","HathiTrust Record")</f>
        <v>HathiTrust Record</v>
      </c>
      <c r="AU400" s="5" t="str">
        <f>HYPERLINK("https://creighton-primo.hosted.exlibrisgroup.com/primo-explore/search?tab=default_tab&amp;search_scope=EVERYTHING&amp;vid=01CRU&amp;lang=en_US&amp;offset=0&amp;query=any,contains,991005204689702656","Catalog Record")</f>
        <v>Catalog Record</v>
      </c>
      <c r="AV400" s="5" t="str">
        <f>HYPERLINK("http://www.worldcat.org/oclc/8112114","WorldCat Record")</f>
        <v>WorldCat Record</v>
      </c>
      <c r="AW400" s="2" t="s">
        <v>5153</v>
      </c>
      <c r="AX400" s="2" t="s">
        <v>5154</v>
      </c>
      <c r="AY400" s="2" t="s">
        <v>5155</v>
      </c>
      <c r="AZ400" s="2" t="s">
        <v>5155</v>
      </c>
      <c r="BA400" s="2" t="s">
        <v>5156</v>
      </c>
      <c r="BB400" s="2" t="s">
        <v>20</v>
      </c>
      <c r="BD400" s="2" t="s">
        <v>5157</v>
      </c>
      <c r="BE400" s="2" t="s">
        <v>5165</v>
      </c>
      <c r="BF400" s="2" t="s">
        <v>5166</v>
      </c>
    </row>
    <row r="401" spans="1:58" ht="39.75" customHeight="1" x14ac:dyDescent="0.25">
      <c r="A401" s="7" t="s">
        <v>5</v>
      </c>
      <c r="B401" s="1" t="s">
        <v>0</v>
      </c>
      <c r="C401" s="1" t="s">
        <v>1</v>
      </c>
      <c r="D401" s="1" t="s">
        <v>5144</v>
      </c>
      <c r="E401" s="1" t="s">
        <v>5145</v>
      </c>
      <c r="F401" s="1" t="s">
        <v>5146</v>
      </c>
      <c r="G401" s="2" t="s">
        <v>5167</v>
      </c>
      <c r="H401" s="2" t="s">
        <v>46</v>
      </c>
      <c r="I401" s="2" t="s">
        <v>6</v>
      </c>
      <c r="J401" s="2" t="s">
        <v>5</v>
      </c>
      <c r="K401" s="2" t="s">
        <v>5</v>
      </c>
      <c r="L401" s="2" t="s">
        <v>7</v>
      </c>
      <c r="M401" s="1" t="s">
        <v>5148</v>
      </c>
      <c r="N401" s="1" t="s">
        <v>5149</v>
      </c>
      <c r="O401" s="2" t="s">
        <v>1515</v>
      </c>
      <c r="Q401" s="2" t="s">
        <v>1151</v>
      </c>
      <c r="R401" s="2" t="s">
        <v>1152</v>
      </c>
      <c r="T401" s="2" t="s">
        <v>13</v>
      </c>
      <c r="U401" s="3">
        <v>0</v>
      </c>
      <c r="V401" s="3">
        <v>13</v>
      </c>
      <c r="X401" s="4" t="s">
        <v>5150</v>
      </c>
      <c r="Y401" s="4" t="s">
        <v>5168</v>
      </c>
      <c r="Z401" s="4" t="s">
        <v>5152</v>
      </c>
      <c r="AA401" s="3">
        <v>323</v>
      </c>
      <c r="AB401" s="3">
        <v>284</v>
      </c>
      <c r="AC401" s="3">
        <v>298</v>
      </c>
      <c r="AD401" s="3">
        <v>2</v>
      </c>
      <c r="AE401" s="9">
        <v>2</v>
      </c>
      <c r="AF401" s="9">
        <v>20</v>
      </c>
      <c r="AG401" s="9">
        <v>21</v>
      </c>
      <c r="AH401" s="3">
        <v>7</v>
      </c>
      <c r="AI401" s="3">
        <v>7</v>
      </c>
      <c r="AJ401" s="3">
        <v>8</v>
      </c>
      <c r="AK401" s="3">
        <v>9</v>
      </c>
      <c r="AL401" s="3">
        <v>12</v>
      </c>
      <c r="AM401" s="3">
        <v>13</v>
      </c>
      <c r="AN401" s="3">
        <v>1</v>
      </c>
      <c r="AO401" s="3">
        <v>1</v>
      </c>
      <c r="AP401" s="3">
        <v>0</v>
      </c>
      <c r="AQ401" s="3">
        <v>0</v>
      </c>
      <c r="AR401" s="2" t="s">
        <v>5</v>
      </c>
      <c r="AS401" s="2" t="s">
        <v>46</v>
      </c>
      <c r="AT401" s="5" t="str">
        <f>HYPERLINK("http://catalog.hathitrust.org/Record/000150396","HathiTrust Record")</f>
        <v>HathiTrust Record</v>
      </c>
      <c r="AU401" s="5" t="str">
        <f>HYPERLINK("https://creighton-primo.hosted.exlibrisgroup.com/primo-explore/search?tab=default_tab&amp;search_scope=EVERYTHING&amp;vid=01CRU&amp;lang=en_US&amp;offset=0&amp;query=any,contains,991005204689702656","Catalog Record")</f>
        <v>Catalog Record</v>
      </c>
      <c r="AV401" s="5" t="str">
        <f>HYPERLINK("http://www.worldcat.org/oclc/8112114","WorldCat Record")</f>
        <v>WorldCat Record</v>
      </c>
      <c r="AW401" s="2" t="s">
        <v>5153</v>
      </c>
      <c r="AX401" s="2" t="s">
        <v>5154</v>
      </c>
      <c r="AY401" s="2" t="s">
        <v>5155</v>
      </c>
      <c r="AZ401" s="2" t="s">
        <v>5155</v>
      </c>
      <c r="BA401" s="2" t="s">
        <v>5156</v>
      </c>
      <c r="BB401" s="2" t="s">
        <v>20</v>
      </c>
      <c r="BD401" s="2" t="s">
        <v>5157</v>
      </c>
      <c r="BE401" s="2" t="s">
        <v>5169</v>
      </c>
      <c r="BF401" s="2" t="s">
        <v>5170</v>
      </c>
    </row>
    <row r="402" spans="1:58" ht="39.75" customHeight="1" x14ac:dyDescent="0.25">
      <c r="A402" s="7" t="s">
        <v>5</v>
      </c>
      <c r="B402" s="1" t="s">
        <v>0</v>
      </c>
      <c r="C402" s="1" t="s">
        <v>1</v>
      </c>
      <c r="D402" s="1" t="s">
        <v>5144</v>
      </c>
      <c r="E402" s="1" t="s">
        <v>5145</v>
      </c>
      <c r="F402" s="1" t="s">
        <v>5146</v>
      </c>
      <c r="G402" s="2" t="s">
        <v>5110</v>
      </c>
      <c r="H402" s="2" t="s">
        <v>46</v>
      </c>
      <c r="I402" s="2" t="s">
        <v>6</v>
      </c>
      <c r="J402" s="2" t="s">
        <v>5</v>
      </c>
      <c r="K402" s="2" t="s">
        <v>5</v>
      </c>
      <c r="L402" s="2" t="s">
        <v>7</v>
      </c>
      <c r="M402" s="1" t="s">
        <v>5148</v>
      </c>
      <c r="N402" s="1" t="s">
        <v>5149</v>
      </c>
      <c r="O402" s="2" t="s">
        <v>1515</v>
      </c>
      <c r="Q402" s="2" t="s">
        <v>1151</v>
      </c>
      <c r="R402" s="2" t="s">
        <v>1152</v>
      </c>
      <c r="T402" s="2" t="s">
        <v>13</v>
      </c>
      <c r="U402" s="3">
        <v>1</v>
      </c>
      <c r="V402" s="3">
        <v>13</v>
      </c>
      <c r="W402" s="4" t="s">
        <v>5150</v>
      </c>
      <c r="X402" s="4" t="s">
        <v>5150</v>
      </c>
      <c r="Y402" s="4" t="s">
        <v>5151</v>
      </c>
      <c r="Z402" s="4" t="s">
        <v>5152</v>
      </c>
      <c r="AA402" s="3">
        <v>323</v>
      </c>
      <c r="AB402" s="3">
        <v>284</v>
      </c>
      <c r="AC402" s="3">
        <v>298</v>
      </c>
      <c r="AD402" s="3">
        <v>2</v>
      </c>
      <c r="AE402" s="9">
        <v>2</v>
      </c>
      <c r="AF402" s="9">
        <v>20</v>
      </c>
      <c r="AG402" s="9">
        <v>21</v>
      </c>
      <c r="AH402" s="3">
        <v>7</v>
      </c>
      <c r="AI402" s="3">
        <v>7</v>
      </c>
      <c r="AJ402" s="3">
        <v>8</v>
      </c>
      <c r="AK402" s="3">
        <v>9</v>
      </c>
      <c r="AL402" s="3">
        <v>12</v>
      </c>
      <c r="AM402" s="3">
        <v>13</v>
      </c>
      <c r="AN402" s="3">
        <v>1</v>
      </c>
      <c r="AO402" s="3">
        <v>1</v>
      </c>
      <c r="AP402" s="3">
        <v>0</v>
      </c>
      <c r="AQ402" s="3">
        <v>0</v>
      </c>
      <c r="AR402" s="2" t="s">
        <v>5</v>
      </c>
      <c r="AS402" s="2" t="s">
        <v>46</v>
      </c>
      <c r="AT402" s="5" t="str">
        <f>HYPERLINK("http://catalog.hathitrust.org/Record/000150396","HathiTrust Record")</f>
        <v>HathiTrust Record</v>
      </c>
      <c r="AU402" s="5" t="str">
        <f>HYPERLINK("https://creighton-primo.hosted.exlibrisgroup.com/primo-explore/search?tab=default_tab&amp;search_scope=EVERYTHING&amp;vid=01CRU&amp;lang=en_US&amp;offset=0&amp;query=any,contains,991005204689702656","Catalog Record")</f>
        <v>Catalog Record</v>
      </c>
      <c r="AV402" s="5" t="str">
        <f>HYPERLINK("http://www.worldcat.org/oclc/8112114","WorldCat Record")</f>
        <v>WorldCat Record</v>
      </c>
      <c r="AW402" s="2" t="s">
        <v>5153</v>
      </c>
      <c r="AX402" s="2" t="s">
        <v>5154</v>
      </c>
      <c r="AY402" s="2" t="s">
        <v>5155</v>
      </c>
      <c r="AZ402" s="2" t="s">
        <v>5155</v>
      </c>
      <c r="BA402" s="2" t="s">
        <v>5156</v>
      </c>
      <c r="BB402" s="2" t="s">
        <v>20</v>
      </c>
      <c r="BD402" s="2" t="s">
        <v>5157</v>
      </c>
      <c r="BE402" s="2" t="s">
        <v>5171</v>
      </c>
      <c r="BF402" s="2" t="s">
        <v>5172</v>
      </c>
    </row>
    <row r="403" spans="1:58" ht="39.75" customHeight="1" x14ac:dyDescent="0.25">
      <c r="A403" s="7" t="s">
        <v>5</v>
      </c>
      <c r="B403" s="1" t="s">
        <v>0</v>
      </c>
      <c r="C403" s="1" t="s">
        <v>1</v>
      </c>
      <c r="D403" s="1" t="s">
        <v>5144</v>
      </c>
      <c r="E403" s="1" t="s">
        <v>5145</v>
      </c>
      <c r="F403" s="1" t="s">
        <v>5146</v>
      </c>
      <c r="G403" s="2" t="s">
        <v>5173</v>
      </c>
      <c r="H403" s="2" t="s">
        <v>46</v>
      </c>
      <c r="I403" s="2" t="s">
        <v>6</v>
      </c>
      <c r="J403" s="2" t="s">
        <v>5</v>
      </c>
      <c r="K403" s="2" t="s">
        <v>5</v>
      </c>
      <c r="L403" s="2" t="s">
        <v>7</v>
      </c>
      <c r="M403" s="1" t="s">
        <v>5148</v>
      </c>
      <c r="N403" s="1" t="s">
        <v>5149</v>
      </c>
      <c r="O403" s="2" t="s">
        <v>1515</v>
      </c>
      <c r="Q403" s="2" t="s">
        <v>1151</v>
      </c>
      <c r="R403" s="2" t="s">
        <v>1152</v>
      </c>
      <c r="T403" s="2" t="s">
        <v>13</v>
      </c>
      <c r="U403" s="3">
        <v>0</v>
      </c>
      <c r="V403" s="3">
        <v>13</v>
      </c>
      <c r="X403" s="4" t="s">
        <v>5150</v>
      </c>
      <c r="Y403" s="4" t="s">
        <v>5151</v>
      </c>
      <c r="Z403" s="4" t="s">
        <v>5152</v>
      </c>
      <c r="AA403" s="3">
        <v>323</v>
      </c>
      <c r="AB403" s="3">
        <v>284</v>
      </c>
      <c r="AC403" s="3">
        <v>298</v>
      </c>
      <c r="AD403" s="3">
        <v>2</v>
      </c>
      <c r="AE403" s="9">
        <v>2</v>
      </c>
      <c r="AF403" s="9">
        <v>20</v>
      </c>
      <c r="AG403" s="9">
        <v>21</v>
      </c>
      <c r="AH403" s="3">
        <v>7</v>
      </c>
      <c r="AI403" s="3">
        <v>7</v>
      </c>
      <c r="AJ403" s="3">
        <v>8</v>
      </c>
      <c r="AK403" s="3">
        <v>9</v>
      </c>
      <c r="AL403" s="3">
        <v>12</v>
      </c>
      <c r="AM403" s="3">
        <v>13</v>
      </c>
      <c r="AN403" s="3">
        <v>1</v>
      </c>
      <c r="AO403" s="3">
        <v>1</v>
      </c>
      <c r="AP403" s="3">
        <v>0</v>
      </c>
      <c r="AQ403" s="3">
        <v>0</v>
      </c>
      <c r="AR403" s="2" t="s">
        <v>5</v>
      </c>
      <c r="AS403" s="2" t="s">
        <v>46</v>
      </c>
      <c r="AT403" s="5" t="str">
        <f>HYPERLINK("http://catalog.hathitrust.org/Record/000150396","HathiTrust Record")</f>
        <v>HathiTrust Record</v>
      </c>
      <c r="AU403" s="5" t="str">
        <f>HYPERLINK("https://creighton-primo.hosted.exlibrisgroup.com/primo-explore/search?tab=default_tab&amp;search_scope=EVERYTHING&amp;vid=01CRU&amp;lang=en_US&amp;offset=0&amp;query=any,contains,991005204689702656","Catalog Record")</f>
        <v>Catalog Record</v>
      </c>
      <c r="AV403" s="5" t="str">
        <f>HYPERLINK("http://www.worldcat.org/oclc/8112114","WorldCat Record")</f>
        <v>WorldCat Record</v>
      </c>
      <c r="AW403" s="2" t="s">
        <v>5153</v>
      </c>
      <c r="AX403" s="2" t="s">
        <v>5154</v>
      </c>
      <c r="AY403" s="2" t="s">
        <v>5155</v>
      </c>
      <c r="AZ403" s="2" t="s">
        <v>5155</v>
      </c>
      <c r="BA403" s="2" t="s">
        <v>5156</v>
      </c>
      <c r="BB403" s="2" t="s">
        <v>20</v>
      </c>
      <c r="BD403" s="2" t="s">
        <v>5157</v>
      </c>
      <c r="BE403" s="2" t="s">
        <v>5174</v>
      </c>
      <c r="BF403" s="2" t="s">
        <v>5175</v>
      </c>
    </row>
    <row r="404" spans="1:58" ht="39.75" customHeight="1" x14ac:dyDescent="0.25">
      <c r="A404" s="7" t="s">
        <v>5</v>
      </c>
      <c r="B404" s="1" t="s">
        <v>0</v>
      </c>
      <c r="C404" s="1" t="s">
        <v>1</v>
      </c>
      <c r="D404" s="1" t="s">
        <v>5144</v>
      </c>
      <c r="E404" s="1" t="s">
        <v>5145</v>
      </c>
      <c r="F404" s="1" t="s">
        <v>5146</v>
      </c>
      <c r="G404" s="2" t="s">
        <v>5176</v>
      </c>
      <c r="H404" s="2" t="s">
        <v>46</v>
      </c>
      <c r="I404" s="2" t="s">
        <v>6</v>
      </c>
      <c r="J404" s="2" t="s">
        <v>5</v>
      </c>
      <c r="K404" s="2" t="s">
        <v>5</v>
      </c>
      <c r="L404" s="2" t="s">
        <v>7</v>
      </c>
      <c r="M404" s="1" t="s">
        <v>5148</v>
      </c>
      <c r="N404" s="1" t="s">
        <v>5149</v>
      </c>
      <c r="O404" s="2" t="s">
        <v>1515</v>
      </c>
      <c r="Q404" s="2" t="s">
        <v>1151</v>
      </c>
      <c r="R404" s="2" t="s">
        <v>1152</v>
      </c>
      <c r="T404" s="2" t="s">
        <v>13</v>
      </c>
      <c r="U404" s="3">
        <v>4</v>
      </c>
      <c r="V404" s="3">
        <v>13</v>
      </c>
      <c r="W404" s="4" t="s">
        <v>5127</v>
      </c>
      <c r="X404" s="4" t="s">
        <v>5150</v>
      </c>
      <c r="Y404" s="4" t="s">
        <v>5151</v>
      </c>
      <c r="Z404" s="4" t="s">
        <v>5152</v>
      </c>
      <c r="AA404" s="3">
        <v>323</v>
      </c>
      <c r="AB404" s="3">
        <v>284</v>
      </c>
      <c r="AC404" s="3">
        <v>298</v>
      </c>
      <c r="AD404" s="3">
        <v>2</v>
      </c>
      <c r="AE404" s="9">
        <v>2</v>
      </c>
      <c r="AF404" s="9">
        <v>20</v>
      </c>
      <c r="AG404" s="9">
        <v>21</v>
      </c>
      <c r="AH404" s="3">
        <v>7</v>
      </c>
      <c r="AI404" s="3">
        <v>7</v>
      </c>
      <c r="AJ404" s="3">
        <v>8</v>
      </c>
      <c r="AK404" s="3">
        <v>9</v>
      </c>
      <c r="AL404" s="3">
        <v>12</v>
      </c>
      <c r="AM404" s="3">
        <v>13</v>
      </c>
      <c r="AN404" s="3">
        <v>1</v>
      </c>
      <c r="AO404" s="3">
        <v>1</v>
      </c>
      <c r="AP404" s="3">
        <v>0</v>
      </c>
      <c r="AQ404" s="3">
        <v>0</v>
      </c>
      <c r="AR404" s="2" t="s">
        <v>5</v>
      </c>
      <c r="AS404" s="2" t="s">
        <v>46</v>
      </c>
      <c r="AT404" s="5" t="str">
        <f>HYPERLINK("http://catalog.hathitrust.org/Record/000150396","HathiTrust Record")</f>
        <v>HathiTrust Record</v>
      </c>
      <c r="AU404" s="5" t="str">
        <f>HYPERLINK("https://creighton-primo.hosted.exlibrisgroup.com/primo-explore/search?tab=default_tab&amp;search_scope=EVERYTHING&amp;vid=01CRU&amp;lang=en_US&amp;offset=0&amp;query=any,contains,991005204689702656","Catalog Record")</f>
        <v>Catalog Record</v>
      </c>
      <c r="AV404" s="5" t="str">
        <f>HYPERLINK("http://www.worldcat.org/oclc/8112114","WorldCat Record")</f>
        <v>WorldCat Record</v>
      </c>
      <c r="AW404" s="2" t="s">
        <v>5153</v>
      </c>
      <c r="AX404" s="2" t="s">
        <v>5154</v>
      </c>
      <c r="AY404" s="2" t="s">
        <v>5155</v>
      </c>
      <c r="AZ404" s="2" t="s">
        <v>5155</v>
      </c>
      <c r="BA404" s="2" t="s">
        <v>5156</v>
      </c>
      <c r="BB404" s="2" t="s">
        <v>20</v>
      </c>
      <c r="BD404" s="2" t="s">
        <v>5157</v>
      </c>
      <c r="BE404" s="2" t="s">
        <v>5177</v>
      </c>
      <c r="BF404" s="2" t="s">
        <v>5178</v>
      </c>
    </row>
    <row r="405" spans="1:58" ht="39.75" customHeight="1" x14ac:dyDescent="0.25">
      <c r="A405" s="7" t="s">
        <v>5</v>
      </c>
      <c r="B405" s="1" t="s">
        <v>0</v>
      </c>
      <c r="C405" s="1" t="s">
        <v>1</v>
      </c>
      <c r="D405" s="1" t="s">
        <v>5144</v>
      </c>
      <c r="E405" s="1" t="s">
        <v>5145</v>
      </c>
      <c r="F405" s="1" t="s">
        <v>5146</v>
      </c>
      <c r="G405" s="2" t="s">
        <v>2083</v>
      </c>
      <c r="H405" s="2" t="s">
        <v>46</v>
      </c>
      <c r="I405" s="2" t="s">
        <v>6</v>
      </c>
      <c r="J405" s="2" t="s">
        <v>5</v>
      </c>
      <c r="K405" s="2" t="s">
        <v>5</v>
      </c>
      <c r="L405" s="2" t="s">
        <v>7</v>
      </c>
      <c r="M405" s="1" t="s">
        <v>5148</v>
      </c>
      <c r="N405" s="1" t="s">
        <v>5149</v>
      </c>
      <c r="O405" s="2" t="s">
        <v>1515</v>
      </c>
      <c r="Q405" s="2" t="s">
        <v>1151</v>
      </c>
      <c r="R405" s="2" t="s">
        <v>1152</v>
      </c>
      <c r="T405" s="2" t="s">
        <v>13</v>
      </c>
      <c r="U405" s="3">
        <v>4</v>
      </c>
      <c r="V405" s="3">
        <v>13</v>
      </c>
      <c r="W405" s="4" t="s">
        <v>5179</v>
      </c>
      <c r="X405" s="4" t="s">
        <v>5150</v>
      </c>
      <c r="Y405" s="4" t="s">
        <v>5151</v>
      </c>
      <c r="Z405" s="4" t="s">
        <v>5152</v>
      </c>
      <c r="AA405" s="3">
        <v>323</v>
      </c>
      <c r="AB405" s="3">
        <v>284</v>
      </c>
      <c r="AC405" s="3">
        <v>298</v>
      </c>
      <c r="AD405" s="3">
        <v>2</v>
      </c>
      <c r="AE405" s="9">
        <v>2</v>
      </c>
      <c r="AF405" s="9">
        <v>20</v>
      </c>
      <c r="AG405" s="9">
        <v>21</v>
      </c>
      <c r="AH405" s="3">
        <v>7</v>
      </c>
      <c r="AI405" s="3">
        <v>7</v>
      </c>
      <c r="AJ405" s="3">
        <v>8</v>
      </c>
      <c r="AK405" s="3">
        <v>9</v>
      </c>
      <c r="AL405" s="3">
        <v>12</v>
      </c>
      <c r="AM405" s="3">
        <v>13</v>
      </c>
      <c r="AN405" s="3">
        <v>1</v>
      </c>
      <c r="AO405" s="3">
        <v>1</v>
      </c>
      <c r="AP405" s="3">
        <v>0</v>
      </c>
      <c r="AQ405" s="3">
        <v>0</v>
      </c>
      <c r="AR405" s="2" t="s">
        <v>5</v>
      </c>
      <c r="AS405" s="2" t="s">
        <v>46</v>
      </c>
      <c r="AT405" s="5" t="str">
        <f>HYPERLINK("http://catalog.hathitrust.org/Record/000150396","HathiTrust Record")</f>
        <v>HathiTrust Record</v>
      </c>
      <c r="AU405" s="5" t="str">
        <f>HYPERLINK("https://creighton-primo.hosted.exlibrisgroup.com/primo-explore/search?tab=default_tab&amp;search_scope=EVERYTHING&amp;vid=01CRU&amp;lang=en_US&amp;offset=0&amp;query=any,contains,991005204689702656","Catalog Record")</f>
        <v>Catalog Record</v>
      </c>
      <c r="AV405" s="5" t="str">
        <f>HYPERLINK("http://www.worldcat.org/oclc/8112114","WorldCat Record")</f>
        <v>WorldCat Record</v>
      </c>
      <c r="AW405" s="2" t="s">
        <v>5153</v>
      </c>
      <c r="AX405" s="2" t="s">
        <v>5154</v>
      </c>
      <c r="AY405" s="2" t="s">
        <v>5155</v>
      </c>
      <c r="AZ405" s="2" t="s">
        <v>5155</v>
      </c>
      <c r="BA405" s="2" t="s">
        <v>5156</v>
      </c>
      <c r="BB405" s="2" t="s">
        <v>20</v>
      </c>
      <c r="BD405" s="2" t="s">
        <v>5157</v>
      </c>
      <c r="BE405" s="2" t="s">
        <v>5180</v>
      </c>
      <c r="BF405" s="2" t="s">
        <v>5181</v>
      </c>
    </row>
    <row r="406" spans="1:58" ht="39.75" customHeight="1" x14ac:dyDescent="0.25">
      <c r="A406" s="7" t="s">
        <v>5</v>
      </c>
      <c r="B406" s="1" t="s">
        <v>0</v>
      </c>
      <c r="C406" s="1" t="s">
        <v>1</v>
      </c>
      <c r="D406" s="1" t="s">
        <v>5144</v>
      </c>
      <c r="E406" s="1" t="s">
        <v>5145</v>
      </c>
      <c r="F406" s="1" t="s">
        <v>5146</v>
      </c>
      <c r="G406" s="2" t="s">
        <v>5126</v>
      </c>
      <c r="H406" s="2" t="s">
        <v>46</v>
      </c>
      <c r="I406" s="2" t="s">
        <v>6</v>
      </c>
      <c r="J406" s="2" t="s">
        <v>5</v>
      </c>
      <c r="K406" s="2" t="s">
        <v>5</v>
      </c>
      <c r="L406" s="2" t="s">
        <v>7</v>
      </c>
      <c r="M406" s="1" t="s">
        <v>5148</v>
      </c>
      <c r="N406" s="1" t="s">
        <v>5149</v>
      </c>
      <c r="O406" s="2" t="s">
        <v>1515</v>
      </c>
      <c r="Q406" s="2" t="s">
        <v>1151</v>
      </c>
      <c r="R406" s="2" t="s">
        <v>1152</v>
      </c>
      <c r="T406" s="2" t="s">
        <v>13</v>
      </c>
      <c r="U406" s="3">
        <v>0</v>
      </c>
      <c r="V406" s="3">
        <v>13</v>
      </c>
      <c r="X406" s="4" t="s">
        <v>5150</v>
      </c>
      <c r="Y406" s="4" t="s">
        <v>5151</v>
      </c>
      <c r="Z406" s="4" t="s">
        <v>5152</v>
      </c>
      <c r="AA406" s="3">
        <v>323</v>
      </c>
      <c r="AB406" s="3">
        <v>284</v>
      </c>
      <c r="AC406" s="3">
        <v>298</v>
      </c>
      <c r="AD406" s="3">
        <v>2</v>
      </c>
      <c r="AE406" s="9">
        <v>2</v>
      </c>
      <c r="AF406" s="9">
        <v>20</v>
      </c>
      <c r="AG406" s="9">
        <v>21</v>
      </c>
      <c r="AH406" s="3">
        <v>7</v>
      </c>
      <c r="AI406" s="3">
        <v>7</v>
      </c>
      <c r="AJ406" s="3">
        <v>8</v>
      </c>
      <c r="AK406" s="3">
        <v>9</v>
      </c>
      <c r="AL406" s="3">
        <v>12</v>
      </c>
      <c r="AM406" s="3">
        <v>13</v>
      </c>
      <c r="AN406" s="3">
        <v>1</v>
      </c>
      <c r="AO406" s="3">
        <v>1</v>
      </c>
      <c r="AP406" s="3">
        <v>0</v>
      </c>
      <c r="AQ406" s="3">
        <v>0</v>
      </c>
      <c r="AR406" s="2" t="s">
        <v>5</v>
      </c>
      <c r="AS406" s="2" t="s">
        <v>46</v>
      </c>
      <c r="AT406" s="5" t="str">
        <f>HYPERLINK("http://catalog.hathitrust.org/Record/000150396","HathiTrust Record")</f>
        <v>HathiTrust Record</v>
      </c>
      <c r="AU406" s="5" t="str">
        <f>HYPERLINK("https://creighton-primo.hosted.exlibrisgroup.com/primo-explore/search?tab=default_tab&amp;search_scope=EVERYTHING&amp;vid=01CRU&amp;lang=en_US&amp;offset=0&amp;query=any,contains,991005204689702656","Catalog Record")</f>
        <v>Catalog Record</v>
      </c>
      <c r="AV406" s="5" t="str">
        <f>HYPERLINK("http://www.worldcat.org/oclc/8112114","WorldCat Record")</f>
        <v>WorldCat Record</v>
      </c>
      <c r="AW406" s="2" t="s">
        <v>5153</v>
      </c>
      <c r="AX406" s="2" t="s">
        <v>5154</v>
      </c>
      <c r="AY406" s="2" t="s">
        <v>5155</v>
      </c>
      <c r="AZ406" s="2" t="s">
        <v>5155</v>
      </c>
      <c r="BA406" s="2" t="s">
        <v>5156</v>
      </c>
      <c r="BB406" s="2" t="s">
        <v>20</v>
      </c>
      <c r="BD406" s="2" t="s">
        <v>5157</v>
      </c>
      <c r="BE406" s="2" t="s">
        <v>5182</v>
      </c>
      <c r="BF406" s="2" t="s">
        <v>5183</v>
      </c>
    </row>
    <row r="407" spans="1:58" ht="39.75" customHeight="1" x14ac:dyDescent="0.25">
      <c r="A407" s="7" t="s">
        <v>5</v>
      </c>
      <c r="B407" s="1" t="s">
        <v>0</v>
      </c>
      <c r="C407" s="1" t="s">
        <v>1</v>
      </c>
      <c r="D407" s="1" t="s">
        <v>5144</v>
      </c>
      <c r="E407" s="1" t="s">
        <v>5145</v>
      </c>
      <c r="F407" s="1" t="s">
        <v>5146</v>
      </c>
      <c r="G407" s="2" t="s">
        <v>2107</v>
      </c>
      <c r="H407" s="2" t="s">
        <v>46</v>
      </c>
      <c r="I407" s="2" t="s">
        <v>6</v>
      </c>
      <c r="J407" s="2" t="s">
        <v>5</v>
      </c>
      <c r="K407" s="2" t="s">
        <v>5</v>
      </c>
      <c r="L407" s="2" t="s">
        <v>7</v>
      </c>
      <c r="M407" s="1" t="s">
        <v>5148</v>
      </c>
      <c r="N407" s="1" t="s">
        <v>5149</v>
      </c>
      <c r="O407" s="2" t="s">
        <v>1515</v>
      </c>
      <c r="Q407" s="2" t="s">
        <v>1151</v>
      </c>
      <c r="R407" s="2" t="s">
        <v>1152</v>
      </c>
      <c r="T407" s="2" t="s">
        <v>13</v>
      </c>
      <c r="U407" s="3">
        <v>3</v>
      </c>
      <c r="V407" s="3">
        <v>13</v>
      </c>
      <c r="W407" s="4" t="s">
        <v>5184</v>
      </c>
      <c r="X407" s="4" t="s">
        <v>5150</v>
      </c>
      <c r="Y407" s="4" t="s">
        <v>5151</v>
      </c>
      <c r="Z407" s="4" t="s">
        <v>5152</v>
      </c>
      <c r="AA407" s="3">
        <v>323</v>
      </c>
      <c r="AB407" s="3">
        <v>284</v>
      </c>
      <c r="AC407" s="3">
        <v>298</v>
      </c>
      <c r="AD407" s="3">
        <v>2</v>
      </c>
      <c r="AE407" s="9">
        <v>2</v>
      </c>
      <c r="AF407" s="9">
        <v>20</v>
      </c>
      <c r="AG407" s="9">
        <v>21</v>
      </c>
      <c r="AH407" s="3">
        <v>7</v>
      </c>
      <c r="AI407" s="3">
        <v>7</v>
      </c>
      <c r="AJ407" s="3">
        <v>8</v>
      </c>
      <c r="AK407" s="3">
        <v>9</v>
      </c>
      <c r="AL407" s="3">
        <v>12</v>
      </c>
      <c r="AM407" s="3">
        <v>13</v>
      </c>
      <c r="AN407" s="3">
        <v>1</v>
      </c>
      <c r="AO407" s="3">
        <v>1</v>
      </c>
      <c r="AP407" s="3">
        <v>0</v>
      </c>
      <c r="AQ407" s="3">
        <v>0</v>
      </c>
      <c r="AR407" s="2" t="s">
        <v>5</v>
      </c>
      <c r="AS407" s="2" t="s">
        <v>46</v>
      </c>
      <c r="AT407" s="5" t="str">
        <f>HYPERLINK("http://catalog.hathitrust.org/Record/000150396","HathiTrust Record")</f>
        <v>HathiTrust Record</v>
      </c>
      <c r="AU407" s="5" t="str">
        <f>HYPERLINK("https://creighton-primo.hosted.exlibrisgroup.com/primo-explore/search?tab=default_tab&amp;search_scope=EVERYTHING&amp;vid=01CRU&amp;lang=en_US&amp;offset=0&amp;query=any,contains,991005204689702656","Catalog Record")</f>
        <v>Catalog Record</v>
      </c>
      <c r="AV407" s="5" t="str">
        <f>HYPERLINK("http://www.worldcat.org/oclc/8112114","WorldCat Record")</f>
        <v>WorldCat Record</v>
      </c>
      <c r="AW407" s="2" t="s">
        <v>5153</v>
      </c>
      <c r="AX407" s="2" t="s">
        <v>5154</v>
      </c>
      <c r="AY407" s="2" t="s">
        <v>5155</v>
      </c>
      <c r="AZ407" s="2" t="s">
        <v>5155</v>
      </c>
      <c r="BA407" s="2" t="s">
        <v>5156</v>
      </c>
      <c r="BB407" s="2" t="s">
        <v>20</v>
      </c>
      <c r="BD407" s="2" t="s">
        <v>5157</v>
      </c>
      <c r="BE407" s="2" t="s">
        <v>5185</v>
      </c>
      <c r="BF407" s="2" t="s">
        <v>5186</v>
      </c>
    </row>
    <row r="408" spans="1:58" ht="39.75" customHeight="1" x14ac:dyDescent="0.25">
      <c r="A408" s="7" t="s">
        <v>5</v>
      </c>
      <c r="B408" s="1" t="s">
        <v>0</v>
      </c>
      <c r="C408" s="1" t="s">
        <v>1</v>
      </c>
      <c r="D408" s="1" t="s">
        <v>5144</v>
      </c>
      <c r="E408" s="1" t="s">
        <v>5145</v>
      </c>
      <c r="F408" s="1" t="s">
        <v>5146</v>
      </c>
      <c r="G408" s="2" t="s">
        <v>5187</v>
      </c>
      <c r="H408" s="2" t="s">
        <v>46</v>
      </c>
      <c r="I408" s="2" t="s">
        <v>6</v>
      </c>
      <c r="J408" s="2" t="s">
        <v>5</v>
      </c>
      <c r="K408" s="2" t="s">
        <v>5</v>
      </c>
      <c r="L408" s="2" t="s">
        <v>7</v>
      </c>
      <c r="M408" s="1" t="s">
        <v>5148</v>
      </c>
      <c r="N408" s="1" t="s">
        <v>5149</v>
      </c>
      <c r="O408" s="2" t="s">
        <v>1515</v>
      </c>
      <c r="Q408" s="2" t="s">
        <v>1151</v>
      </c>
      <c r="R408" s="2" t="s">
        <v>1152</v>
      </c>
      <c r="T408" s="2" t="s">
        <v>13</v>
      </c>
      <c r="U408" s="3">
        <v>0</v>
      </c>
      <c r="V408" s="3">
        <v>13</v>
      </c>
      <c r="X408" s="4" t="s">
        <v>5150</v>
      </c>
      <c r="Y408" s="4" t="s">
        <v>5151</v>
      </c>
      <c r="Z408" s="4" t="s">
        <v>5152</v>
      </c>
      <c r="AA408" s="3">
        <v>323</v>
      </c>
      <c r="AB408" s="3">
        <v>284</v>
      </c>
      <c r="AC408" s="3">
        <v>298</v>
      </c>
      <c r="AD408" s="3">
        <v>2</v>
      </c>
      <c r="AE408" s="9">
        <v>2</v>
      </c>
      <c r="AF408" s="9">
        <v>20</v>
      </c>
      <c r="AG408" s="9">
        <v>21</v>
      </c>
      <c r="AH408" s="3">
        <v>7</v>
      </c>
      <c r="AI408" s="3">
        <v>7</v>
      </c>
      <c r="AJ408" s="3">
        <v>8</v>
      </c>
      <c r="AK408" s="3">
        <v>9</v>
      </c>
      <c r="AL408" s="3">
        <v>12</v>
      </c>
      <c r="AM408" s="3">
        <v>13</v>
      </c>
      <c r="AN408" s="3">
        <v>1</v>
      </c>
      <c r="AO408" s="3">
        <v>1</v>
      </c>
      <c r="AP408" s="3">
        <v>0</v>
      </c>
      <c r="AQ408" s="3">
        <v>0</v>
      </c>
      <c r="AR408" s="2" t="s">
        <v>5</v>
      </c>
      <c r="AS408" s="2" t="s">
        <v>46</v>
      </c>
      <c r="AT408" s="5" t="str">
        <f>HYPERLINK("http://catalog.hathitrust.org/Record/000150396","HathiTrust Record")</f>
        <v>HathiTrust Record</v>
      </c>
      <c r="AU408" s="5" t="str">
        <f>HYPERLINK("https://creighton-primo.hosted.exlibrisgroup.com/primo-explore/search?tab=default_tab&amp;search_scope=EVERYTHING&amp;vid=01CRU&amp;lang=en_US&amp;offset=0&amp;query=any,contains,991005204689702656","Catalog Record")</f>
        <v>Catalog Record</v>
      </c>
      <c r="AV408" s="5" t="str">
        <f>HYPERLINK("http://www.worldcat.org/oclc/8112114","WorldCat Record")</f>
        <v>WorldCat Record</v>
      </c>
      <c r="AW408" s="2" t="s">
        <v>5153</v>
      </c>
      <c r="AX408" s="2" t="s">
        <v>5154</v>
      </c>
      <c r="AY408" s="2" t="s">
        <v>5155</v>
      </c>
      <c r="AZ408" s="2" t="s">
        <v>5155</v>
      </c>
      <c r="BA408" s="2" t="s">
        <v>5156</v>
      </c>
      <c r="BB408" s="2" t="s">
        <v>20</v>
      </c>
      <c r="BD408" s="2" t="s">
        <v>5157</v>
      </c>
      <c r="BE408" s="2" t="s">
        <v>5188</v>
      </c>
      <c r="BF408" s="2" t="s">
        <v>5189</v>
      </c>
    </row>
    <row r="409" spans="1:58" ht="39.75" customHeight="1" x14ac:dyDescent="0.25">
      <c r="A409" s="7" t="s">
        <v>5</v>
      </c>
      <c r="B409" s="1" t="s">
        <v>0</v>
      </c>
      <c r="C409" s="1" t="s">
        <v>1</v>
      </c>
      <c r="D409" s="1" t="s">
        <v>5144</v>
      </c>
      <c r="E409" s="1" t="s">
        <v>5145</v>
      </c>
      <c r="F409" s="1" t="s">
        <v>5146</v>
      </c>
      <c r="G409" s="2" t="s">
        <v>5190</v>
      </c>
      <c r="H409" s="2" t="s">
        <v>46</v>
      </c>
      <c r="I409" s="2" t="s">
        <v>6</v>
      </c>
      <c r="J409" s="2" t="s">
        <v>5</v>
      </c>
      <c r="K409" s="2" t="s">
        <v>5</v>
      </c>
      <c r="L409" s="2" t="s">
        <v>7</v>
      </c>
      <c r="M409" s="1" t="s">
        <v>5148</v>
      </c>
      <c r="N409" s="1" t="s">
        <v>5149</v>
      </c>
      <c r="O409" s="2" t="s">
        <v>1515</v>
      </c>
      <c r="Q409" s="2" t="s">
        <v>1151</v>
      </c>
      <c r="R409" s="2" t="s">
        <v>1152</v>
      </c>
      <c r="T409" s="2" t="s">
        <v>13</v>
      </c>
      <c r="U409" s="3">
        <v>0</v>
      </c>
      <c r="V409" s="3">
        <v>13</v>
      </c>
      <c r="X409" s="4" t="s">
        <v>5150</v>
      </c>
      <c r="Y409" s="4" t="s">
        <v>5151</v>
      </c>
      <c r="Z409" s="4" t="s">
        <v>5152</v>
      </c>
      <c r="AA409" s="3">
        <v>323</v>
      </c>
      <c r="AB409" s="3">
        <v>284</v>
      </c>
      <c r="AC409" s="3">
        <v>298</v>
      </c>
      <c r="AD409" s="3">
        <v>2</v>
      </c>
      <c r="AE409" s="9">
        <v>2</v>
      </c>
      <c r="AF409" s="9">
        <v>20</v>
      </c>
      <c r="AG409" s="9">
        <v>21</v>
      </c>
      <c r="AH409" s="3">
        <v>7</v>
      </c>
      <c r="AI409" s="3">
        <v>7</v>
      </c>
      <c r="AJ409" s="3">
        <v>8</v>
      </c>
      <c r="AK409" s="3">
        <v>9</v>
      </c>
      <c r="AL409" s="3">
        <v>12</v>
      </c>
      <c r="AM409" s="3">
        <v>13</v>
      </c>
      <c r="AN409" s="3">
        <v>1</v>
      </c>
      <c r="AO409" s="3">
        <v>1</v>
      </c>
      <c r="AP409" s="3">
        <v>0</v>
      </c>
      <c r="AQ409" s="3">
        <v>0</v>
      </c>
      <c r="AR409" s="2" t="s">
        <v>5</v>
      </c>
      <c r="AS409" s="2" t="s">
        <v>46</v>
      </c>
      <c r="AT409" s="5" t="str">
        <f>HYPERLINK("http://catalog.hathitrust.org/Record/000150396","HathiTrust Record")</f>
        <v>HathiTrust Record</v>
      </c>
      <c r="AU409" s="5" t="str">
        <f>HYPERLINK("https://creighton-primo.hosted.exlibrisgroup.com/primo-explore/search?tab=default_tab&amp;search_scope=EVERYTHING&amp;vid=01CRU&amp;lang=en_US&amp;offset=0&amp;query=any,contains,991005204689702656","Catalog Record")</f>
        <v>Catalog Record</v>
      </c>
      <c r="AV409" s="5" t="str">
        <f>HYPERLINK("http://www.worldcat.org/oclc/8112114","WorldCat Record")</f>
        <v>WorldCat Record</v>
      </c>
      <c r="AW409" s="2" t="s">
        <v>5153</v>
      </c>
      <c r="AX409" s="2" t="s">
        <v>5154</v>
      </c>
      <c r="AY409" s="2" t="s">
        <v>5155</v>
      </c>
      <c r="AZ409" s="2" t="s">
        <v>5155</v>
      </c>
      <c r="BA409" s="2" t="s">
        <v>5156</v>
      </c>
      <c r="BB409" s="2" t="s">
        <v>20</v>
      </c>
      <c r="BD409" s="2" t="s">
        <v>5157</v>
      </c>
      <c r="BE409" s="2" t="s">
        <v>5191</v>
      </c>
      <c r="BF409" s="2" t="s">
        <v>5192</v>
      </c>
    </row>
    <row r="410" spans="1:58" ht="39.75" customHeight="1" x14ac:dyDescent="0.25">
      <c r="A410" s="7" t="s">
        <v>5</v>
      </c>
      <c r="B410" s="1" t="s">
        <v>0</v>
      </c>
      <c r="C410" s="1" t="s">
        <v>1</v>
      </c>
      <c r="D410" s="1" t="s">
        <v>5193</v>
      </c>
      <c r="E410" s="1" t="s">
        <v>5194</v>
      </c>
      <c r="F410" s="1" t="s">
        <v>5195</v>
      </c>
      <c r="G410" s="2" t="s">
        <v>2083</v>
      </c>
      <c r="H410" s="2" t="s">
        <v>5</v>
      </c>
      <c r="I410" s="2" t="s">
        <v>6</v>
      </c>
      <c r="J410" s="2" t="s">
        <v>5</v>
      </c>
      <c r="K410" s="2" t="s">
        <v>5</v>
      </c>
      <c r="L410" s="2" t="s">
        <v>7</v>
      </c>
      <c r="N410" s="1" t="s">
        <v>5196</v>
      </c>
      <c r="O410" s="2" t="s">
        <v>3941</v>
      </c>
      <c r="Q410" s="2" t="s">
        <v>60</v>
      </c>
      <c r="R410" s="2" t="s">
        <v>61</v>
      </c>
      <c r="S410" s="1" t="s">
        <v>5197</v>
      </c>
      <c r="T410" s="2" t="s">
        <v>13</v>
      </c>
      <c r="U410" s="3">
        <v>1</v>
      </c>
      <c r="V410" s="3">
        <v>1</v>
      </c>
      <c r="W410" s="4" t="s">
        <v>5198</v>
      </c>
      <c r="X410" s="4" t="s">
        <v>5198</v>
      </c>
      <c r="Y410" s="4" t="s">
        <v>5198</v>
      </c>
      <c r="Z410" s="4" t="s">
        <v>5198</v>
      </c>
      <c r="AA410" s="3">
        <v>171</v>
      </c>
      <c r="AB410" s="3">
        <v>148</v>
      </c>
      <c r="AC410" s="3">
        <v>182</v>
      </c>
      <c r="AD410" s="3">
        <v>2</v>
      </c>
      <c r="AE410" s="9">
        <v>2</v>
      </c>
      <c r="AF410" s="9">
        <v>9</v>
      </c>
      <c r="AG410" s="9">
        <v>10</v>
      </c>
      <c r="AH410" s="3">
        <v>3</v>
      </c>
      <c r="AI410" s="3">
        <v>3</v>
      </c>
      <c r="AJ410" s="3">
        <v>3</v>
      </c>
      <c r="AK410" s="3">
        <v>4</v>
      </c>
      <c r="AL410" s="3">
        <v>5</v>
      </c>
      <c r="AM410" s="3">
        <v>6</v>
      </c>
      <c r="AN410" s="3">
        <v>1</v>
      </c>
      <c r="AO410" s="3">
        <v>1</v>
      </c>
      <c r="AP410" s="3">
        <v>0</v>
      </c>
      <c r="AQ410" s="3">
        <v>0</v>
      </c>
      <c r="AR410" s="2" t="s">
        <v>5</v>
      </c>
      <c r="AS410" s="2" t="s">
        <v>5</v>
      </c>
      <c r="AU410" s="5" t="str">
        <f>HYPERLINK("https://creighton-primo.hosted.exlibrisgroup.com/primo-explore/search?tab=default_tab&amp;search_scope=EVERYTHING&amp;vid=01CRU&amp;lang=en_US&amp;offset=0&amp;query=any,contains,991003508049702656","Catalog Record")</f>
        <v>Catalog Record</v>
      </c>
      <c r="AV410" s="5" t="str">
        <f>HYPERLINK("http://www.worldcat.org/oclc/45223599","WorldCat Record")</f>
        <v>WorldCat Record</v>
      </c>
      <c r="AW410" s="2" t="s">
        <v>5199</v>
      </c>
      <c r="AX410" s="2" t="s">
        <v>5200</v>
      </c>
      <c r="AY410" s="2" t="s">
        <v>5201</v>
      </c>
      <c r="AZ410" s="2" t="s">
        <v>5201</v>
      </c>
      <c r="BA410" s="2" t="s">
        <v>5202</v>
      </c>
      <c r="BB410" s="2" t="s">
        <v>20</v>
      </c>
      <c r="BD410" s="2" t="s">
        <v>5203</v>
      </c>
      <c r="BE410" s="2" t="s">
        <v>5204</v>
      </c>
      <c r="BF410" s="2" t="s">
        <v>5205</v>
      </c>
    </row>
    <row r="411" spans="1:58" ht="39.75" customHeight="1" x14ac:dyDescent="0.25">
      <c r="A411" s="7" t="s">
        <v>5</v>
      </c>
      <c r="B411" s="1" t="s">
        <v>0</v>
      </c>
      <c r="C411" s="1" t="s">
        <v>1</v>
      </c>
      <c r="D411" s="1" t="s">
        <v>5206</v>
      </c>
      <c r="E411" s="1" t="s">
        <v>5207</v>
      </c>
      <c r="F411" s="1" t="s">
        <v>5208</v>
      </c>
      <c r="H411" s="2" t="s">
        <v>5</v>
      </c>
      <c r="I411" s="2" t="s">
        <v>6</v>
      </c>
      <c r="J411" s="2" t="s">
        <v>5</v>
      </c>
      <c r="K411" s="2" t="s">
        <v>5</v>
      </c>
      <c r="L411" s="2" t="s">
        <v>7</v>
      </c>
      <c r="M411" s="1" t="s">
        <v>5209</v>
      </c>
      <c r="N411" s="1" t="s">
        <v>5210</v>
      </c>
      <c r="O411" s="2" t="s">
        <v>901</v>
      </c>
      <c r="Q411" s="2" t="s">
        <v>60</v>
      </c>
      <c r="R411" s="2" t="s">
        <v>5211</v>
      </c>
      <c r="T411" s="2" t="s">
        <v>13</v>
      </c>
      <c r="U411" s="3">
        <v>4</v>
      </c>
      <c r="V411" s="3">
        <v>4</v>
      </c>
      <c r="W411" s="4" t="s">
        <v>5212</v>
      </c>
      <c r="X411" s="4" t="s">
        <v>5212</v>
      </c>
      <c r="Y411" s="4" t="s">
        <v>5213</v>
      </c>
      <c r="Z411" s="4" t="s">
        <v>5213</v>
      </c>
      <c r="AA411" s="3">
        <v>1441</v>
      </c>
      <c r="AB411" s="3">
        <v>1325</v>
      </c>
      <c r="AC411" s="3">
        <v>1641</v>
      </c>
      <c r="AD411" s="3">
        <v>14</v>
      </c>
      <c r="AE411" s="9">
        <v>16</v>
      </c>
      <c r="AF411" s="9">
        <v>44</v>
      </c>
      <c r="AG411" s="9">
        <v>53</v>
      </c>
      <c r="AH411" s="3">
        <v>19</v>
      </c>
      <c r="AI411" s="3">
        <v>24</v>
      </c>
      <c r="AJ411" s="3">
        <v>7</v>
      </c>
      <c r="AK411" s="3">
        <v>9</v>
      </c>
      <c r="AL411" s="3">
        <v>15</v>
      </c>
      <c r="AM411" s="3">
        <v>20</v>
      </c>
      <c r="AN411" s="3">
        <v>10</v>
      </c>
      <c r="AO411" s="3">
        <v>11</v>
      </c>
      <c r="AP411" s="3">
        <v>0</v>
      </c>
      <c r="AQ411" s="3">
        <v>0</v>
      </c>
      <c r="AR411" s="2" t="s">
        <v>5</v>
      </c>
      <c r="AS411" s="2" t="s">
        <v>5</v>
      </c>
      <c r="AU411" s="5" t="str">
        <f>HYPERLINK("https://creighton-primo.hosted.exlibrisgroup.com/primo-explore/search?tab=default_tab&amp;search_scope=EVERYTHING&amp;vid=01CRU&amp;lang=en_US&amp;offset=0&amp;query=any,contains,991002427379702656","Catalog Record")</f>
        <v>Catalog Record</v>
      </c>
      <c r="AV411" s="5" t="str">
        <f>HYPERLINK("http://www.worldcat.org/oclc/345356","WorldCat Record")</f>
        <v>WorldCat Record</v>
      </c>
      <c r="AW411" s="2" t="s">
        <v>5214</v>
      </c>
      <c r="AX411" s="2" t="s">
        <v>5215</v>
      </c>
      <c r="AY411" s="2" t="s">
        <v>5216</v>
      </c>
      <c r="AZ411" s="2" t="s">
        <v>5216</v>
      </c>
      <c r="BA411" s="2" t="s">
        <v>5217</v>
      </c>
      <c r="BB411" s="2" t="s">
        <v>20</v>
      </c>
      <c r="BE411" s="2" t="s">
        <v>5218</v>
      </c>
      <c r="BF411" s="2" t="s">
        <v>5219</v>
      </c>
    </row>
    <row r="412" spans="1:58" ht="39.75" customHeight="1" x14ac:dyDescent="0.25">
      <c r="A412" s="7" t="s">
        <v>5</v>
      </c>
      <c r="B412" s="1" t="s">
        <v>0</v>
      </c>
      <c r="C412" s="1" t="s">
        <v>1</v>
      </c>
      <c r="D412" s="1" t="s">
        <v>5220</v>
      </c>
      <c r="E412" s="1" t="s">
        <v>5221</v>
      </c>
      <c r="F412" s="1" t="s">
        <v>5222</v>
      </c>
      <c r="H412" s="2" t="s">
        <v>5</v>
      </c>
      <c r="I412" s="2" t="s">
        <v>6</v>
      </c>
      <c r="J412" s="2" t="s">
        <v>5</v>
      </c>
      <c r="K412" s="2" t="s">
        <v>5</v>
      </c>
      <c r="L412" s="2" t="s">
        <v>7</v>
      </c>
      <c r="M412" s="1" t="s">
        <v>5223</v>
      </c>
      <c r="N412" s="1" t="s">
        <v>5224</v>
      </c>
      <c r="O412" s="2" t="s">
        <v>1678</v>
      </c>
      <c r="Q412" s="2" t="s">
        <v>60</v>
      </c>
      <c r="R412" s="2" t="s">
        <v>61</v>
      </c>
      <c r="S412" s="1" t="s">
        <v>5225</v>
      </c>
      <c r="T412" s="2" t="s">
        <v>13</v>
      </c>
      <c r="U412" s="3">
        <v>1</v>
      </c>
      <c r="V412" s="3">
        <v>1</v>
      </c>
      <c r="W412" s="4" t="s">
        <v>5164</v>
      </c>
      <c r="X412" s="4" t="s">
        <v>5164</v>
      </c>
      <c r="Y412" s="4" t="s">
        <v>4707</v>
      </c>
      <c r="Z412" s="4" t="s">
        <v>4707</v>
      </c>
      <c r="AA412" s="3">
        <v>343</v>
      </c>
      <c r="AB412" s="3">
        <v>325</v>
      </c>
      <c r="AC412" s="3">
        <v>526</v>
      </c>
      <c r="AD412" s="3">
        <v>5</v>
      </c>
      <c r="AE412" s="9">
        <v>8</v>
      </c>
      <c r="AF412" s="9">
        <v>19</v>
      </c>
      <c r="AG412" s="9">
        <v>27</v>
      </c>
      <c r="AH412" s="3">
        <v>3</v>
      </c>
      <c r="AI412" s="3">
        <v>5</v>
      </c>
      <c r="AJ412" s="3">
        <v>5</v>
      </c>
      <c r="AK412" s="3">
        <v>5</v>
      </c>
      <c r="AL412" s="3">
        <v>12</v>
      </c>
      <c r="AM412" s="3">
        <v>15</v>
      </c>
      <c r="AN412" s="3">
        <v>4</v>
      </c>
      <c r="AO412" s="3">
        <v>7</v>
      </c>
      <c r="AP412" s="3">
        <v>0</v>
      </c>
      <c r="AQ412" s="3">
        <v>0</v>
      </c>
      <c r="AR412" s="2" t="s">
        <v>46</v>
      </c>
      <c r="AS412" s="2" t="s">
        <v>5</v>
      </c>
      <c r="AT412" s="5" t="str">
        <f>HYPERLINK("http://catalog.hathitrust.org/Record/001517854","HathiTrust Record")</f>
        <v>HathiTrust Record</v>
      </c>
      <c r="AU412" s="5" t="str">
        <f>HYPERLINK("https://creighton-primo.hosted.exlibrisgroup.com/primo-explore/search?tab=default_tab&amp;search_scope=EVERYTHING&amp;vid=01CRU&amp;lang=en_US&amp;offset=0&amp;query=any,contains,991003048589702656","Catalog Record")</f>
        <v>Catalog Record</v>
      </c>
      <c r="AV412" s="5" t="str">
        <f>HYPERLINK("http://www.worldcat.org/oclc/609074","WorldCat Record")</f>
        <v>WorldCat Record</v>
      </c>
      <c r="AW412" s="2" t="s">
        <v>5226</v>
      </c>
      <c r="AX412" s="2" t="s">
        <v>5227</v>
      </c>
      <c r="AY412" s="2" t="s">
        <v>5228</v>
      </c>
      <c r="AZ412" s="2" t="s">
        <v>5228</v>
      </c>
      <c r="BA412" s="2" t="s">
        <v>5229</v>
      </c>
      <c r="BB412" s="2" t="s">
        <v>20</v>
      </c>
      <c r="BE412" s="2" t="s">
        <v>5230</v>
      </c>
      <c r="BF412" s="2" t="s">
        <v>5231</v>
      </c>
    </row>
    <row r="413" spans="1:58" ht="39.75" customHeight="1" x14ac:dyDescent="0.25">
      <c r="A413" s="7" t="s">
        <v>5</v>
      </c>
      <c r="B413" s="1" t="s">
        <v>0</v>
      </c>
      <c r="C413" s="1" t="s">
        <v>1</v>
      </c>
      <c r="D413" s="1" t="s">
        <v>5232</v>
      </c>
      <c r="E413" s="1" t="s">
        <v>5233</v>
      </c>
      <c r="F413" s="1" t="s">
        <v>5234</v>
      </c>
      <c r="H413" s="2" t="s">
        <v>5</v>
      </c>
      <c r="I413" s="2" t="s">
        <v>6</v>
      </c>
      <c r="J413" s="2" t="s">
        <v>5</v>
      </c>
      <c r="K413" s="2" t="s">
        <v>5</v>
      </c>
      <c r="L413" s="2" t="s">
        <v>7</v>
      </c>
      <c r="M413" s="1" t="s">
        <v>5223</v>
      </c>
      <c r="N413" s="1" t="s">
        <v>5235</v>
      </c>
      <c r="O413" s="2" t="s">
        <v>5236</v>
      </c>
      <c r="Q413" s="2" t="s">
        <v>60</v>
      </c>
      <c r="R413" s="2" t="s">
        <v>193</v>
      </c>
      <c r="T413" s="2" t="s">
        <v>13</v>
      </c>
      <c r="U413" s="3">
        <v>2</v>
      </c>
      <c r="V413" s="3">
        <v>2</v>
      </c>
      <c r="W413" s="4" t="s">
        <v>3184</v>
      </c>
      <c r="X413" s="4" t="s">
        <v>3184</v>
      </c>
      <c r="Y413" s="4" t="s">
        <v>5237</v>
      </c>
      <c r="Z413" s="4" t="s">
        <v>5237</v>
      </c>
      <c r="AA413" s="3">
        <v>335</v>
      </c>
      <c r="AB413" s="3">
        <v>273</v>
      </c>
      <c r="AC413" s="3">
        <v>460</v>
      </c>
      <c r="AD413" s="3">
        <v>2</v>
      </c>
      <c r="AE413" s="9">
        <v>3</v>
      </c>
      <c r="AF413" s="9">
        <v>14</v>
      </c>
      <c r="AG413" s="9">
        <v>20</v>
      </c>
      <c r="AH413" s="3">
        <v>3</v>
      </c>
      <c r="AI413" s="3">
        <v>6</v>
      </c>
      <c r="AJ413" s="3">
        <v>4</v>
      </c>
      <c r="AK413" s="3">
        <v>6</v>
      </c>
      <c r="AL413" s="3">
        <v>10</v>
      </c>
      <c r="AM413" s="3">
        <v>12</v>
      </c>
      <c r="AN413" s="3">
        <v>1</v>
      </c>
      <c r="AO413" s="3">
        <v>2</v>
      </c>
      <c r="AP413" s="3">
        <v>0</v>
      </c>
      <c r="AQ413" s="3">
        <v>0</v>
      </c>
      <c r="AR413" s="2" t="s">
        <v>46</v>
      </c>
      <c r="AS413" s="2" t="s">
        <v>5</v>
      </c>
      <c r="AT413" s="5" t="str">
        <f>HYPERLINK("http://catalog.hathitrust.org/Record/001111541","HathiTrust Record")</f>
        <v>HathiTrust Record</v>
      </c>
      <c r="AU413" s="5" t="str">
        <f>HYPERLINK("https://creighton-primo.hosted.exlibrisgroup.com/primo-explore/search?tab=default_tab&amp;search_scope=EVERYTHING&amp;vid=01CRU&amp;lang=en_US&amp;offset=0&amp;query=any,contains,991003474289702656","Catalog Record")</f>
        <v>Catalog Record</v>
      </c>
      <c r="AV413" s="5" t="str">
        <f>HYPERLINK("http://www.worldcat.org/oclc/1017908","WorldCat Record")</f>
        <v>WorldCat Record</v>
      </c>
      <c r="AW413" s="2" t="s">
        <v>5238</v>
      </c>
      <c r="AX413" s="2" t="s">
        <v>5239</v>
      </c>
      <c r="AY413" s="2" t="s">
        <v>5240</v>
      </c>
      <c r="AZ413" s="2" t="s">
        <v>5240</v>
      </c>
      <c r="BA413" s="2" t="s">
        <v>5241</v>
      </c>
      <c r="BB413" s="2" t="s">
        <v>20</v>
      </c>
      <c r="BE413" s="2" t="s">
        <v>5242</v>
      </c>
      <c r="BF413" s="2" t="s">
        <v>5243</v>
      </c>
    </row>
    <row r="414" spans="1:58" ht="39.75" customHeight="1" x14ac:dyDescent="0.25">
      <c r="A414" s="7" t="s">
        <v>5</v>
      </c>
      <c r="B414" s="1" t="s">
        <v>0</v>
      </c>
      <c r="C414" s="1" t="s">
        <v>1</v>
      </c>
      <c r="D414" s="1" t="s">
        <v>5244</v>
      </c>
      <c r="E414" s="1" t="s">
        <v>5245</v>
      </c>
      <c r="F414" s="1" t="s">
        <v>5246</v>
      </c>
      <c r="H414" s="2" t="s">
        <v>5</v>
      </c>
      <c r="I414" s="2" t="s">
        <v>6</v>
      </c>
      <c r="J414" s="2" t="s">
        <v>5</v>
      </c>
      <c r="K414" s="2" t="s">
        <v>5</v>
      </c>
      <c r="L414" s="2" t="s">
        <v>7</v>
      </c>
      <c r="M414" s="1" t="s">
        <v>5247</v>
      </c>
      <c r="N414" s="1" t="s">
        <v>5248</v>
      </c>
      <c r="O414" s="2" t="s">
        <v>1418</v>
      </c>
      <c r="Q414" s="2" t="s">
        <v>60</v>
      </c>
      <c r="R414" s="2" t="s">
        <v>61</v>
      </c>
      <c r="T414" s="2" t="s">
        <v>13</v>
      </c>
      <c r="U414" s="3">
        <v>4</v>
      </c>
      <c r="V414" s="3">
        <v>4</v>
      </c>
      <c r="W414" s="4" t="s">
        <v>5164</v>
      </c>
      <c r="X414" s="4" t="s">
        <v>5164</v>
      </c>
      <c r="Y414" s="4" t="s">
        <v>4707</v>
      </c>
      <c r="Z414" s="4" t="s">
        <v>4707</v>
      </c>
      <c r="AA414" s="3">
        <v>194</v>
      </c>
      <c r="AB414" s="3">
        <v>175</v>
      </c>
      <c r="AC414" s="3">
        <v>573</v>
      </c>
      <c r="AD414" s="3">
        <v>2</v>
      </c>
      <c r="AE414" s="9">
        <v>6</v>
      </c>
      <c r="AF414" s="9">
        <v>8</v>
      </c>
      <c r="AG414" s="9">
        <v>30</v>
      </c>
      <c r="AH414" s="3">
        <v>1</v>
      </c>
      <c r="AI414" s="3">
        <v>8</v>
      </c>
      <c r="AJ414" s="3">
        <v>2</v>
      </c>
      <c r="AK414" s="3">
        <v>6</v>
      </c>
      <c r="AL414" s="3">
        <v>4</v>
      </c>
      <c r="AM414" s="3">
        <v>17</v>
      </c>
      <c r="AN414" s="3">
        <v>1</v>
      </c>
      <c r="AO414" s="3">
        <v>5</v>
      </c>
      <c r="AP414" s="3">
        <v>0</v>
      </c>
      <c r="AQ414" s="3">
        <v>0</v>
      </c>
      <c r="AR414" s="2" t="s">
        <v>5</v>
      </c>
      <c r="AS414" s="2" t="s">
        <v>46</v>
      </c>
      <c r="AT414" s="5" t="str">
        <f>HYPERLINK("http://catalog.hathitrust.org/Record/006710333","HathiTrust Record")</f>
        <v>HathiTrust Record</v>
      </c>
      <c r="AU414" s="5" t="str">
        <f>HYPERLINK("https://creighton-primo.hosted.exlibrisgroup.com/primo-explore/search?tab=default_tab&amp;search_scope=EVERYTHING&amp;vid=01CRU&amp;lang=en_US&amp;offset=0&amp;query=any,contains,991002773709702656","Catalog Record")</f>
        <v>Catalog Record</v>
      </c>
      <c r="AV414" s="5" t="str">
        <f>HYPERLINK("http://www.worldcat.org/oclc/437962","WorldCat Record")</f>
        <v>WorldCat Record</v>
      </c>
      <c r="AW414" s="2" t="s">
        <v>5249</v>
      </c>
      <c r="AX414" s="2" t="s">
        <v>5250</v>
      </c>
      <c r="AY414" s="2" t="s">
        <v>5251</v>
      </c>
      <c r="AZ414" s="2" t="s">
        <v>5251</v>
      </c>
      <c r="BA414" s="2" t="s">
        <v>5252</v>
      </c>
      <c r="BB414" s="2" t="s">
        <v>20</v>
      </c>
      <c r="BE414" s="2" t="s">
        <v>5253</v>
      </c>
      <c r="BF414" s="2" t="s">
        <v>5254</v>
      </c>
    </row>
    <row r="415" spans="1:58" ht="39.75" customHeight="1" x14ac:dyDescent="0.25">
      <c r="A415" s="7" t="s">
        <v>5</v>
      </c>
      <c r="B415" s="1" t="s">
        <v>0</v>
      </c>
      <c r="C415" s="1" t="s">
        <v>1</v>
      </c>
      <c r="D415" s="1" t="s">
        <v>5255</v>
      </c>
      <c r="E415" s="1" t="s">
        <v>5256</v>
      </c>
      <c r="F415" s="1" t="s">
        <v>5257</v>
      </c>
      <c r="G415" s="2" t="s">
        <v>5110</v>
      </c>
      <c r="H415" s="2" t="s">
        <v>46</v>
      </c>
      <c r="I415" s="2" t="s">
        <v>6</v>
      </c>
      <c r="J415" s="2" t="s">
        <v>5</v>
      </c>
      <c r="K415" s="2" t="s">
        <v>5</v>
      </c>
      <c r="L415" s="2" t="s">
        <v>7</v>
      </c>
      <c r="M415" s="1" t="s">
        <v>5258</v>
      </c>
      <c r="N415" s="1" t="s">
        <v>5259</v>
      </c>
      <c r="O415" s="2" t="s">
        <v>5260</v>
      </c>
      <c r="P415" s="1" t="s">
        <v>5261</v>
      </c>
      <c r="Q415" s="2" t="s">
        <v>60</v>
      </c>
      <c r="R415" s="2" t="s">
        <v>234</v>
      </c>
      <c r="T415" s="2" t="s">
        <v>13</v>
      </c>
      <c r="U415" s="3">
        <v>0</v>
      </c>
      <c r="V415" s="3">
        <v>3</v>
      </c>
      <c r="X415" s="4" t="s">
        <v>5262</v>
      </c>
      <c r="Y415" s="4" t="s">
        <v>4707</v>
      </c>
      <c r="Z415" s="4" t="s">
        <v>4707</v>
      </c>
      <c r="AA415" s="3">
        <v>112</v>
      </c>
      <c r="AB415" s="3">
        <v>105</v>
      </c>
      <c r="AC415" s="3">
        <v>309</v>
      </c>
      <c r="AD415" s="3">
        <v>2</v>
      </c>
      <c r="AE415" s="9">
        <v>2</v>
      </c>
      <c r="AF415" s="9">
        <v>7</v>
      </c>
      <c r="AG415" s="9">
        <v>14</v>
      </c>
      <c r="AH415" s="3">
        <v>0</v>
      </c>
      <c r="AI415" s="3">
        <v>1</v>
      </c>
      <c r="AJ415" s="3">
        <v>2</v>
      </c>
      <c r="AK415" s="3">
        <v>3</v>
      </c>
      <c r="AL415" s="3">
        <v>5</v>
      </c>
      <c r="AM415" s="3">
        <v>10</v>
      </c>
      <c r="AN415" s="3">
        <v>1</v>
      </c>
      <c r="AO415" s="3">
        <v>1</v>
      </c>
      <c r="AP415" s="3">
        <v>0</v>
      </c>
      <c r="AQ415" s="3">
        <v>0</v>
      </c>
      <c r="AR415" s="2" t="s">
        <v>46</v>
      </c>
      <c r="AS415" s="2" t="s">
        <v>5</v>
      </c>
      <c r="AT415" s="5" t="str">
        <f>HYPERLINK("http://catalog.hathitrust.org/Record/001518632","HathiTrust Record")</f>
        <v>HathiTrust Record</v>
      </c>
      <c r="AU415" s="5" t="str">
        <f>HYPERLINK("https://creighton-primo.hosted.exlibrisgroup.com/primo-explore/search?tab=default_tab&amp;search_scope=EVERYTHING&amp;vid=01CRU&amp;lang=en_US&amp;offset=0&amp;query=any,contains,991004184079702656","Catalog Record")</f>
        <v>Catalog Record</v>
      </c>
      <c r="AV415" s="5" t="str">
        <f>HYPERLINK("http://www.worldcat.org/oclc/2613481","WorldCat Record")</f>
        <v>WorldCat Record</v>
      </c>
      <c r="AW415" s="2" t="s">
        <v>5263</v>
      </c>
      <c r="AX415" s="2" t="s">
        <v>5264</v>
      </c>
      <c r="AY415" s="2" t="s">
        <v>5265</v>
      </c>
      <c r="AZ415" s="2" t="s">
        <v>5265</v>
      </c>
      <c r="BA415" s="2" t="s">
        <v>5266</v>
      </c>
      <c r="BB415" s="2" t="s">
        <v>20</v>
      </c>
      <c r="BE415" s="2" t="s">
        <v>5267</v>
      </c>
      <c r="BF415" s="2" t="s">
        <v>5268</v>
      </c>
    </row>
    <row r="416" spans="1:58" ht="39.75" customHeight="1" x14ac:dyDescent="0.25">
      <c r="A416" s="7" t="s">
        <v>5</v>
      </c>
      <c r="B416" s="1" t="s">
        <v>0</v>
      </c>
      <c r="C416" s="1" t="s">
        <v>1</v>
      </c>
      <c r="D416" s="1" t="s">
        <v>5255</v>
      </c>
      <c r="E416" s="1" t="s">
        <v>5256</v>
      </c>
      <c r="F416" s="1" t="s">
        <v>5257</v>
      </c>
      <c r="G416" s="2" t="s">
        <v>2083</v>
      </c>
      <c r="H416" s="2" t="s">
        <v>46</v>
      </c>
      <c r="I416" s="2" t="s">
        <v>6</v>
      </c>
      <c r="J416" s="2" t="s">
        <v>5</v>
      </c>
      <c r="K416" s="2" t="s">
        <v>5</v>
      </c>
      <c r="L416" s="2" t="s">
        <v>7</v>
      </c>
      <c r="M416" s="1" t="s">
        <v>5258</v>
      </c>
      <c r="N416" s="1" t="s">
        <v>5259</v>
      </c>
      <c r="O416" s="2" t="s">
        <v>5260</v>
      </c>
      <c r="P416" s="1" t="s">
        <v>5261</v>
      </c>
      <c r="Q416" s="2" t="s">
        <v>60</v>
      </c>
      <c r="R416" s="2" t="s">
        <v>234</v>
      </c>
      <c r="T416" s="2" t="s">
        <v>13</v>
      </c>
      <c r="U416" s="3">
        <v>3</v>
      </c>
      <c r="V416" s="3">
        <v>3</v>
      </c>
      <c r="W416" s="4" t="s">
        <v>5262</v>
      </c>
      <c r="X416" s="4" t="s">
        <v>5262</v>
      </c>
      <c r="Y416" s="4" t="s">
        <v>4707</v>
      </c>
      <c r="Z416" s="4" t="s">
        <v>4707</v>
      </c>
      <c r="AA416" s="3">
        <v>112</v>
      </c>
      <c r="AB416" s="3">
        <v>105</v>
      </c>
      <c r="AC416" s="3">
        <v>309</v>
      </c>
      <c r="AD416" s="3">
        <v>2</v>
      </c>
      <c r="AE416" s="9">
        <v>2</v>
      </c>
      <c r="AF416" s="9">
        <v>7</v>
      </c>
      <c r="AG416" s="9">
        <v>14</v>
      </c>
      <c r="AH416" s="3">
        <v>0</v>
      </c>
      <c r="AI416" s="3">
        <v>1</v>
      </c>
      <c r="AJ416" s="3">
        <v>2</v>
      </c>
      <c r="AK416" s="3">
        <v>3</v>
      </c>
      <c r="AL416" s="3">
        <v>5</v>
      </c>
      <c r="AM416" s="3">
        <v>10</v>
      </c>
      <c r="AN416" s="3">
        <v>1</v>
      </c>
      <c r="AO416" s="3">
        <v>1</v>
      </c>
      <c r="AP416" s="3">
        <v>0</v>
      </c>
      <c r="AQ416" s="3">
        <v>0</v>
      </c>
      <c r="AR416" s="2" t="s">
        <v>46</v>
      </c>
      <c r="AS416" s="2" t="s">
        <v>5</v>
      </c>
      <c r="AT416" s="5" t="str">
        <f>HYPERLINK("http://catalog.hathitrust.org/Record/001518632","HathiTrust Record")</f>
        <v>HathiTrust Record</v>
      </c>
      <c r="AU416" s="5" t="str">
        <f>HYPERLINK("https://creighton-primo.hosted.exlibrisgroup.com/primo-explore/search?tab=default_tab&amp;search_scope=EVERYTHING&amp;vid=01CRU&amp;lang=en_US&amp;offset=0&amp;query=any,contains,991004184079702656","Catalog Record")</f>
        <v>Catalog Record</v>
      </c>
      <c r="AV416" s="5" t="str">
        <f>HYPERLINK("http://www.worldcat.org/oclc/2613481","WorldCat Record")</f>
        <v>WorldCat Record</v>
      </c>
      <c r="AW416" s="2" t="s">
        <v>5263</v>
      </c>
      <c r="AX416" s="2" t="s">
        <v>5264</v>
      </c>
      <c r="AY416" s="2" t="s">
        <v>5265</v>
      </c>
      <c r="AZ416" s="2" t="s">
        <v>5265</v>
      </c>
      <c r="BA416" s="2" t="s">
        <v>5266</v>
      </c>
      <c r="BB416" s="2" t="s">
        <v>20</v>
      </c>
      <c r="BE416" s="2" t="s">
        <v>5269</v>
      </c>
      <c r="BF416" s="2" t="s">
        <v>5270</v>
      </c>
    </row>
    <row r="417" spans="1:58" ht="39.75" customHeight="1" x14ac:dyDescent="0.25">
      <c r="A417" s="7" t="s">
        <v>5</v>
      </c>
      <c r="B417" s="1" t="s">
        <v>0</v>
      </c>
      <c r="C417" s="1" t="s">
        <v>1</v>
      </c>
      <c r="D417" s="1" t="s">
        <v>5255</v>
      </c>
      <c r="E417" s="1" t="s">
        <v>5256</v>
      </c>
      <c r="F417" s="1" t="s">
        <v>5257</v>
      </c>
      <c r="G417" s="2" t="s">
        <v>2107</v>
      </c>
      <c r="H417" s="2" t="s">
        <v>46</v>
      </c>
      <c r="I417" s="2" t="s">
        <v>6</v>
      </c>
      <c r="J417" s="2" t="s">
        <v>5</v>
      </c>
      <c r="K417" s="2" t="s">
        <v>5</v>
      </c>
      <c r="L417" s="2" t="s">
        <v>7</v>
      </c>
      <c r="M417" s="1" t="s">
        <v>5258</v>
      </c>
      <c r="N417" s="1" t="s">
        <v>5259</v>
      </c>
      <c r="O417" s="2" t="s">
        <v>5260</v>
      </c>
      <c r="P417" s="1" t="s">
        <v>5261</v>
      </c>
      <c r="Q417" s="2" t="s">
        <v>60</v>
      </c>
      <c r="R417" s="2" t="s">
        <v>234</v>
      </c>
      <c r="T417" s="2" t="s">
        <v>13</v>
      </c>
      <c r="U417" s="3">
        <v>0</v>
      </c>
      <c r="V417" s="3">
        <v>3</v>
      </c>
      <c r="X417" s="4" t="s">
        <v>5262</v>
      </c>
      <c r="Y417" s="4" t="s">
        <v>4707</v>
      </c>
      <c r="Z417" s="4" t="s">
        <v>4707</v>
      </c>
      <c r="AA417" s="3">
        <v>112</v>
      </c>
      <c r="AB417" s="3">
        <v>105</v>
      </c>
      <c r="AC417" s="3">
        <v>309</v>
      </c>
      <c r="AD417" s="3">
        <v>2</v>
      </c>
      <c r="AE417" s="9">
        <v>2</v>
      </c>
      <c r="AF417" s="9">
        <v>7</v>
      </c>
      <c r="AG417" s="9">
        <v>14</v>
      </c>
      <c r="AH417" s="3">
        <v>0</v>
      </c>
      <c r="AI417" s="3">
        <v>1</v>
      </c>
      <c r="AJ417" s="3">
        <v>2</v>
      </c>
      <c r="AK417" s="3">
        <v>3</v>
      </c>
      <c r="AL417" s="3">
        <v>5</v>
      </c>
      <c r="AM417" s="3">
        <v>10</v>
      </c>
      <c r="AN417" s="3">
        <v>1</v>
      </c>
      <c r="AO417" s="3">
        <v>1</v>
      </c>
      <c r="AP417" s="3">
        <v>0</v>
      </c>
      <c r="AQ417" s="3">
        <v>0</v>
      </c>
      <c r="AR417" s="2" t="s">
        <v>46</v>
      </c>
      <c r="AS417" s="2" t="s">
        <v>5</v>
      </c>
      <c r="AT417" s="5" t="str">
        <f>HYPERLINK("http://catalog.hathitrust.org/Record/001518632","HathiTrust Record")</f>
        <v>HathiTrust Record</v>
      </c>
      <c r="AU417" s="5" t="str">
        <f>HYPERLINK("https://creighton-primo.hosted.exlibrisgroup.com/primo-explore/search?tab=default_tab&amp;search_scope=EVERYTHING&amp;vid=01CRU&amp;lang=en_US&amp;offset=0&amp;query=any,contains,991004184079702656","Catalog Record")</f>
        <v>Catalog Record</v>
      </c>
      <c r="AV417" s="5" t="str">
        <f>HYPERLINK("http://www.worldcat.org/oclc/2613481","WorldCat Record")</f>
        <v>WorldCat Record</v>
      </c>
      <c r="AW417" s="2" t="s">
        <v>5263</v>
      </c>
      <c r="AX417" s="2" t="s">
        <v>5264</v>
      </c>
      <c r="AY417" s="2" t="s">
        <v>5265</v>
      </c>
      <c r="AZ417" s="2" t="s">
        <v>5265</v>
      </c>
      <c r="BA417" s="2" t="s">
        <v>5266</v>
      </c>
      <c r="BB417" s="2" t="s">
        <v>20</v>
      </c>
      <c r="BE417" s="2" t="s">
        <v>5271</v>
      </c>
      <c r="BF417" s="2" t="s">
        <v>5272</v>
      </c>
    </row>
    <row r="418" spans="1:58" ht="39.75" customHeight="1" x14ac:dyDescent="0.25">
      <c r="A418" s="7" t="s">
        <v>5</v>
      </c>
      <c r="B418" s="1" t="s">
        <v>0</v>
      </c>
      <c r="C418" s="1" t="s">
        <v>1</v>
      </c>
      <c r="D418" s="1" t="s">
        <v>5273</v>
      </c>
      <c r="E418" s="1" t="s">
        <v>5274</v>
      </c>
      <c r="F418" s="1" t="s">
        <v>5275</v>
      </c>
      <c r="H418" s="2" t="s">
        <v>5</v>
      </c>
      <c r="I418" s="2" t="s">
        <v>6</v>
      </c>
      <c r="J418" s="2" t="s">
        <v>5</v>
      </c>
      <c r="K418" s="2" t="s">
        <v>5</v>
      </c>
      <c r="L418" s="2" t="s">
        <v>7</v>
      </c>
      <c r="M418" s="1" t="s">
        <v>5276</v>
      </c>
      <c r="N418" s="1" t="s">
        <v>5277</v>
      </c>
      <c r="O418" s="2" t="s">
        <v>276</v>
      </c>
      <c r="Q418" s="2" t="s">
        <v>1151</v>
      </c>
      <c r="R418" s="2" t="s">
        <v>1152</v>
      </c>
      <c r="S418" s="1" t="s">
        <v>5278</v>
      </c>
      <c r="T418" s="2" t="s">
        <v>13</v>
      </c>
      <c r="U418" s="3">
        <v>2</v>
      </c>
      <c r="V418" s="3">
        <v>2</v>
      </c>
      <c r="W418" s="4" t="s">
        <v>5086</v>
      </c>
      <c r="X418" s="4" t="s">
        <v>5086</v>
      </c>
      <c r="Y418" s="4" t="s">
        <v>5086</v>
      </c>
      <c r="Z418" s="4" t="s">
        <v>5086</v>
      </c>
      <c r="AA418" s="3">
        <v>284</v>
      </c>
      <c r="AB418" s="3">
        <v>202</v>
      </c>
      <c r="AC418" s="3">
        <v>203</v>
      </c>
      <c r="AD418" s="3">
        <v>3</v>
      </c>
      <c r="AE418" s="9">
        <v>3</v>
      </c>
      <c r="AF418" s="9">
        <v>12</v>
      </c>
      <c r="AG418" s="9">
        <v>12</v>
      </c>
      <c r="AH418" s="3">
        <v>1</v>
      </c>
      <c r="AI418" s="3">
        <v>1</v>
      </c>
      <c r="AJ418" s="3">
        <v>5</v>
      </c>
      <c r="AK418" s="3">
        <v>5</v>
      </c>
      <c r="AL418" s="3">
        <v>7</v>
      </c>
      <c r="AM418" s="3">
        <v>7</v>
      </c>
      <c r="AN418" s="3">
        <v>2</v>
      </c>
      <c r="AO418" s="3">
        <v>2</v>
      </c>
      <c r="AP418" s="3">
        <v>0</v>
      </c>
      <c r="AQ418" s="3">
        <v>0</v>
      </c>
      <c r="AR418" s="2" t="s">
        <v>5</v>
      </c>
      <c r="AS418" s="2" t="s">
        <v>46</v>
      </c>
      <c r="AT418" s="5" t="str">
        <f>HYPERLINK("http://catalog.hathitrust.org/Record/000740127","HathiTrust Record")</f>
        <v>HathiTrust Record</v>
      </c>
      <c r="AU418" s="5" t="str">
        <f>HYPERLINK("https://creighton-primo.hosted.exlibrisgroup.com/primo-explore/search?tab=default_tab&amp;search_scope=EVERYTHING&amp;vid=01CRU&amp;lang=en_US&amp;offset=0&amp;query=any,contains,991004523709702656","Catalog Record")</f>
        <v>Catalog Record</v>
      </c>
      <c r="AV418" s="5" t="str">
        <f>HYPERLINK("http://www.worldcat.org/oclc/2596313","WorldCat Record")</f>
        <v>WorldCat Record</v>
      </c>
      <c r="AW418" s="2" t="s">
        <v>5279</v>
      </c>
      <c r="AX418" s="2" t="s">
        <v>5280</v>
      </c>
      <c r="AY418" s="2" t="s">
        <v>5281</v>
      </c>
      <c r="AZ418" s="2" t="s">
        <v>5281</v>
      </c>
      <c r="BA418" s="2" t="s">
        <v>5282</v>
      </c>
      <c r="BB418" s="2" t="s">
        <v>20</v>
      </c>
      <c r="BD418" s="2" t="s">
        <v>5283</v>
      </c>
      <c r="BE418" s="2" t="s">
        <v>5284</v>
      </c>
      <c r="BF418" s="2" t="s">
        <v>5285</v>
      </c>
    </row>
    <row r="419" spans="1:58" ht="39.75" customHeight="1" x14ac:dyDescent="0.25">
      <c r="A419" s="7" t="s">
        <v>5</v>
      </c>
      <c r="B419" s="1" t="s">
        <v>0</v>
      </c>
      <c r="C419" s="1" t="s">
        <v>1</v>
      </c>
      <c r="D419" s="1" t="s">
        <v>5286</v>
      </c>
      <c r="E419" s="1" t="s">
        <v>5287</v>
      </c>
      <c r="F419" s="1" t="s">
        <v>5288</v>
      </c>
      <c r="H419" s="2" t="s">
        <v>5</v>
      </c>
      <c r="I419" s="2" t="s">
        <v>6</v>
      </c>
      <c r="J419" s="2" t="s">
        <v>5</v>
      </c>
      <c r="K419" s="2" t="s">
        <v>5</v>
      </c>
      <c r="L419" s="2" t="s">
        <v>7</v>
      </c>
      <c r="M419" s="1" t="s">
        <v>5289</v>
      </c>
      <c r="N419" s="1" t="s">
        <v>5290</v>
      </c>
      <c r="O419" s="2" t="s">
        <v>392</v>
      </c>
      <c r="P419" s="1" t="s">
        <v>5291</v>
      </c>
      <c r="Q419" s="2" t="s">
        <v>1151</v>
      </c>
      <c r="R419" s="2" t="s">
        <v>234</v>
      </c>
      <c r="S419" s="1" t="s">
        <v>5292</v>
      </c>
      <c r="T419" s="2" t="s">
        <v>13</v>
      </c>
      <c r="U419" s="3">
        <v>0</v>
      </c>
      <c r="V419" s="3">
        <v>0</v>
      </c>
      <c r="W419" s="4" t="s">
        <v>5293</v>
      </c>
      <c r="X419" s="4" t="s">
        <v>5293</v>
      </c>
      <c r="Y419" s="4" t="s">
        <v>4707</v>
      </c>
      <c r="Z419" s="4" t="s">
        <v>4707</v>
      </c>
      <c r="AA419" s="3">
        <v>134</v>
      </c>
      <c r="AB419" s="3">
        <v>93</v>
      </c>
      <c r="AC419" s="3">
        <v>95</v>
      </c>
      <c r="AD419" s="3">
        <v>1</v>
      </c>
      <c r="AE419" s="9">
        <v>1</v>
      </c>
      <c r="AF419" s="9">
        <v>2</v>
      </c>
      <c r="AG419" s="9">
        <v>2</v>
      </c>
      <c r="AH419" s="3">
        <v>0</v>
      </c>
      <c r="AI419" s="3">
        <v>0</v>
      </c>
      <c r="AJ419" s="3">
        <v>2</v>
      </c>
      <c r="AK419" s="3">
        <v>2</v>
      </c>
      <c r="AL419" s="3">
        <v>1</v>
      </c>
      <c r="AM419" s="3">
        <v>1</v>
      </c>
      <c r="AN419" s="3">
        <v>0</v>
      </c>
      <c r="AO419" s="3">
        <v>0</v>
      </c>
      <c r="AP419" s="3">
        <v>0</v>
      </c>
      <c r="AQ419" s="3">
        <v>0</v>
      </c>
      <c r="AR419" s="2" t="s">
        <v>5</v>
      </c>
      <c r="AS419" s="2" t="s">
        <v>46</v>
      </c>
      <c r="AT419" s="5" t="str">
        <f>HYPERLINK("http://catalog.hathitrust.org/Record/001048489","HathiTrust Record")</f>
        <v>HathiTrust Record</v>
      </c>
      <c r="AU419" s="5" t="str">
        <f>HYPERLINK("https://creighton-primo.hosted.exlibrisgroup.com/primo-explore/search?tab=default_tab&amp;search_scope=EVERYTHING&amp;vid=01CRU&amp;lang=en_US&amp;offset=0&amp;query=any,contains,991003191529702656","Catalog Record")</f>
        <v>Catalog Record</v>
      </c>
      <c r="AV419" s="5" t="str">
        <f>HYPERLINK("http://www.worldcat.org/oclc/716759","WorldCat Record")</f>
        <v>WorldCat Record</v>
      </c>
      <c r="AW419" s="2" t="s">
        <v>5294</v>
      </c>
      <c r="AX419" s="2" t="s">
        <v>5295</v>
      </c>
      <c r="AY419" s="2" t="s">
        <v>5296</v>
      </c>
      <c r="AZ419" s="2" t="s">
        <v>5296</v>
      </c>
      <c r="BA419" s="2" t="s">
        <v>5297</v>
      </c>
      <c r="BB419" s="2" t="s">
        <v>20</v>
      </c>
      <c r="BE419" s="2" t="s">
        <v>5298</v>
      </c>
      <c r="BF419" s="2" t="s">
        <v>5299</v>
      </c>
    </row>
    <row r="420" spans="1:58" ht="39.75" customHeight="1" x14ac:dyDescent="0.25">
      <c r="A420" s="7" t="s">
        <v>5</v>
      </c>
      <c r="B420" s="1" t="s">
        <v>0</v>
      </c>
      <c r="C420" s="1" t="s">
        <v>1</v>
      </c>
      <c r="D420" s="1" t="s">
        <v>5300</v>
      </c>
      <c r="E420" s="1" t="s">
        <v>5301</v>
      </c>
      <c r="F420" s="1" t="s">
        <v>5302</v>
      </c>
      <c r="H420" s="2" t="s">
        <v>5</v>
      </c>
      <c r="I420" s="2" t="s">
        <v>6</v>
      </c>
      <c r="J420" s="2" t="s">
        <v>5</v>
      </c>
      <c r="K420" s="2" t="s">
        <v>5</v>
      </c>
      <c r="L420" s="2" t="s">
        <v>7</v>
      </c>
      <c r="M420" s="1" t="s">
        <v>5303</v>
      </c>
      <c r="N420" s="1" t="s">
        <v>5304</v>
      </c>
      <c r="O420" s="2" t="s">
        <v>3817</v>
      </c>
      <c r="Q420" s="2" t="s">
        <v>1151</v>
      </c>
      <c r="R420" s="2" t="s">
        <v>1152</v>
      </c>
      <c r="S420" s="1" t="s">
        <v>5305</v>
      </c>
      <c r="T420" s="2" t="s">
        <v>13</v>
      </c>
      <c r="U420" s="3">
        <v>1</v>
      </c>
      <c r="V420" s="3">
        <v>1</v>
      </c>
      <c r="W420" s="4" t="s">
        <v>367</v>
      </c>
      <c r="X420" s="4" t="s">
        <v>367</v>
      </c>
      <c r="Y420" s="4" t="s">
        <v>367</v>
      </c>
      <c r="Z420" s="4" t="s">
        <v>367</v>
      </c>
      <c r="AA420" s="3">
        <v>103</v>
      </c>
      <c r="AB420" s="3">
        <v>80</v>
      </c>
      <c r="AC420" s="3">
        <v>93</v>
      </c>
      <c r="AD420" s="3">
        <v>1</v>
      </c>
      <c r="AE420" s="9">
        <v>1</v>
      </c>
      <c r="AF420" s="9">
        <v>1</v>
      </c>
      <c r="AG420" s="9">
        <v>2</v>
      </c>
      <c r="AH420" s="3">
        <v>0</v>
      </c>
      <c r="AI420" s="3">
        <v>0</v>
      </c>
      <c r="AJ420" s="3">
        <v>1</v>
      </c>
      <c r="AK420" s="3">
        <v>2</v>
      </c>
      <c r="AL420" s="3">
        <v>0</v>
      </c>
      <c r="AM420" s="3">
        <v>1</v>
      </c>
      <c r="AN420" s="3">
        <v>0</v>
      </c>
      <c r="AO420" s="3">
        <v>0</v>
      </c>
      <c r="AP420" s="3">
        <v>0</v>
      </c>
      <c r="AQ420" s="3">
        <v>0</v>
      </c>
      <c r="AR420" s="2" t="s">
        <v>5</v>
      </c>
      <c r="AS420" s="2" t="s">
        <v>46</v>
      </c>
      <c r="AT420" s="5" t="str">
        <f>HYPERLINK("http://catalog.hathitrust.org/Record/003188346","HathiTrust Record")</f>
        <v>HathiTrust Record</v>
      </c>
      <c r="AU420" s="5" t="str">
        <f>HYPERLINK("https://creighton-primo.hosted.exlibrisgroup.com/primo-explore/search?tab=default_tab&amp;search_scope=EVERYTHING&amp;vid=01CRU&amp;lang=en_US&amp;offset=0&amp;query=any,contains,991004345699702656","Catalog Record")</f>
        <v>Catalog Record</v>
      </c>
      <c r="AV420" s="5" t="str">
        <f>HYPERLINK("http://www.worldcat.org/oclc/36837627","WorldCat Record")</f>
        <v>WorldCat Record</v>
      </c>
      <c r="AW420" s="2" t="s">
        <v>5306</v>
      </c>
      <c r="AX420" s="2" t="s">
        <v>5307</v>
      </c>
      <c r="AY420" s="2" t="s">
        <v>5308</v>
      </c>
      <c r="AZ420" s="2" t="s">
        <v>5308</v>
      </c>
      <c r="BA420" s="2" t="s">
        <v>5309</v>
      </c>
      <c r="BB420" s="2" t="s">
        <v>20</v>
      </c>
      <c r="BD420" s="2" t="s">
        <v>5310</v>
      </c>
      <c r="BE420" s="2" t="s">
        <v>5311</v>
      </c>
      <c r="BF420" s="2" t="s">
        <v>5312</v>
      </c>
    </row>
    <row r="421" spans="1:58" ht="39.75" customHeight="1" x14ac:dyDescent="0.25">
      <c r="A421" s="7" t="s">
        <v>5</v>
      </c>
      <c r="B421" s="1" t="s">
        <v>0</v>
      </c>
      <c r="C421" s="1" t="s">
        <v>1</v>
      </c>
      <c r="D421" s="1" t="s">
        <v>5313</v>
      </c>
      <c r="E421" s="1" t="s">
        <v>5314</v>
      </c>
      <c r="F421" s="1" t="s">
        <v>5315</v>
      </c>
      <c r="H421" s="2" t="s">
        <v>5</v>
      </c>
      <c r="I421" s="2" t="s">
        <v>6</v>
      </c>
      <c r="J421" s="2" t="s">
        <v>5</v>
      </c>
      <c r="K421" s="2" t="s">
        <v>5</v>
      </c>
      <c r="L421" s="2" t="s">
        <v>7</v>
      </c>
      <c r="M421" s="1" t="s">
        <v>5316</v>
      </c>
      <c r="N421" s="1" t="s">
        <v>5317</v>
      </c>
      <c r="O421" s="2" t="s">
        <v>42</v>
      </c>
      <c r="Q421" s="2" t="s">
        <v>1151</v>
      </c>
      <c r="R421" s="2" t="s">
        <v>1152</v>
      </c>
      <c r="S421" s="1" t="s">
        <v>5318</v>
      </c>
      <c r="T421" s="2" t="s">
        <v>13</v>
      </c>
      <c r="U421" s="3">
        <v>1</v>
      </c>
      <c r="V421" s="3">
        <v>1</v>
      </c>
      <c r="W421" s="4" t="s">
        <v>5137</v>
      </c>
      <c r="X421" s="4" t="s">
        <v>5137</v>
      </c>
      <c r="Y421" s="4" t="s">
        <v>5137</v>
      </c>
      <c r="Z421" s="4" t="s">
        <v>5137</v>
      </c>
      <c r="AA421" s="3">
        <v>24</v>
      </c>
      <c r="AB421" s="3">
        <v>19</v>
      </c>
      <c r="AC421" s="3">
        <v>21</v>
      </c>
      <c r="AD421" s="3">
        <v>1</v>
      </c>
      <c r="AE421" s="9">
        <v>1</v>
      </c>
      <c r="AF421" s="9">
        <v>1</v>
      </c>
      <c r="AG421" s="9">
        <v>1</v>
      </c>
      <c r="AH421" s="3">
        <v>0</v>
      </c>
      <c r="AI421" s="3">
        <v>0</v>
      </c>
      <c r="AJ421" s="3">
        <v>0</v>
      </c>
      <c r="AK421" s="3">
        <v>0</v>
      </c>
      <c r="AL421" s="3">
        <v>1</v>
      </c>
      <c r="AM421" s="3">
        <v>1</v>
      </c>
      <c r="AN421" s="3">
        <v>0</v>
      </c>
      <c r="AO421" s="3">
        <v>0</v>
      </c>
      <c r="AP421" s="3">
        <v>0</v>
      </c>
      <c r="AQ421" s="3">
        <v>0</v>
      </c>
      <c r="AR421" s="2" t="s">
        <v>5</v>
      </c>
      <c r="AS421" s="2" t="s">
        <v>46</v>
      </c>
      <c r="AT421" s="5" t="str">
        <f>HYPERLINK("http://catalog.hathitrust.org/Record/007968135","HathiTrust Record")</f>
        <v>HathiTrust Record</v>
      </c>
      <c r="AU421" s="5" t="str">
        <f>HYPERLINK("https://creighton-primo.hosted.exlibrisgroup.com/primo-explore/search?tab=default_tab&amp;search_scope=EVERYTHING&amp;vid=01CRU&amp;lang=en_US&amp;offset=0&amp;query=any,contains,991004509649702656","Catalog Record")</f>
        <v>Catalog Record</v>
      </c>
      <c r="AV421" s="5" t="str">
        <f>HYPERLINK("http://www.worldcat.org/oclc/29578027","WorldCat Record")</f>
        <v>WorldCat Record</v>
      </c>
      <c r="AW421" s="2" t="s">
        <v>5319</v>
      </c>
      <c r="AX421" s="2" t="s">
        <v>5320</v>
      </c>
      <c r="AY421" s="2" t="s">
        <v>5321</v>
      </c>
      <c r="AZ421" s="2" t="s">
        <v>5321</v>
      </c>
      <c r="BA421" s="2" t="s">
        <v>5322</v>
      </c>
      <c r="BB421" s="2" t="s">
        <v>20</v>
      </c>
      <c r="BD421" s="2" t="s">
        <v>5323</v>
      </c>
      <c r="BE421" s="2" t="s">
        <v>5324</v>
      </c>
      <c r="BF421" s="2" t="s">
        <v>5325</v>
      </c>
    </row>
    <row r="422" spans="1:58" ht="39.75" customHeight="1" x14ac:dyDescent="0.25">
      <c r="A422" s="7" t="s">
        <v>5</v>
      </c>
      <c r="B422" s="1" t="s">
        <v>0</v>
      </c>
      <c r="C422" s="1" t="s">
        <v>1</v>
      </c>
      <c r="D422" s="1" t="s">
        <v>5326</v>
      </c>
      <c r="E422" s="1" t="s">
        <v>5327</v>
      </c>
      <c r="F422" s="1" t="s">
        <v>5328</v>
      </c>
      <c r="H422" s="2" t="s">
        <v>5</v>
      </c>
      <c r="I422" s="2" t="s">
        <v>6</v>
      </c>
      <c r="J422" s="2" t="s">
        <v>5</v>
      </c>
      <c r="K422" s="2" t="s">
        <v>5</v>
      </c>
      <c r="L422" s="2" t="s">
        <v>7</v>
      </c>
      <c r="M422" s="1" t="s">
        <v>5329</v>
      </c>
      <c r="N422" s="1" t="s">
        <v>5330</v>
      </c>
      <c r="O422" s="2" t="s">
        <v>554</v>
      </c>
      <c r="Q422" s="2" t="s">
        <v>1151</v>
      </c>
      <c r="R422" s="2" t="s">
        <v>1152</v>
      </c>
      <c r="S422" s="1" t="s">
        <v>5331</v>
      </c>
      <c r="T422" s="2" t="s">
        <v>13</v>
      </c>
      <c r="U422" s="3">
        <v>2</v>
      </c>
      <c r="V422" s="3">
        <v>2</v>
      </c>
      <c r="W422" s="4" t="s">
        <v>5332</v>
      </c>
      <c r="X422" s="4" t="s">
        <v>5332</v>
      </c>
      <c r="Y422" s="4" t="s">
        <v>5333</v>
      </c>
      <c r="Z422" s="4" t="s">
        <v>5333</v>
      </c>
      <c r="AA422" s="3">
        <v>163</v>
      </c>
      <c r="AB422" s="3">
        <v>122</v>
      </c>
      <c r="AC422" s="3">
        <v>138</v>
      </c>
      <c r="AD422" s="3">
        <v>2</v>
      </c>
      <c r="AE422" s="9">
        <v>2</v>
      </c>
      <c r="AF422" s="9">
        <v>5</v>
      </c>
      <c r="AG422" s="9">
        <v>6</v>
      </c>
      <c r="AH422" s="3">
        <v>0</v>
      </c>
      <c r="AI422" s="3">
        <v>1</v>
      </c>
      <c r="AJ422" s="3">
        <v>1</v>
      </c>
      <c r="AK422" s="3">
        <v>1</v>
      </c>
      <c r="AL422" s="3">
        <v>3</v>
      </c>
      <c r="AM422" s="3">
        <v>4</v>
      </c>
      <c r="AN422" s="3">
        <v>1</v>
      </c>
      <c r="AO422" s="3">
        <v>1</v>
      </c>
      <c r="AP422" s="3">
        <v>0</v>
      </c>
      <c r="AQ422" s="3">
        <v>0</v>
      </c>
      <c r="AR422" s="2" t="s">
        <v>5</v>
      </c>
      <c r="AS422" s="2" t="s">
        <v>46</v>
      </c>
      <c r="AT422" s="5" t="str">
        <f>HYPERLINK("http://catalog.hathitrust.org/Record/000837866","HathiTrust Record")</f>
        <v>HathiTrust Record</v>
      </c>
      <c r="AU422" s="5" t="str">
        <f>HYPERLINK("https://creighton-primo.hosted.exlibrisgroup.com/primo-explore/search?tab=default_tab&amp;search_scope=EVERYTHING&amp;vid=01CRU&amp;lang=en_US&amp;offset=0&amp;query=any,contains,991000819429702656","Catalog Record")</f>
        <v>Catalog Record</v>
      </c>
      <c r="AV422" s="5" t="str">
        <f>HYPERLINK("http://www.worldcat.org/oclc/13385234","WorldCat Record")</f>
        <v>WorldCat Record</v>
      </c>
      <c r="AW422" s="2" t="s">
        <v>5334</v>
      </c>
      <c r="AX422" s="2" t="s">
        <v>5335</v>
      </c>
      <c r="AY422" s="2" t="s">
        <v>5336</v>
      </c>
      <c r="AZ422" s="2" t="s">
        <v>5336</v>
      </c>
      <c r="BA422" s="2" t="s">
        <v>5337</v>
      </c>
      <c r="BB422" s="2" t="s">
        <v>20</v>
      </c>
      <c r="BD422" s="2" t="s">
        <v>5338</v>
      </c>
      <c r="BE422" s="2" t="s">
        <v>5339</v>
      </c>
      <c r="BF422" s="2" t="s">
        <v>5340</v>
      </c>
    </row>
    <row r="423" spans="1:58" ht="39.75" customHeight="1" x14ac:dyDescent="0.25">
      <c r="A423" s="7" t="s">
        <v>5</v>
      </c>
      <c r="B423" s="1" t="s">
        <v>0</v>
      </c>
      <c r="C423" s="1" t="s">
        <v>1</v>
      </c>
      <c r="D423" s="1" t="s">
        <v>5341</v>
      </c>
      <c r="E423" s="1" t="s">
        <v>5342</v>
      </c>
      <c r="F423" s="1" t="s">
        <v>5343</v>
      </c>
      <c r="H423" s="2" t="s">
        <v>5</v>
      </c>
      <c r="I423" s="2" t="s">
        <v>6</v>
      </c>
      <c r="J423" s="2" t="s">
        <v>5</v>
      </c>
      <c r="K423" s="2" t="s">
        <v>5</v>
      </c>
      <c r="L423" s="2" t="s">
        <v>7</v>
      </c>
      <c r="M423" s="1" t="s">
        <v>5344</v>
      </c>
      <c r="N423" s="1" t="s">
        <v>5345</v>
      </c>
      <c r="O423" s="2" t="s">
        <v>3941</v>
      </c>
      <c r="Q423" s="2" t="s">
        <v>1151</v>
      </c>
      <c r="R423" s="2" t="s">
        <v>3002</v>
      </c>
      <c r="T423" s="2" t="s">
        <v>13</v>
      </c>
      <c r="U423" s="3">
        <v>1</v>
      </c>
      <c r="V423" s="3">
        <v>1</v>
      </c>
      <c r="W423" s="4" t="s">
        <v>5346</v>
      </c>
      <c r="X423" s="4" t="s">
        <v>5346</v>
      </c>
      <c r="Y423" s="4" t="s">
        <v>5346</v>
      </c>
      <c r="Z423" s="4" t="s">
        <v>5346</v>
      </c>
      <c r="AA423" s="3">
        <v>203</v>
      </c>
      <c r="AB423" s="3">
        <v>199</v>
      </c>
      <c r="AC423" s="3">
        <v>202</v>
      </c>
      <c r="AD423" s="3">
        <v>5</v>
      </c>
      <c r="AE423" s="9">
        <v>5</v>
      </c>
      <c r="AF423" s="9">
        <v>11</v>
      </c>
      <c r="AG423" s="9">
        <v>11</v>
      </c>
      <c r="AH423" s="3">
        <v>0</v>
      </c>
      <c r="AI423" s="3">
        <v>0</v>
      </c>
      <c r="AJ423" s="3">
        <v>5</v>
      </c>
      <c r="AK423" s="3">
        <v>5</v>
      </c>
      <c r="AL423" s="3">
        <v>4</v>
      </c>
      <c r="AM423" s="3">
        <v>4</v>
      </c>
      <c r="AN423" s="3">
        <v>4</v>
      </c>
      <c r="AO423" s="3">
        <v>4</v>
      </c>
      <c r="AP423" s="3">
        <v>0</v>
      </c>
      <c r="AQ423" s="3">
        <v>0</v>
      </c>
      <c r="AR423" s="2" t="s">
        <v>5</v>
      </c>
      <c r="AS423" s="2" t="s">
        <v>46</v>
      </c>
      <c r="AT423" s="5" t="str">
        <f>HYPERLINK("http://catalog.hathitrust.org/Record/003888267","HathiTrust Record")</f>
        <v>HathiTrust Record</v>
      </c>
      <c r="AU423" s="5" t="str">
        <f>HYPERLINK("https://creighton-primo.hosted.exlibrisgroup.com/primo-explore/search?tab=default_tab&amp;search_scope=EVERYTHING&amp;vid=01CRU&amp;lang=en_US&amp;offset=0&amp;query=any,contains,991004296979702656","Catalog Record")</f>
        <v>Catalog Record</v>
      </c>
      <c r="AV423" s="5" t="str">
        <f>HYPERLINK("http://www.worldcat.org/oclc/48896883","WorldCat Record")</f>
        <v>WorldCat Record</v>
      </c>
      <c r="AW423" s="2" t="s">
        <v>5347</v>
      </c>
      <c r="AX423" s="2" t="s">
        <v>5348</v>
      </c>
      <c r="AY423" s="2" t="s">
        <v>5349</v>
      </c>
      <c r="AZ423" s="2" t="s">
        <v>5349</v>
      </c>
      <c r="BA423" s="2" t="s">
        <v>5350</v>
      </c>
      <c r="BB423" s="2" t="s">
        <v>20</v>
      </c>
      <c r="BD423" s="2" t="s">
        <v>5351</v>
      </c>
      <c r="BE423" s="2" t="s">
        <v>5352</v>
      </c>
      <c r="BF423" s="2" t="s">
        <v>5353</v>
      </c>
    </row>
    <row r="424" spans="1:58" ht="39.75" customHeight="1" x14ac:dyDescent="0.25">
      <c r="A424" s="7" t="s">
        <v>5</v>
      </c>
      <c r="B424" s="1" t="s">
        <v>0</v>
      </c>
      <c r="C424" s="1" t="s">
        <v>1</v>
      </c>
      <c r="D424" s="1" t="s">
        <v>5354</v>
      </c>
      <c r="E424" s="1" t="s">
        <v>5355</v>
      </c>
      <c r="F424" s="1" t="s">
        <v>5356</v>
      </c>
      <c r="H424" s="2" t="s">
        <v>5</v>
      </c>
      <c r="I424" s="2" t="s">
        <v>6</v>
      </c>
      <c r="J424" s="2" t="s">
        <v>5</v>
      </c>
      <c r="K424" s="2" t="s">
        <v>5</v>
      </c>
      <c r="L424" s="2" t="s">
        <v>7</v>
      </c>
      <c r="M424" s="1" t="s">
        <v>5357</v>
      </c>
      <c r="N424" s="1" t="s">
        <v>5358</v>
      </c>
      <c r="O424" s="2" t="s">
        <v>995</v>
      </c>
      <c r="P424" s="1" t="s">
        <v>5359</v>
      </c>
      <c r="Q424" s="2" t="s">
        <v>1151</v>
      </c>
      <c r="R424" s="2" t="s">
        <v>5360</v>
      </c>
      <c r="T424" s="2" t="s">
        <v>13</v>
      </c>
      <c r="U424" s="3">
        <v>2</v>
      </c>
      <c r="V424" s="3">
        <v>2</v>
      </c>
      <c r="W424" s="4" t="s">
        <v>3793</v>
      </c>
      <c r="X424" s="4" t="s">
        <v>3793</v>
      </c>
      <c r="Y424" s="4" t="s">
        <v>5361</v>
      </c>
      <c r="Z424" s="4" t="s">
        <v>5361</v>
      </c>
      <c r="AA424" s="3">
        <v>13</v>
      </c>
      <c r="AB424" s="3">
        <v>10</v>
      </c>
      <c r="AC424" s="3">
        <v>77</v>
      </c>
      <c r="AD424" s="3">
        <v>1</v>
      </c>
      <c r="AE424" s="9">
        <v>1</v>
      </c>
      <c r="AF424" s="9">
        <v>0</v>
      </c>
      <c r="AG424" s="9">
        <v>1</v>
      </c>
      <c r="AH424" s="3">
        <v>0</v>
      </c>
      <c r="AI424" s="3">
        <v>0</v>
      </c>
      <c r="AJ424" s="3">
        <v>0</v>
      </c>
      <c r="AK424" s="3">
        <v>0</v>
      </c>
      <c r="AL424" s="3">
        <v>0</v>
      </c>
      <c r="AM424" s="3">
        <v>1</v>
      </c>
      <c r="AN424" s="3">
        <v>0</v>
      </c>
      <c r="AO424" s="3">
        <v>0</v>
      </c>
      <c r="AP424" s="3">
        <v>0</v>
      </c>
      <c r="AQ424" s="3">
        <v>0</v>
      </c>
      <c r="AR424" s="2" t="s">
        <v>5</v>
      </c>
      <c r="AS424" s="2" t="s">
        <v>46</v>
      </c>
      <c r="AT424" s="5" t="str">
        <f>HYPERLINK("http://catalog.hathitrust.org/Record/101208434","HathiTrust Record")</f>
        <v>HathiTrust Record</v>
      </c>
      <c r="AU424" s="5" t="str">
        <f>HYPERLINK("https://creighton-primo.hosted.exlibrisgroup.com/primo-explore/search?tab=default_tab&amp;search_scope=EVERYTHING&amp;vid=01CRU&amp;lang=en_US&amp;offset=0&amp;query=any,contains,991000204169702656","Catalog Record")</f>
        <v>Catalog Record</v>
      </c>
      <c r="AV424" s="5" t="str">
        <f>HYPERLINK("http://www.worldcat.org/oclc/9485606","WorldCat Record")</f>
        <v>WorldCat Record</v>
      </c>
      <c r="AW424" s="2" t="s">
        <v>5362</v>
      </c>
      <c r="AX424" s="2" t="s">
        <v>5363</v>
      </c>
      <c r="AY424" s="2" t="s">
        <v>5364</v>
      </c>
      <c r="AZ424" s="2" t="s">
        <v>5364</v>
      </c>
      <c r="BA424" s="2" t="s">
        <v>5365</v>
      </c>
      <c r="BB424" s="2" t="s">
        <v>20</v>
      </c>
      <c r="BE424" s="2" t="s">
        <v>5366</v>
      </c>
      <c r="BF424" s="2" t="s">
        <v>5367</v>
      </c>
    </row>
    <row r="425" spans="1:58" ht="39.75" customHeight="1" x14ac:dyDescent="0.25">
      <c r="A425" s="7" t="s">
        <v>5</v>
      </c>
      <c r="B425" s="1" t="s">
        <v>0</v>
      </c>
      <c r="C425" s="1" t="s">
        <v>1</v>
      </c>
      <c r="D425" s="1" t="s">
        <v>5368</v>
      </c>
      <c r="E425" s="1" t="s">
        <v>5369</v>
      </c>
      <c r="F425" s="1" t="s">
        <v>5370</v>
      </c>
      <c r="H425" s="2" t="s">
        <v>5</v>
      </c>
      <c r="I425" s="2" t="s">
        <v>6</v>
      </c>
      <c r="J425" s="2" t="s">
        <v>5</v>
      </c>
      <c r="K425" s="2" t="s">
        <v>5</v>
      </c>
      <c r="L425" s="2" t="s">
        <v>7</v>
      </c>
      <c r="M425" s="1" t="s">
        <v>5371</v>
      </c>
      <c r="N425" s="1" t="s">
        <v>5372</v>
      </c>
      <c r="O425" s="2" t="s">
        <v>3817</v>
      </c>
      <c r="P425" s="1" t="s">
        <v>5373</v>
      </c>
      <c r="Q425" s="2" t="s">
        <v>1151</v>
      </c>
      <c r="R425" s="2" t="s">
        <v>5374</v>
      </c>
      <c r="S425" s="1" t="s">
        <v>5375</v>
      </c>
      <c r="T425" s="2" t="s">
        <v>13</v>
      </c>
      <c r="U425" s="3">
        <v>1</v>
      </c>
      <c r="V425" s="3">
        <v>1</v>
      </c>
      <c r="W425" s="4" t="s">
        <v>5376</v>
      </c>
      <c r="X425" s="4" t="s">
        <v>5376</v>
      </c>
      <c r="Y425" s="4" t="s">
        <v>5377</v>
      </c>
      <c r="Z425" s="4" t="s">
        <v>5377</v>
      </c>
      <c r="AA425" s="3">
        <v>32</v>
      </c>
      <c r="AB425" s="3">
        <v>29</v>
      </c>
      <c r="AC425" s="3">
        <v>31</v>
      </c>
      <c r="AD425" s="3">
        <v>1</v>
      </c>
      <c r="AE425" s="9">
        <v>1</v>
      </c>
      <c r="AF425" s="9">
        <v>1</v>
      </c>
      <c r="AG425" s="9">
        <v>1</v>
      </c>
      <c r="AH425" s="3">
        <v>0</v>
      </c>
      <c r="AI425" s="3">
        <v>0</v>
      </c>
      <c r="AJ425" s="3">
        <v>1</v>
      </c>
      <c r="AK425" s="3">
        <v>1</v>
      </c>
      <c r="AL425" s="3">
        <v>0</v>
      </c>
      <c r="AM425" s="3">
        <v>0</v>
      </c>
      <c r="AN425" s="3">
        <v>0</v>
      </c>
      <c r="AO425" s="3">
        <v>0</v>
      </c>
      <c r="AP425" s="3">
        <v>0</v>
      </c>
      <c r="AQ425" s="3">
        <v>0</v>
      </c>
      <c r="AR425" s="2" t="s">
        <v>5</v>
      </c>
      <c r="AS425" s="2" t="s">
        <v>46</v>
      </c>
      <c r="AT425" s="5" t="str">
        <f>HYPERLINK("http://catalog.hathitrust.org/Record/101094318","HathiTrust Record")</f>
        <v>HathiTrust Record</v>
      </c>
      <c r="AU425" s="5" t="str">
        <f>HYPERLINK("https://creighton-primo.hosted.exlibrisgroup.com/primo-explore/search?tab=default_tab&amp;search_scope=EVERYTHING&amp;vid=01CRU&amp;lang=en_US&amp;offset=0&amp;query=any,contains,991003669489702656","Catalog Record")</f>
        <v>Catalog Record</v>
      </c>
      <c r="AV425" s="5" t="str">
        <f>HYPERLINK("http://www.worldcat.org/oclc/39225824","WorldCat Record")</f>
        <v>WorldCat Record</v>
      </c>
      <c r="AW425" s="2" t="s">
        <v>5378</v>
      </c>
      <c r="AX425" s="2" t="s">
        <v>5379</v>
      </c>
      <c r="AY425" s="2" t="s">
        <v>5380</v>
      </c>
      <c r="AZ425" s="2" t="s">
        <v>5380</v>
      </c>
      <c r="BA425" s="2" t="s">
        <v>5381</v>
      </c>
      <c r="BB425" s="2" t="s">
        <v>20</v>
      </c>
      <c r="BE425" s="2" t="s">
        <v>5382</v>
      </c>
      <c r="BF425" s="2" t="s">
        <v>5383</v>
      </c>
    </row>
    <row r="426" spans="1:58" ht="39.75" customHeight="1" x14ac:dyDescent="0.25">
      <c r="A426" s="7" t="s">
        <v>5</v>
      </c>
      <c r="B426" s="1" t="s">
        <v>0</v>
      </c>
      <c r="C426" s="1" t="s">
        <v>1</v>
      </c>
      <c r="D426" s="1" t="s">
        <v>5384</v>
      </c>
      <c r="E426" s="1" t="s">
        <v>5385</v>
      </c>
      <c r="F426" s="1" t="s">
        <v>5386</v>
      </c>
      <c r="H426" s="2" t="s">
        <v>5</v>
      </c>
      <c r="I426" s="2" t="s">
        <v>6</v>
      </c>
      <c r="J426" s="2" t="s">
        <v>5</v>
      </c>
      <c r="K426" s="2" t="s">
        <v>5</v>
      </c>
      <c r="L426" s="2" t="s">
        <v>7</v>
      </c>
      <c r="N426" s="1" t="s">
        <v>5387</v>
      </c>
      <c r="O426" s="2" t="s">
        <v>736</v>
      </c>
      <c r="P426" s="1" t="s">
        <v>2908</v>
      </c>
      <c r="Q426" s="2" t="s">
        <v>1151</v>
      </c>
      <c r="R426" s="2" t="s">
        <v>1152</v>
      </c>
      <c r="S426" s="1" t="s">
        <v>5388</v>
      </c>
      <c r="T426" s="2" t="s">
        <v>13</v>
      </c>
      <c r="U426" s="3">
        <v>2</v>
      </c>
      <c r="V426" s="3">
        <v>2</v>
      </c>
      <c r="W426" s="4" t="s">
        <v>5389</v>
      </c>
      <c r="X426" s="4" t="s">
        <v>5389</v>
      </c>
      <c r="Y426" s="4" t="s">
        <v>5390</v>
      </c>
      <c r="Z426" s="4" t="s">
        <v>5390</v>
      </c>
      <c r="AA426" s="3">
        <v>101</v>
      </c>
      <c r="AB426" s="3">
        <v>77</v>
      </c>
      <c r="AC426" s="3">
        <v>142</v>
      </c>
      <c r="AD426" s="3">
        <v>2</v>
      </c>
      <c r="AE426" s="9">
        <v>2</v>
      </c>
      <c r="AF426" s="9">
        <v>6</v>
      </c>
      <c r="AG426" s="9">
        <v>9</v>
      </c>
      <c r="AH426" s="3">
        <v>2</v>
      </c>
      <c r="AI426" s="3">
        <v>2</v>
      </c>
      <c r="AJ426" s="3">
        <v>3</v>
      </c>
      <c r="AK426" s="3">
        <v>5</v>
      </c>
      <c r="AL426" s="3">
        <v>3</v>
      </c>
      <c r="AM426" s="3">
        <v>5</v>
      </c>
      <c r="AN426" s="3">
        <v>1</v>
      </c>
      <c r="AO426" s="3">
        <v>1</v>
      </c>
      <c r="AP426" s="3">
        <v>0</v>
      </c>
      <c r="AQ426" s="3">
        <v>0</v>
      </c>
      <c r="AR426" s="2" t="s">
        <v>5</v>
      </c>
      <c r="AS426" s="2" t="s">
        <v>5</v>
      </c>
      <c r="AU426" s="5" t="str">
        <f>HYPERLINK("https://creighton-primo.hosted.exlibrisgroup.com/primo-explore/search?tab=default_tab&amp;search_scope=EVERYTHING&amp;vid=01CRU&amp;lang=en_US&amp;offset=0&amp;query=any,contains,991003765209702656","Catalog Record")</f>
        <v>Catalog Record</v>
      </c>
      <c r="AV426" s="5" t="str">
        <f>HYPERLINK("http://www.worldcat.org/oclc/29878221","WorldCat Record")</f>
        <v>WorldCat Record</v>
      </c>
      <c r="AW426" s="2" t="s">
        <v>5391</v>
      </c>
      <c r="AX426" s="2" t="s">
        <v>5392</v>
      </c>
      <c r="AY426" s="2" t="s">
        <v>5393</v>
      </c>
      <c r="AZ426" s="2" t="s">
        <v>5393</v>
      </c>
      <c r="BA426" s="2" t="s">
        <v>5394</v>
      </c>
      <c r="BB426" s="2" t="s">
        <v>20</v>
      </c>
      <c r="BD426" s="2" t="s">
        <v>5395</v>
      </c>
      <c r="BE426" s="2" t="s">
        <v>5396</v>
      </c>
      <c r="BF426" s="2" t="s">
        <v>5397</v>
      </c>
    </row>
    <row r="427" spans="1:58" ht="39.75" customHeight="1" x14ac:dyDescent="0.25">
      <c r="A427" s="7" t="s">
        <v>5</v>
      </c>
      <c r="B427" s="1" t="s">
        <v>0</v>
      </c>
      <c r="C427" s="1" t="s">
        <v>1</v>
      </c>
      <c r="D427" s="1" t="s">
        <v>5398</v>
      </c>
      <c r="E427" s="1" t="s">
        <v>5399</v>
      </c>
      <c r="F427" s="1" t="s">
        <v>5400</v>
      </c>
      <c r="H427" s="2" t="s">
        <v>5</v>
      </c>
      <c r="I427" s="2" t="s">
        <v>6</v>
      </c>
      <c r="J427" s="2" t="s">
        <v>5</v>
      </c>
      <c r="K427" s="2" t="s">
        <v>5</v>
      </c>
      <c r="L427" s="2" t="s">
        <v>7</v>
      </c>
      <c r="M427" s="1" t="s">
        <v>5401</v>
      </c>
      <c r="N427" s="1" t="s">
        <v>5402</v>
      </c>
      <c r="O427" s="2" t="s">
        <v>27</v>
      </c>
      <c r="P427" s="1" t="s">
        <v>2908</v>
      </c>
      <c r="Q427" s="2" t="s">
        <v>1151</v>
      </c>
      <c r="R427" s="2" t="s">
        <v>5403</v>
      </c>
      <c r="S427" s="1" t="s">
        <v>5388</v>
      </c>
      <c r="T427" s="2" t="s">
        <v>13</v>
      </c>
      <c r="U427" s="3">
        <v>1</v>
      </c>
      <c r="V427" s="3">
        <v>1</v>
      </c>
      <c r="W427" s="4" t="s">
        <v>1154</v>
      </c>
      <c r="X427" s="4" t="s">
        <v>1154</v>
      </c>
      <c r="Y427" s="4" t="s">
        <v>1154</v>
      </c>
      <c r="Z427" s="4" t="s">
        <v>1154</v>
      </c>
      <c r="AA427" s="3">
        <v>219</v>
      </c>
      <c r="AB427" s="3">
        <v>167</v>
      </c>
      <c r="AC427" s="3">
        <v>174</v>
      </c>
      <c r="AD427" s="3">
        <v>3</v>
      </c>
      <c r="AE427" s="9">
        <v>3</v>
      </c>
      <c r="AF427" s="9">
        <v>9</v>
      </c>
      <c r="AG427" s="9">
        <v>9</v>
      </c>
      <c r="AH427" s="3">
        <v>3</v>
      </c>
      <c r="AI427" s="3">
        <v>3</v>
      </c>
      <c r="AJ427" s="3">
        <v>4</v>
      </c>
      <c r="AK427" s="3">
        <v>4</v>
      </c>
      <c r="AL427" s="3">
        <v>4</v>
      </c>
      <c r="AM427" s="3">
        <v>4</v>
      </c>
      <c r="AN427" s="3">
        <v>2</v>
      </c>
      <c r="AO427" s="3">
        <v>2</v>
      </c>
      <c r="AP427" s="3">
        <v>0</v>
      </c>
      <c r="AQ427" s="3">
        <v>0</v>
      </c>
      <c r="AR427" s="2" t="s">
        <v>5</v>
      </c>
      <c r="AS427" s="2" t="s">
        <v>46</v>
      </c>
      <c r="AT427" s="5" t="str">
        <f>HYPERLINK("http://catalog.hathitrust.org/Record/002575255","HathiTrust Record")</f>
        <v>HathiTrust Record</v>
      </c>
      <c r="AU427" s="5" t="str">
        <f>HYPERLINK("https://creighton-primo.hosted.exlibrisgroup.com/primo-explore/search?tab=default_tab&amp;search_scope=EVERYTHING&amp;vid=01CRU&amp;lang=en_US&amp;offset=0&amp;query=any,contains,991003845789702656","Catalog Record")</f>
        <v>Catalog Record</v>
      </c>
      <c r="AV427" s="5" t="str">
        <f>HYPERLINK("http://www.worldcat.org/oclc/25987683","WorldCat Record")</f>
        <v>WorldCat Record</v>
      </c>
      <c r="AW427" s="2" t="s">
        <v>5404</v>
      </c>
      <c r="AX427" s="2" t="s">
        <v>5405</v>
      </c>
      <c r="AY427" s="2" t="s">
        <v>5406</v>
      </c>
      <c r="AZ427" s="2" t="s">
        <v>5406</v>
      </c>
      <c r="BA427" s="2" t="s">
        <v>5407</v>
      </c>
      <c r="BB427" s="2" t="s">
        <v>20</v>
      </c>
      <c r="BD427" s="2" t="s">
        <v>5408</v>
      </c>
      <c r="BE427" s="2" t="s">
        <v>5409</v>
      </c>
      <c r="BF427" s="2" t="s">
        <v>5410</v>
      </c>
    </row>
    <row r="428" spans="1:58" ht="39.75" customHeight="1" x14ac:dyDescent="0.25">
      <c r="A428" s="7" t="s">
        <v>5</v>
      </c>
      <c r="B428" s="1" t="s">
        <v>0</v>
      </c>
      <c r="C428" s="1" t="s">
        <v>1</v>
      </c>
      <c r="D428" s="1" t="s">
        <v>5411</v>
      </c>
      <c r="E428" s="1" t="s">
        <v>5412</v>
      </c>
      <c r="F428" s="1" t="s">
        <v>5413</v>
      </c>
      <c r="H428" s="2" t="s">
        <v>5</v>
      </c>
      <c r="I428" s="2" t="s">
        <v>6</v>
      </c>
      <c r="J428" s="2" t="s">
        <v>5</v>
      </c>
      <c r="K428" s="2" t="s">
        <v>5</v>
      </c>
      <c r="L428" s="2" t="s">
        <v>7</v>
      </c>
      <c r="M428" s="1" t="s">
        <v>5414</v>
      </c>
      <c r="N428" s="1" t="s">
        <v>5415</v>
      </c>
      <c r="O428" s="2" t="s">
        <v>291</v>
      </c>
      <c r="Q428" s="2" t="s">
        <v>1151</v>
      </c>
      <c r="R428" s="2" t="s">
        <v>4146</v>
      </c>
      <c r="S428" s="1" t="s">
        <v>5416</v>
      </c>
      <c r="T428" s="2" t="s">
        <v>13</v>
      </c>
      <c r="U428" s="3">
        <v>1</v>
      </c>
      <c r="V428" s="3">
        <v>1</v>
      </c>
      <c r="W428" s="4" t="s">
        <v>5417</v>
      </c>
      <c r="X428" s="4" t="s">
        <v>5417</v>
      </c>
      <c r="Y428" s="4" t="s">
        <v>5417</v>
      </c>
      <c r="Z428" s="4" t="s">
        <v>5417</v>
      </c>
      <c r="AA428" s="3">
        <v>11</v>
      </c>
      <c r="AB428" s="3">
        <v>11</v>
      </c>
      <c r="AC428" s="3">
        <v>11</v>
      </c>
      <c r="AD428" s="3">
        <v>1</v>
      </c>
      <c r="AE428" s="9">
        <v>1</v>
      </c>
      <c r="AF428" s="9">
        <v>0</v>
      </c>
      <c r="AG428" s="9">
        <v>0</v>
      </c>
      <c r="AH428" s="3">
        <v>0</v>
      </c>
      <c r="AI428" s="3">
        <v>0</v>
      </c>
      <c r="AJ428" s="3">
        <v>0</v>
      </c>
      <c r="AK428" s="3">
        <v>0</v>
      </c>
      <c r="AL428" s="3">
        <v>0</v>
      </c>
      <c r="AM428" s="3">
        <v>0</v>
      </c>
      <c r="AN428" s="3">
        <v>0</v>
      </c>
      <c r="AO428" s="3">
        <v>0</v>
      </c>
      <c r="AP428" s="3">
        <v>0</v>
      </c>
      <c r="AQ428" s="3">
        <v>0</v>
      </c>
      <c r="AR428" s="2" t="s">
        <v>5</v>
      </c>
      <c r="AS428" s="2" t="s">
        <v>5</v>
      </c>
      <c r="AU428" s="5" t="str">
        <f>HYPERLINK("https://creighton-primo.hosted.exlibrisgroup.com/primo-explore/search?tab=default_tab&amp;search_scope=EVERYTHING&amp;vid=01CRU&amp;lang=en_US&amp;offset=0&amp;query=any,contains,991003816979702656","Catalog Record")</f>
        <v>Catalog Record</v>
      </c>
      <c r="AV428" s="5" t="str">
        <f>HYPERLINK("http://www.worldcat.org/oclc/8353959","WorldCat Record")</f>
        <v>WorldCat Record</v>
      </c>
      <c r="AW428" s="2" t="s">
        <v>5418</v>
      </c>
      <c r="AX428" s="2" t="s">
        <v>5419</v>
      </c>
      <c r="AY428" s="2" t="s">
        <v>5420</v>
      </c>
      <c r="AZ428" s="2" t="s">
        <v>5420</v>
      </c>
      <c r="BA428" s="2" t="s">
        <v>5421</v>
      </c>
      <c r="BB428" s="2" t="s">
        <v>20</v>
      </c>
      <c r="BE428" s="2" t="s">
        <v>5422</v>
      </c>
      <c r="BF428" s="2" t="s">
        <v>5423</v>
      </c>
    </row>
    <row r="429" spans="1:58" ht="39.75" customHeight="1" x14ac:dyDescent="0.25">
      <c r="A429" s="7" t="s">
        <v>5</v>
      </c>
      <c r="B429" s="1" t="s">
        <v>0</v>
      </c>
      <c r="C429" s="1" t="s">
        <v>1</v>
      </c>
      <c r="D429" s="1" t="s">
        <v>5424</v>
      </c>
      <c r="E429" s="1" t="s">
        <v>5425</v>
      </c>
      <c r="F429" s="1" t="s">
        <v>5426</v>
      </c>
      <c r="G429" s="2" t="s">
        <v>2083</v>
      </c>
      <c r="H429" s="2" t="s">
        <v>46</v>
      </c>
      <c r="I429" s="2" t="s">
        <v>6</v>
      </c>
      <c r="J429" s="2" t="s">
        <v>5</v>
      </c>
      <c r="K429" s="2" t="s">
        <v>5</v>
      </c>
      <c r="L429" s="2" t="s">
        <v>7</v>
      </c>
      <c r="M429" s="1" t="s">
        <v>5427</v>
      </c>
      <c r="N429" s="1" t="s">
        <v>5428</v>
      </c>
      <c r="O429" s="2" t="s">
        <v>584</v>
      </c>
      <c r="Q429" s="2" t="s">
        <v>60</v>
      </c>
      <c r="R429" s="2" t="s">
        <v>2758</v>
      </c>
      <c r="T429" s="2" t="s">
        <v>13</v>
      </c>
      <c r="U429" s="3">
        <v>1</v>
      </c>
      <c r="V429" s="3">
        <v>7</v>
      </c>
      <c r="W429" s="4" t="s">
        <v>5429</v>
      </c>
      <c r="X429" s="4" t="s">
        <v>5429</v>
      </c>
      <c r="Y429" s="4" t="s">
        <v>5333</v>
      </c>
      <c r="Z429" s="4" t="s">
        <v>5333</v>
      </c>
      <c r="AA429" s="3">
        <v>1188</v>
      </c>
      <c r="AB429" s="3">
        <v>1082</v>
      </c>
      <c r="AC429" s="3">
        <v>1142</v>
      </c>
      <c r="AD429" s="3">
        <v>11</v>
      </c>
      <c r="AE429" s="9">
        <v>11</v>
      </c>
      <c r="AF429" s="9">
        <v>47</v>
      </c>
      <c r="AG429" s="9">
        <v>47</v>
      </c>
      <c r="AH429" s="3">
        <v>16</v>
      </c>
      <c r="AI429" s="3">
        <v>16</v>
      </c>
      <c r="AJ429" s="3">
        <v>9</v>
      </c>
      <c r="AK429" s="3">
        <v>9</v>
      </c>
      <c r="AL429" s="3">
        <v>23</v>
      </c>
      <c r="AM429" s="3">
        <v>23</v>
      </c>
      <c r="AN429" s="3">
        <v>10</v>
      </c>
      <c r="AO429" s="3">
        <v>10</v>
      </c>
      <c r="AP429" s="3">
        <v>0</v>
      </c>
      <c r="AQ429" s="3">
        <v>0</v>
      </c>
      <c r="AR429" s="2" t="s">
        <v>5</v>
      </c>
      <c r="AS429" s="2" t="s">
        <v>46</v>
      </c>
      <c r="AT429" s="5" t="str">
        <f>HYPERLINK("http://catalog.hathitrust.org/Record/000317574","HathiTrust Record")</f>
        <v>HathiTrust Record</v>
      </c>
      <c r="AU429" s="5" t="str">
        <f>HYPERLINK("https://creighton-primo.hosted.exlibrisgroup.com/primo-explore/search?tab=default_tab&amp;search_scope=EVERYTHING&amp;vid=01CRU&amp;lang=en_US&amp;offset=0&amp;query=any,contains,991002425899702656","Catalog Record")</f>
        <v>Catalog Record</v>
      </c>
      <c r="AV429" s="5" t="str">
        <f>HYPERLINK("http://www.worldcat.org/oclc/344886","WorldCat Record")</f>
        <v>WorldCat Record</v>
      </c>
      <c r="AW429" s="2" t="s">
        <v>5430</v>
      </c>
      <c r="AX429" s="2" t="s">
        <v>5431</v>
      </c>
      <c r="AY429" s="2" t="s">
        <v>5432</v>
      </c>
      <c r="AZ429" s="2" t="s">
        <v>5432</v>
      </c>
      <c r="BA429" s="2" t="s">
        <v>5433</v>
      </c>
      <c r="BB429" s="2" t="s">
        <v>20</v>
      </c>
      <c r="BE429" s="2" t="s">
        <v>5434</v>
      </c>
      <c r="BF429" s="2" t="s">
        <v>5435</v>
      </c>
    </row>
    <row r="430" spans="1:58" ht="39.75" customHeight="1" x14ac:dyDescent="0.25">
      <c r="A430" s="7" t="s">
        <v>5</v>
      </c>
      <c r="B430" s="1" t="s">
        <v>0</v>
      </c>
      <c r="C430" s="1" t="s">
        <v>1</v>
      </c>
      <c r="D430" s="1" t="s">
        <v>5424</v>
      </c>
      <c r="E430" s="1" t="s">
        <v>5425</v>
      </c>
      <c r="F430" s="1" t="s">
        <v>5426</v>
      </c>
      <c r="G430" s="2" t="s">
        <v>2107</v>
      </c>
      <c r="H430" s="2" t="s">
        <v>46</v>
      </c>
      <c r="I430" s="2" t="s">
        <v>6</v>
      </c>
      <c r="J430" s="2" t="s">
        <v>5</v>
      </c>
      <c r="K430" s="2" t="s">
        <v>5</v>
      </c>
      <c r="L430" s="2" t="s">
        <v>7</v>
      </c>
      <c r="M430" s="1" t="s">
        <v>5427</v>
      </c>
      <c r="N430" s="1" t="s">
        <v>5428</v>
      </c>
      <c r="O430" s="2" t="s">
        <v>584</v>
      </c>
      <c r="Q430" s="2" t="s">
        <v>60</v>
      </c>
      <c r="R430" s="2" t="s">
        <v>2758</v>
      </c>
      <c r="T430" s="2" t="s">
        <v>13</v>
      </c>
      <c r="U430" s="3">
        <v>5</v>
      </c>
      <c r="V430" s="3">
        <v>7</v>
      </c>
      <c r="W430" s="4" t="s">
        <v>5436</v>
      </c>
      <c r="X430" s="4" t="s">
        <v>5429</v>
      </c>
      <c r="Y430" s="4" t="s">
        <v>5333</v>
      </c>
      <c r="Z430" s="4" t="s">
        <v>5333</v>
      </c>
      <c r="AA430" s="3">
        <v>1188</v>
      </c>
      <c r="AB430" s="3">
        <v>1082</v>
      </c>
      <c r="AC430" s="3">
        <v>1142</v>
      </c>
      <c r="AD430" s="3">
        <v>11</v>
      </c>
      <c r="AE430" s="9">
        <v>11</v>
      </c>
      <c r="AF430" s="9">
        <v>47</v>
      </c>
      <c r="AG430" s="9">
        <v>47</v>
      </c>
      <c r="AH430" s="3">
        <v>16</v>
      </c>
      <c r="AI430" s="3">
        <v>16</v>
      </c>
      <c r="AJ430" s="3">
        <v>9</v>
      </c>
      <c r="AK430" s="3">
        <v>9</v>
      </c>
      <c r="AL430" s="3">
        <v>23</v>
      </c>
      <c r="AM430" s="3">
        <v>23</v>
      </c>
      <c r="AN430" s="3">
        <v>10</v>
      </c>
      <c r="AO430" s="3">
        <v>10</v>
      </c>
      <c r="AP430" s="3">
        <v>0</v>
      </c>
      <c r="AQ430" s="3">
        <v>0</v>
      </c>
      <c r="AR430" s="2" t="s">
        <v>5</v>
      </c>
      <c r="AS430" s="2" t="s">
        <v>46</v>
      </c>
      <c r="AT430" s="5" t="str">
        <f>HYPERLINK("http://catalog.hathitrust.org/Record/000317574","HathiTrust Record")</f>
        <v>HathiTrust Record</v>
      </c>
      <c r="AU430" s="5" t="str">
        <f>HYPERLINK("https://creighton-primo.hosted.exlibrisgroup.com/primo-explore/search?tab=default_tab&amp;search_scope=EVERYTHING&amp;vid=01CRU&amp;lang=en_US&amp;offset=0&amp;query=any,contains,991002425899702656","Catalog Record")</f>
        <v>Catalog Record</v>
      </c>
      <c r="AV430" s="5" t="str">
        <f>HYPERLINK("http://www.worldcat.org/oclc/344886","WorldCat Record")</f>
        <v>WorldCat Record</v>
      </c>
      <c r="AW430" s="2" t="s">
        <v>5430</v>
      </c>
      <c r="AX430" s="2" t="s">
        <v>5431</v>
      </c>
      <c r="AY430" s="2" t="s">
        <v>5432</v>
      </c>
      <c r="AZ430" s="2" t="s">
        <v>5432</v>
      </c>
      <c r="BA430" s="2" t="s">
        <v>5433</v>
      </c>
      <c r="BB430" s="2" t="s">
        <v>20</v>
      </c>
      <c r="BE430" s="2" t="s">
        <v>5437</v>
      </c>
      <c r="BF430" s="2" t="s">
        <v>5438</v>
      </c>
    </row>
    <row r="431" spans="1:58" ht="39.75" customHeight="1" x14ac:dyDescent="0.25">
      <c r="A431" s="7" t="s">
        <v>5</v>
      </c>
      <c r="B431" s="1" t="s">
        <v>0</v>
      </c>
      <c r="C431" s="1" t="s">
        <v>1</v>
      </c>
      <c r="D431" s="1" t="s">
        <v>5424</v>
      </c>
      <c r="E431" s="1" t="s">
        <v>5425</v>
      </c>
      <c r="F431" s="1" t="s">
        <v>5426</v>
      </c>
      <c r="G431" s="2" t="s">
        <v>5110</v>
      </c>
      <c r="H431" s="2" t="s">
        <v>46</v>
      </c>
      <c r="I431" s="2" t="s">
        <v>6</v>
      </c>
      <c r="J431" s="2" t="s">
        <v>5</v>
      </c>
      <c r="K431" s="2" t="s">
        <v>5</v>
      </c>
      <c r="L431" s="2" t="s">
        <v>7</v>
      </c>
      <c r="M431" s="1" t="s">
        <v>5427</v>
      </c>
      <c r="N431" s="1" t="s">
        <v>5428</v>
      </c>
      <c r="O431" s="2" t="s">
        <v>584</v>
      </c>
      <c r="Q431" s="2" t="s">
        <v>60</v>
      </c>
      <c r="R431" s="2" t="s">
        <v>2758</v>
      </c>
      <c r="T431" s="2" t="s">
        <v>13</v>
      </c>
      <c r="U431" s="3">
        <v>0</v>
      </c>
      <c r="V431" s="3">
        <v>7</v>
      </c>
      <c r="X431" s="4" t="s">
        <v>5429</v>
      </c>
      <c r="Y431" s="4" t="s">
        <v>5333</v>
      </c>
      <c r="Z431" s="4" t="s">
        <v>5333</v>
      </c>
      <c r="AA431" s="3">
        <v>1188</v>
      </c>
      <c r="AB431" s="3">
        <v>1082</v>
      </c>
      <c r="AC431" s="3">
        <v>1142</v>
      </c>
      <c r="AD431" s="3">
        <v>11</v>
      </c>
      <c r="AE431" s="9">
        <v>11</v>
      </c>
      <c r="AF431" s="9">
        <v>47</v>
      </c>
      <c r="AG431" s="9">
        <v>47</v>
      </c>
      <c r="AH431" s="3">
        <v>16</v>
      </c>
      <c r="AI431" s="3">
        <v>16</v>
      </c>
      <c r="AJ431" s="3">
        <v>9</v>
      </c>
      <c r="AK431" s="3">
        <v>9</v>
      </c>
      <c r="AL431" s="3">
        <v>23</v>
      </c>
      <c r="AM431" s="3">
        <v>23</v>
      </c>
      <c r="AN431" s="3">
        <v>10</v>
      </c>
      <c r="AO431" s="3">
        <v>10</v>
      </c>
      <c r="AP431" s="3">
        <v>0</v>
      </c>
      <c r="AQ431" s="3">
        <v>0</v>
      </c>
      <c r="AR431" s="2" t="s">
        <v>5</v>
      </c>
      <c r="AS431" s="2" t="s">
        <v>46</v>
      </c>
      <c r="AT431" s="5" t="str">
        <f>HYPERLINK("http://catalog.hathitrust.org/Record/000317574","HathiTrust Record")</f>
        <v>HathiTrust Record</v>
      </c>
      <c r="AU431" s="5" t="str">
        <f>HYPERLINK("https://creighton-primo.hosted.exlibrisgroup.com/primo-explore/search?tab=default_tab&amp;search_scope=EVERYTHING&amp;vid=01CRU&amp;lang=en_US&amp;offset=0&amp;query=any,contains,991002425899702656","Catalog Record")</f>
        <v>Catalog Record</v>
      </c>
      <c r="AV431" s="5" t="str">
        <f>HYPERLINK("http://www.worldcat.org/oclc/344886","WorldCat Record")</f>
        <v>WorldCat Record</v>
      </c>
      <c r="AW431" s="2" t="s">
        <v>5430</v>
      </c>
      <c r="AX431" s="2" t="s">
        <v>5431</v>
      </c>
      <c r="AY431" s="2" t="s">
        <v>5432</v>
      </c>
      <c r="AZ431" s="2" t="s">
        <v>5432</v>
      </c>
      <c r="BA431" s="2" t="s">
        <v>5433</v>
      </c>
      <c r="BB431" s="2" t="s">
        <v>20</v>
      </c>
      <c r="BE431" s="2" t="s">
        <v>5439</v>
      </c>
      <c r="BF431" s="2" t="s">
        <v>5440</v>
      </c>
    </row>
    <row r="432" spans="1:58" ht="39.75" customHeight="1" x14ac:dyDescent="0.25">
      <c r="A432" s="7" t="s">
        <v>5</v>
      </c>
      <c r="B432" s="1" t="s">
        <v>0</v>
      </c>
      <c r="C432" s="1" t="s">
        <v>1</v>
      </c>
      <c r="D432" s="1" t="s">
        <v>5424</v>
      </c>
      <c r="E432" s="1" t="s">
        <v>5425</v>
      </c>
      <c r="F432" s="1" t="s">
        <v>5426</v>
      </c>
      <c r="G432" s="2" t="s">
        <v>5126</v>
      </c>
      <c r="H432" s="2" t="s">
        <v>46</v>
      </c>
      <c r="I432" s="2" t="s">
        <v>6</v>
      </c>
      <c r="J432" s="2" t="s">
        <v>5</v>
      </c>
      <c r="K432" s="2" t="s">
        <v>5</v>
      </c>
      <c r="L432" s="2" t="s">
        <v>7</v>
      </c>
      <c r="M432" s="1" t="s">
        <v>5427</v>
      </c>
      <c r="N432" s="1" t="s">
        <v>5428</v>
      </c>
      <c r="O432" s="2" t="s">
        <v>584</v>
      </c>
      <c r="Q432" s="2" t="s">
        <v>60</v>
      </c>
      <c r="R432" s="2" t="s">
        <v>2758</v>
      </c>
      <c r="T432" s="2" t="s">
        <v>13</v>
      </c>
      <c r="U432" s="3">
        <v>1</v>
      </c>
      <c r="V432" s="3">
        <v>7</v>
      </c>
      <c r="W432" s="4" t="s">
        <v>5441</v>
      </c>
      <c r="X432" s="4" t="s">
        <v>5429</v>
      </c>
      <c r="Y432" s="4" t="s">
        <v>5333</v>
      </c>
      <c r="Z432" s="4" t="s">
        <v>5333</v>
      </c>
      <c r="AA432" s="3">
        <v>1188</v>
      </c>
      <c r="AB432" s="3">
        <v>1082</v>
      </c>
      <c r="AC432" s="3">
        <v>1142</v>
      </c>
      <c r="AD432" s="3">
        <v>11</v>
      </c>
      <c r="AE432" s="9">
        <v>11</v>
      </c>
      <c r="AF432" s="9">
        <v>47</v>
      </c>
      <c r="AG432" s="9">
        <v>47</v>
      </c>
      <c r="AH432" s="3">
        <v>16</v>
      </c>
      <c r="AI432" s="3">
        <v>16</v>
      </c>
      <c r="AJ432" s="3">
        <v>9</v>
      </c>
      <c r="AK432" s="3">
        <v>9</v>
      </c>
      <c r="AL432" s="3">
        <v>23</v>
      </c>
      <c r="AM432" s="3">
        <v>23</v>
      </c>
      <c r="AN432" s="3">
        <v>10</v>
      </c>
      <c r="AO432" s="3">
        <v>10</v>
      </c>
      <c r="AP432" s="3">
        <v>0</v>
      </c>
      <c r="AQ432" s="3">
        <v>0</v>
      </c>
      <c r="AR432" s="2" t="s">
        <v>5</v>
      </c>
      <c r="AS432" s="2" t="s">
        <v>46</v>
      </c>
      <c r="AT432" s="5" t="str">
        <f>HYPERLINK("http://catalog.hathitrust.org/Record/000317574","HathiTrust Record")</f>
        <v>HathiTrust Record</v>
      </c>
      <c r="AU432" s="5" t="str">
        <f>HYPERLINK("https://creighton-primo.hosted.exlibrisgroup.com/primo-explore/search?tab=default_tab&amp;search_scope=EVERYTHING&amp;vid=01CRU&amp;lang=en_US&amp;offset=0&amp;query=any,contains,991002425899702656","Catalog Record")</f>
        <v>Catalog Record</v>
      </c>
      <c r="AV432" s="5" t="str">
        <f>HYPERLINK("http://www.worldcat.org/oclc/344886","WorldCat Record")</f>
        <v>WorldCat Record</v>
      </c>
      <c r="AW432" s="2" t="s">
        <v>5430</v>
      </c>
      <c r="AX432" s="2" t="s">
        <v>5431</v>
      </c>
      <c r="AY432" s="2" t="s">
        <v>5432</v>
      </c>
      <c r="AZ432" s="2" t="s">
        <v>5432</v>
      </c>
      <c r="BA432" s="2" t="s">
        <v>5433</v>
      </c>
      <c r="BB432" s="2" t="s">
        <v>20</v>
      </c>
      <c r="BE432" s="2" t="s">
        <v>5442</v>
      </c>
      <c r="BF432" s="2" t="s">
        <v>5443</v>
      </c>
    </row>
    <row r="433" spans="1:58" ht="39.75" customHeight="1" x14ac:dyDescent="0.25">
      <c r="A433" s="7" t="s">
        <v>5</v>
      </c>
      <c r="B433" s="1" t="s">
        <v>0</v>
      </c>
      <c r="C433" s="1" t="s">
        <v>1</v>
      </c>
      <c r="D433" s="1" t="s">
        <v>5444</v>
      </c>
      <c r="E433" s="1" t="s">
        <v>5445</v>
      </c>
      <c r="F433" s="1" t="s">
        <v>5446</v>
      </c>
      <c r="G433" s="2" t="s">
        <v>2083</v>
      </c>
      <c r="H433" s="2" t="s">
        <v>46</v>
      </c>
      <c r="I433" s="2" t="s">
        <v>6</v>
      </c>
      <c r="J433" s="2" t="s">
        <v>5</v>
      </c>
      <c r="K433" s="2" t="s">
        <v>5</v>
      </c>
      <c r="L433" s="2" t="s">
        <v>7</v>
      </c>
      <c r="M433" s="1" t="s">
        <v>5447</v>
      </c>
      <c r="N433" s="1" t="s">
        <v>5448</v>
      </c>
      <c r="O433" s="2" t="s">
        <v>91</v>
      </c>
      <c r="P433" s="1" t="s">
        <v>2908</v>
      </c>
      <c r="Q433" s="2" t="s">
        <v>1151</v>
      </c>
      <c r="R433" s="2" t="s">
        <v>1152</v>
      </c>
      <c r="T433" s="2" t="s">
        <v>13</v>
      </c>
      <c r="U433" s="3">
        <v>2</v>
      </c>
      <c r="V433" s="3">
        <v>3</v>
      </c>
      <c r="W433" s="4" t="s">
        <v>5449</v>
      </c>
      <c r="X433" s="4" t="s">
        <v>5449</v>
      </c>
      <c r="Y433" s="4" t="s">
        <v>540</v>
      </c>
      <c r="Z433" s="4" t="s">
        <v>5450</v>
      </c>
      <c r="AA433" s="3">
        <v>95</v>
      </c>
      <c r="AB433" s="3">
        <v>72</v>
      </c>
      <c r="AC433" s="3">
        <v>74</v>
      </c>
      <c r="AD433" s="3">
        <v>1</v>
      </c>
      <c r="AE433" s="9">
        <v>1</v>
      </c>
      <c r="AF433" s="9">
        <v>5</v>
      </c>
      <c r="AG433" s="9">
        <v>5</v>
      </c>
      <c r="AH433" s="3">
        <v>1</v>
      </c>
      <c r="AI433" s="3">
        <v>1</v>
      </c>
      <c r="AJ433" s="3">
        <v>1</v>
      </c>
      <c r="AK433" s="3">
        <v>1</v>
      </c>
      <c r="AL433" s="3">
        <v>4</v>
      </c>
      <c r="AM433" s="3">
        <v>4</v>
      </c>
      <c r="AN433" s="3">
        <v>0</v>
      </c>
      <c r="AO433" s="3">
        <v>0</v>
      </c>
      <c r="AP433" s="3">
        <v>0</v>
      </c>
      <c r="AQ433" s="3">
        <v>0</v>
      </c>
      <c r="AR433" s="2" t="s">
        <v>5</v>
      </c>
      <c r="AS433" s="2" t="s">
        <v>46</v>
      </c>
      <c r="AT433" s="5" t="str">
        <f>HYPERLINK("http://catalog.hathitrust.org/Record/003036701","HathiTrust Record")</f>
        <v>HathiTrust Record</v>
      </c>
      <c r="AU433" s="5" t="str">
        <f>HYPERLINK("https://creighton-primo.hosted.exlibrisgroup.com/primo-explore/search?tab=default_tab&amp;search_scope=EVERYTHING&amp;vid=01CRU&amp;lang=en_US&amp;offset=0&amp;query=any,contains,991003797139702656","Catalog Record")</f>
        <v>Catalog Record</v>
      </c>
      <c r="AV433" s="5" t="str">
        <f>HYPERLINK("http://www.worldcat.org/oclc/33495498","WorldCat Record")</f>
        <v>WorldCat Record</v>
      </c>
      <c r="AW433" s="2" t="s">
        <v>5451</v>
      </c>
      <c r="AX433" s="2" t="s">
        <v>5452</v>
      </c>
      <c r="AY433" s="2" t="s">
        <v>5453</v>
      </c>
      <c r="AZ433" s="2" t="s">
        <v>5453</v>
      </c>
      <c r="BA433" s="2" t="s">
        <v>5454</v>
      </c>
      <c r="BB433" s="2" t="s">
        <v>20</v>
      </c>
      <c r="BD433" s="2" t="s">
        <v>5455</v>
      </c>
      <c r="BE433" s="2" t="s">
        <v>5456</v>
      </c>
      <c r="BF433" s="2" t="s">
        <v>5457</v>
      </c>
    </row>
    <row r="434" spans="1:58" ht="39.75" customHeight="1" x14ac:dyDescent="0.25">
      <c r="A434" s="7" t="s">
        <v>5</v>
      </c>
      <c r="B434" s="1" t="s">
        <v>0</v>
      </c>
      <c r="C434" s="1" t="s">
        <v>1</v>
      </c>
      <c r="D434" s="1" t="s">
        <v>5458</v>
      </c>
      <c r="E434" s="1" t="s">
        <v>5459</v>
      </c>
      <c r="F434" s="1" t="s">
        <v>5460</v>
      </c>
      <c r="H434" s="2" t="s">
        <v>5</v>
      </c>
      <c r="I434" s="2" t="s">
        <v>6</v>
      </c>
      <c r="J434" s="2" t="s">
        <v>5</v>
      </c>
      <c r="K434" s="2" t="s">
        <v>5</v>
      </c>
      <c r="L434" s="2" t="s">
        <v>7</v>
      </c>
      <c r="M434" s="1" t="s">
        <v>5461</v>
      </c>
      <c r="N434" s="1" t="s">
        <v>5462</v>
      </c>
      <c r="O434" s="2" t="s">
        <v>162</v>
      </c>
      <c r="P434" s="1" t="s">
        <v>5463</v>
      </c>
      <c r="Q434" s="2" t="s">
        <v>1151</v>
      </c>
      <c r="R434" s="2" t="s">
        <v>1152</v>
      </c>
      <c r="S434" s="1" t="s">
        <v>5464</v>
      </c>
      <c r="T434" s="2" t="s">
        <v>13</v>
      </c>
      <c r="U434" s="3">
        <v>2</v>
      </c>
      <c r="V434" s="3">
        <v>2</v>
      </c>
      <c r="W434" s="4" t="s">
        <v>5465</v>
      </c>
      <c r="X434" s="4" t="s">
        <v>5465</v>
      </c>
      <c r="Y434" s="4" t="s">
        <v>4707</v>
      </c>
      <c r="Z434" s="4" t="s">
        <v>4707</v>
      </c>
      <c r="AA434" s="3">
        <v>215</v>
      </c>
      <c r="AB434" s="3">
        <v>165</v>
      </c>
      <c r="AC434" s="3">
        <v>321</v>
      </c>
      <c r="AD434" s="3">
        <v>3</v>
      </c>
      <c r="AE434" s="9">
        <v>3</v>
      </c>
      <c r="AF434" s="9">
        <v>11</v>
      </c>
      <c r="AG434" s="9">
        <v>16</v>
      </c>
      <c r="AH434" s="3">
        <v>1</v>
      </c>
      <c r="AI434" s="3">
        <v>3</v>
      </c>
      <c r="AJ434" s="3">
        <v>3</v>
      </c>
      <c r="AK434" s="3">
        <v>4</v>
      </c>
      <c r="AL434" s="3">
        <v>6</v>
      </c>
      <c r="AM434" s="3">
        <v>9</v>
      </c>
      <c r="AN434" s="3">
        <v>2</v>
      </c>
      <c r="AO434" s="3">
        <v>2</v>
      </c>
      <c r="AP434" s="3">
        <v>0</v>
      </c>
      <c r="AQ434" s="3">
        <v>0</v>
      </c>
      <c r="AR434" s="2" t="s">
        <v>5</v>
      </c>
      <c r="AS434" s="2" t="s">
        <v>46</v>
      </c>
      <c r="AT434" s="5" t="str">
        <f>HYPERLINK("http://catalog.hathitrust.org/Record/008553286","HathiTrust Record")</f>
        <v>HathiTrust Record</v>
      </c>
      <c r="AU434" s="5" t="str">
        <f>HYPERLINK("https://creighton-primo.hosted.exlibrisgroup.com/primo-explore/search?tab=default_tab&amp;search_scope=EVERYTHING&amp;vid=01CRU&amp;lang=en_US&amp;offset=0&amp;query=any,contains,991003326369702656","Catalog Record")</f>
        <v>Catalog Record</v>
      </c>
      <c r="AV434" s="5" t="str">
        <f>HYPERLINK("http://www.worldcat.org/oclc/855978","WorldCat Record")</f>
        <v>WorldCat Record</v>
      </c>
      <c r="AW434" s="2" t="s">
        <v>5466</v>
      </c>
      <c r="AX434" s="2" t="s">
        <v>5467</v>
      </c>
      <c r="AY434" s="2" t="s">
        <v>5468</v>
      </c>
      <c r="AZ434" s="2" t="s">
        <v>5468</v>
      </c>
      <c r="BA434" s="2" t="s">
        <v>5469</v>
      </c>
      <c r="BB434" s="2" t="s">
        <v>20</v>
      </c>
      <c r="BE434" s="2" t="s">
        <v>5470</v>
      </c>
      <c r="BF434" s="2" t="s">
        <v>5471</v>
      </c>
    </row>
    <row r="435" spans="1:58" ht="39.75" customHeight="1" x14ac:dyDescent="0.25">
      <c r="A435" s="7" t="s">
        <v>5</v>
      </c>
      <c r="B435" s="1" t="s">
        <v>0</v>
      </c>
      <c r="C435" s="1" t="s">
        <v>1</v>
      </c>
      <c r="D435" s="1" t="s">
        <v>5472</v>
      </c>
      <c r="E435" s="1" t="s">
        <v>5473</v>
      </c>
      <c r="F435" s="1" t="s">
        <v>5474</v>
      </c>
      <c r="H435" s="2" t="s">
        <v>5</v>
      </c>
      <c r="I435" s="2" t="s">
        <v>6</v>
      </c>
      <c r="J435" s="2" t="s">
        <v>5</v>
      </c>
      <c r="K435" s="2" t="s">
        <v>5</v>
      </c>
      <c r="L435" s="2" t="s">
        <v>7</v>
      </c>
      <c r="M435" s="1" t="s">
        <v>5475</v>
      </c>
      <c r="N435" s="1" t="s">
        <v>5476</v>
      </c>
      <c r="O435" s="2" t="s">
        <v>248</v>
      </c>
      <c r="Q435" s="2" t="s">
        <v>60</v>
      </c>
      <c r="R435" s="2" t="s">
        <v>193</v>
      </c>
      <c r="S435" s="1" t="s">
        <v>5477</v>
      </c>
      <c r="T435" s="2" t="s">
        <v>13</v>
      </c>
      <c r="U435" s="3">
        <v>7</v>
      </c>
      <c r="V435" s="3">
        <v>7</v>
      </c>
      <c r="W435" s="4" t="s">
        <v>5429</v>
      </c>
      <c r="X435" s="4" t="s">
        <v>5429</v>
      </c>
      <c r="Y435" s="4" t="s">
        <v>5333</v>
      </c>
      <c r="Z435" s="4" t="s">
        <v>5333</v>
      </c>
      <c r="AA435" s="3">
        <v>811</v>
      </c>
      <c r="AB435" s="3">
        <v>641</v>
      </c>
      <c r="AC435" s="3">
        <v>648</v>
      </c>
      <c r="AD435" s="3">
        <v>5</v>
      </c>
      <c r="AE435" s="9">
        <v>5</v>
      </c>
      <c r="AF435" s="9">
        <v>32</v>
      </c>
      <c r="AG435" s="9">
        <v>32</v>
      </c>
      <c r="AH435" s="3">
        <v>12</v>
      </c>
      <c r="AI435" s="3">
        <v>12</v>
      </c>
      <c r="AJ435" s="3">
        <v>8</v>
      </c>
      <c r="AK435" s="3">
        <v>8</v>
      </c>
      <c r="AL435" s="3">
        <v>16</v>
      </c>
      <c r="AM435" s="3">
        <v>16</v>
      </c>
      <c r="AN435" s="3">
        <v>4</v>
      </c>
      <c r="AO435" s="3">
        <v>4</v>
      </c>
      <c r="AP435" s="3">
        <v>0</v>
      </c>
      <c r="AQ435" s="3">
        <v>0</v>
      </c>
      <c r="AR435" s="2" t="s">
        <v>5</v>
      </c>
      <c r="AS435" s="2" t="s">
        <v>46</v>
      </c>
      <c r="AT435" s="5" t="str">
        <f>HYPERLINK("http://catalog.hathitrust.org/Record/001048536","HathiTrust Record")</f>
        <v>HathiTrust Record</v>
      </c>
      <c r="AU435" s="5" t="str">
        <f>HYPERLINK("https://creighton-primo.hosted.exlibrisgroup.com/primo-explore/search?tab=default_tab&amp;search_scope=EVERYTHING&amp;vid=01CRU&amp;lang=en_US&amp;offset=0&amp;query=any,contains,991001380759702656","Catalog Record")</f>
        <v>Catalog Record</v>
      </c>
      <c r="AV435" s="5" t="str">
        <f>HYPERLINK("http://www.worldcat.org/oclc/226260","WorldCat Record")</f>
        <v>WorldCat Record</v>
      </c>
      <c r="AW435" s="2" t="s">
        <v>5478</v>
      </c>
      <c r="AX435" s="2" t="s">
        <v>5479</v>
      </c>
      <c r="AY435" s="2" t="s">
        <v>5480</v>
      </c>
      <c r="AZ435" s="2" t="s">
        <v>5480</v>
      </c>
      <c r="BA435" s="2" t="s">
        <v>5481</v>
      </c>
      <c r="BB435" s="2" t="s">
        <v>20</v>
      </c>
      <c r="BD435" s="2" t="s">
        <v>5482</v>
      </c>
      <c r="BE435" s="2" t="s">
        <v>5483</v>
      </c>
      <c r="BF435" s="2" t="s">
        <v>5484</v>
      </c>
    </row>
    <row r="436" spans="1:58" ht="39.75" customHeight="1" x14ac:dyDescent="0.25">
      <c r="A436" s="7" t="s">
        <v>5</v>
      </c>
      <c r="B436" s="1" t="s">
        <v>0</v>
      </c>
      <c r="C436" s="1" t="s">
        <v>1</v>
      </c>
      <c r="D436" s="1" t="s">
        <v>5485</v>
      </c>
      <c r="E436" s="1" t="s">
        <v>5486</v>
      </c>
      <c r="F436" s="1" t="s">
        <v>5487</v>
      </c>
      <c r="H436" s="2" t="s">
        <v>5</v>
      </c>
      <c r="I436" s="2" t="s">
        <v>6</v>
      </c>
      <c r="J436" s="2" t="s">
        <v>5</v>
      </c>
      <c r="K436" s="2" t="s">
        <v>5</v>
      </c>
      <c r="L436" s="2" t="s">
        <v>7</v>
      </c>
      <c r="M436" s="1" t="s">
        <v>5488</v>
      </c>
      <c r="N436" s="1" t="s">
        <v>5489</v>
      </c>
      <c r="O436" s="2" t="s">
        <v>468</v>
      </c>
      <c r="P436" s="1" t="s">
        <v>5490</v>
      </c>
      <c r="Q436" s="2" t="s">
        <v>1151</v>
      </c>
      <c r="R436" s="2" t="s">
        <v>1152</v>
      </c>
      <c r="S436" s="1" t="s">
        <v>5491</v>
      </c>
      <c r="T436" s="2" t="s">
        <v>13</v>
      </c>
      <c r="U436" s="3">
        <v>5</v>
      </c>
      <c r="V436" s="3">
        <v>5</v>
      </c>
      <c r="W436" s="4" t="s">
        <v>5492</v>
      </c>
      <c r="X436" s="4" t="s">
        <v>5492</v>
      </c>
      <c r="Y436" s="4" t="s">
        <v>4707</v>
      </c>
      <c r="Z436" s="4" t="s">
        <v>4707</v>
      </c>
      <c r="AA436" s="3">
        <v>342</v>
      </c>
      <c r="AB436" s="3">
        <v>284</v>
      </c>
      <c r="AC436" s="3">
        <v>401</v>
      </c>
      <c r="AD436" s="3">
        <v>3</v>
      </c>
      <c r="AE436" s="9">
        <v>3</v>
      </c>
      <c r="AF436" s="9">
        <v>14</v>
      </c>
      <c r="AG436" s="9">
        <v>21</v>
      </c>
      <c r="AH436" s="3">
        <v>4</v>
      </c>
      <c r="AI436" s="3">
        <v>9</v>
      </c>
      <c r="AJ436" s="3">
        <v>3</v>
      </c>
      <c r="AK436" s="3">
        <v>5</v>
      </c>
      <c r="AL436" s="3">
        <v>9</v>
      </c>
      <c r="AM436" s="3">
        <v>12</v>
      </c>
      <c r="AN436" s="3">
        <v>2</v>
      </c>
      <c r="AO436" s="3">
        <v>2</v>
      </c>
      <c r="AP436" s="3">
        <v>0</v>
      </c>
      <c r="AQ436" s="3">
        <v>0</v>
      </c>
      <c r="AR436" s="2" t="s">
        <v>5</v>
      </c>
      <c r="AS436" s="2" t="s">
        <v>46</v>
      </c>
      <c r="AT436" s="5" t="str">
        <f>HYPERLINK("http://catalog.hathitrust.org/Record/007119737","HathiTrust Record")</f>
        <v>HathiTrust Record</v>
      </c>
      <c r="AU436" s="5" t="str">
        <f>HYPERLINK("https://creighton-primo.hosted.exlibrisgroup.com/primo-explore/search?tab=default_tab&amp;search_scope=EVERYTHING&amp;vid=01CRU&amp;lang=en_US&amp;offset=0&amp;query=any,contains,991002432069702656","Catalog Record")</f>
        <v>Catalog Record</v>
      </c>
      <c r="AV436" s="5" t="str">
        <f>HYPERLINK("http://www.worldcat.org/oclc/347534","WorldCat Record")</f>
        <v>WorldCat Record</v>
      </c>
      <c r="AW436" s="2" t="s">
        <v>5493</v>
      </c>
      <c r="AX436" s="2" t="s">
        <v>5494</v>
      </c>
      <c r="AY436" s="2" t="s">
        <v>5495</v>
      </c>
      <c r="AZ436" s="2" t="s">
        <v>5495</v>
      </c>
      <c r="BA436" s="2" t="s">
        <v>5496</v>
      </c>
      <c r="BB436" s="2" t="s">
        <v>20</v>
      </c>
      <c r="BE436" s="2" t="s">
        <v>5497</v>
      </c>
      <c r="BF436" s="2" t="s">
        <v>5498</v>
      </c>
    </row>
    <row r="437" spans="1:58" ht="39.75" customHeight="1" x14ac:dyDescent="0.25">
      <c r="A437" s="7" t="s">
        <v>5</v>
      </c>
      <c r="B437" s="1" t="s">
        <v>0</v>
      </c>
      <c r="C437" s="1" t="s">
        <v>1</v>
      </c>
      <c r="D437" s="1" t="s">
        <v>5499</v>
      </c>
      <c r="E437" s="1" t="s">
        <v>5500</v>
      </c>
      <c r="F437" s="1" t="s">
        <v>5501</v>
      </c>
      <c r="H437" s="2" t="s">
        <v>5</v>
      </c>
      <c r="I437" s="2" t="s">
        <v>6</v>
      </c>
      <c r="J437" s="2" t="s">
        <v>5</v>
      </c>
      <c r="K437" s="2" t="s">
        <v>5</v>
      </c>
      <c r="L437" s="2" t="s">
        <v>7</v>
      </c>
      <c r="M437" s="1" t="s">
        <v>5502</v>
      </c>
      <c r="N437" s="1" t="s">
        <v>5503</v>
      </c>
      <c r="O437" s="2" t="s">
        <v>1515</v>
      </c>
      <c r="Q437" s="2" t="s">
        <v>1151</v>
      </c>
      <c r="R437" s="2" t="s">
        <v>1152</v>
      </c>
      <c r="S437" s="1" t="s">
        <v>5504</v>
      </c>
      <c r="T437" s="2" t="s">
        <v>13</v>
      </c>
      <c r="U437" s="3">
        <v>6</v>
      </c>
      <c r="V437" s="3">
        <v>6</v>
      </c>
      <c r="W437" s="4" t="s">
        <v>5505</v>
      </c>
      <c r="X437" s="4" t="s">
        <v>5505</v>
      </c>
      <c r="Y437" s="4" t="s">
        <v>5333</v>
      </c>
      <c r="Z437" s="4" t="s">
        <v>5333</v>
      </c>
      <c r="AA437" s="3">
        <v>101</v>
      </c>
      <c r="AB437" s="3">
        <v>61</v>
      </c>
      <c r="AC437" s="3">
        <v>70</v>
      </c>
      <c r="AD437" s="3">
        <v>1</v>
      </c>
      <c r="AE437" s="9">
        <v>1</v>
      </c>
      <c r="AF437" s="9">
        <v>1</v>
      </c>
      <c r="AG437" s="9">
        <v>2</v>
      </c>
      <c r="AH437" s="3">
        <v>0</v>
      </c>
      <c r="AI437" s="3">
        <v>0</v>
      </c>
      <c r="AJ437" s="3">
        <v>1</v>
      </c>
      <c r="AK437" s="3">
        <v>1</v>
      </c>
      <c r="AL437" s="3">
        <v>1</v>
      </c>
      <c r="AM437" s="3">
        <v>2</v>
      </c>
      <c r="AN437" s="3">
        <v>0</v>
      </c>
      <c r="AO437" s="3">
        <v>0</v>
      </c>
      <c r="AP437" s="3">
        <v>0</v>
      </c>
      <c r="AQ437" s="3">
        <v>0</v>
      </c>
      <c r="AR437" s="2" t="s">
        <v>5</v>
      </c>
      <c r="AS437" s="2" t="s">
        <v>46</v>
      </c>
      <c r="AT437" s="5" t="str">
        <f>HYPERLINK("http://catalog.hathitrust.org/Record/000195906","HathiTrust Record")</f>
        <v>HathiTrust Record</v>
      </c>
      <c r="AU437" s="5" t="str">
        <f>HYPERLINK("https://creighton-primo.hosted.exlibrisgroup.com/primo-explore/search?tab=default_tab&amp;search_scope=EVERYTHING&amp;vid=01CRU&amp;lang=en_US&amp;offset=0&amp;query=any,contains,991005180409702656","Catalog Record")</f>
        <v>Catalog Record</v>
      </c>
      <c r="AV437" s="5" t="str">
        <f>HYPERLINK("http://www.worldcat.org/oclc/7945464","WorldCat Record")</f>
        <v>WorldCat Record</v>
      </c>
      <c r="AW437" s="2" t="s">
        <v>5506</v>
      </c>
      <c r="AX437" s="2" t="s">
        <v>5507</v>
      </c>
      <c r="AY437" s="2" t="s">
        <v>5508</v>
      </c>
      <c r="AZ437" s="2" t="s">
        <v>5508</v>
      </c>
      <c r="BA437" s="2" t="s">
        <v>5509</v>
      </c>
      <c r="BB437" s="2" t="s">
        <v>20</v>
      </c>
      <c r="BE437" s="2" t="s">
        <v>5510</v>
      </c>
      <c r="BF437" s="2" t="s">
        <v>5511</v>
      </c>
    </row>
    <row r="438" spans="1:58" ht="39.75" customHeight="1" x14ac:dyDescent="0.25">
      <c r="A438" s="7" t="s">
        <v>5</v>
      </c>
      <c r="B438" s="1" t="s">
        <v>0</v>
      </c>
      <c r="C438" s="1" t="s">
        <v>1</v>
      </c>
      <c r="D438" s="1" t="s">
        <v>5512</v>
      </c>
      <c r="E438" s="1" t="s">
        <v>5513</v>
      </c>
      <c r="F438" s="1" t="s">
        <v>5514</v>
      </c>
      <c r="H438" s="2" t="s">
        <v>5</v>
      </c>
      <c r="I438" s="2" t="s">
        <v>6</v>
      </c>
      <c r="J438" s="2" t="s">
        <v>5</v>
      </c>
      <c r="K438" s="2" t="s">
        <v>5</v>
      </c>
      <c r="L438" s="2" t="s">
        <v>7</v>
      </c>
      <c r="M438" s="1" t="s">
        <v>5515</v>
      </c>
      <c r="N438" s="1" t="s">
        <v>5516</v>
      </c>
      <c r="O438" s="2" t="s">
        <v>480</v>
      </c>
      <c r="Q438" s="2" t="s">
        <v>1151</v>
      </c>
      <c r="R438" s="2" t="s">
        <v>1152</v>
      </c>
      <c r="S438" s="1" t="s">
        <v>5517</v>
      </c>
      <c r="T438" s="2" t="s">
        <v>13</v>
      </c>
      <c r="U438" s="3">
        <v>1</v>
      </c>
      <c r="V438" s="3">
        <v>1</v>
      </c>
      <c r="W438" s="4" t="s">
        <v>5518</v>
      </c>
      <c r="X438" s="4" t="s">
        <v>5518</v>
      </c>
      <c r="Y438" s="4" t="s">
        <v>5518</v>
      </c>
      <c r="Z438" s="4" t="s">
        <v>5518</v>
      </c>
      <c r="AA438" s="3">
        <v>99</v>
      </c>
      <c r="AB438" s="3">
        <v>42</v>
      </c>
      <c r="AC438" s="3">
        <v>43</v>
      </c>
      <c r="AD438" s="3">
        <v>1</v>
      </c>
      <c r="AE438" s="9">
        <v>1</v>
      </c>
      <c r="AF438" s="9">
        <v>2</v>
      </c>
      <c r="AG438" s="9">
        <v>2</v>
      </c>
      <c r="AH438" s="3">
        <v>0</v>
      </c>
      <c r="AI438" s="3">
        <v>0</v>
      </c>
      <c r="AJ438" s="3">
        <v>1</v>
      </c>
      <c r="AK438" s="3">
        <v>1</v>
      </c>
      <c r="AL438" s="3">
        <v>2</v>
      </c>
      <c r="AM438" s="3">
        <v>2</v>
      </c>
      <c r="AN438" s="3">
        <v>0</v>
      </c>
      <c r="AO438" s="3">
        <v>0</v>
      </c>
      <c r="AP438" s="3">
        <v>0</v>
      </c>
      <c r="AQ438" s="3">
        <v>0</v>
      </c>
      <c r="AR438" s="2" t="s">
        <v>5</v>
      </c>
      <c r="AS438" s="2" t="s">
        <v>46</v>
      </c>
      <c r="AT438" s="5" t="str">
        <f>HYPERLINK("http://catalog.hathitrust.org/Record/001517901","HathiTrust Record")</f>
        <v>HathiTrust Record</v>
      </c>
      <c r="AU438" s="5" t="str">
        <f>HYPERLINK("https://creighton-primo.hosted.exlibrisgroup.com/primo-explore/search?tab=default_tab&amp;search_scope=EVERYTHING&amp;vid=01CRU&amp;lang=en_US&amp;offset=0&amp;query=any,contains,991004508509702656","Catalog Record")</f>
        <v>Catalog Record</v>
      </c>
      <c r="AV438" s="5" t="str">
        <f>HYPERLINK("http://www.worldcat.org/oclc/2691988","WorldCat Record")</f>
        <v>WorldCat Record</v>
      </c>
      <c r="AW438" s="2" t="s">
        <v>5519</v>
      </c>
      <c r="AX438" s="2" t="s">
        <v>5520</v>
      </c>
      <c r="AY438" s="2" t="s">
        <v>5521</v>
      </c>
      <c r="AZ438" s="2" t="s">
        <v>5521</v>
      </c>
      <c r="BA438" s="2" t="s">
        <v>5522</v>
      </c>
      <c r="BB438" s="2" t="s">
        <v>20</v>
      </c>
      <c r="BE438" s="2" t="s">
        <v>5523</v>
      </c>
      <c r="BF438" s="2" t="s">
        <v>5524</v>
      </c>
    </row>
    <row r="439" spans="1:58" ht="39.75" customHeight="1" x14ac:dyDescent="0.25">
      <c r="A439" s="7" t="s">
        <v>5</v>
      </c>
      <c r="B439" s="1" t="s">
        <v>0</v>
      </c>
      <c r="C439" s="1" t="s">
        <v>1</v>
      </c>
      <c r="D439" s="1" t="s">
        <v>5525</v>
      </c>
      <c r="E439" s="1" t="s">
        <v>5526</v>
      </c>
      <c r="F439" s="1" t="s">
        <v>5527</v>
      </c>
      <c r="H439" s="2" t="s">
        <v>5</v>
      </c>
      <c r="I439" s="2" t="s">
        <v>6</v>
      </c>
      <c r="J439" s="2" t="s">
        <v>5</v>
      </c>
      <c r="K439" s="2" t="s">
        <v>5</v>
      </c>
      <c r="L439" s="2" t="s">
        <v>7</v>
      </c>
      <c r="M439" s="1" t="s">
        <v>5528</v>
      </c>
      <c r="N439" s="1" t="s">
        <v>5529</v>
      </c>
      <c r="O439" s="2" t="s">
        <v>192</v>
      </c>
      <c r="Q439" s="2" t="s">
        <v>1151</v>
      </c>
      <c r="R439" s="2" t="s">
        <v>1152</v>
      </c>
      <c r="T439" s="2" t="s">
        <v>13</v>
      </c>
      <c r="U439" s="3">
        <v>2</v>
      </c>
      <c r="V439" s="3">
        <v>2</v>
      </c>
      <c r="W439" s="4" t="s">
        <v>5505</v>
      </c>
      <c r="X439" s="4" t="s">
        <v>5505</v>
      </c>
      <c r="Y439" s="4" t="s">
        <v>4707</v>
      </c>
      <c r="Z439" s="4" t="s">
        <v>4707</v>
      </c>
      <c r="AA439" s="3">
        <v>131</v>
      </c>
      <c r="AB439" s="3">
        <v>102</v>
      </c>
      <c r="AC439" s="3">
        <v>104</v>
      </c>
      <c r="AD439" s="3">
        <v>2</v>
      </c>
      <c r="AE439" s="9">
        <v>2</v>
      </c>
      <c r="AF439" s="9">
        <v>9</v>
      </c>
      <c r="AG439" s="9">
        <v>9</v>
      </c>
      <c r="AH439" s="3">
        <v>2</v>
      </c>
      <c r="AI439" s="3">
        <v>2</v>
      </c>
      <c r="AJ439" s="3">
        <v>3</v>
      </c>
      <c r="AK439" s="3">
        <v>3</v>
      </c>
      <c r="AL439" s="3">
        <v>4</v>
      </c>
      <c r="AM439" s="3">
        <v>4</v>
      </c>
      <c r="AN439" s="3">
        <v>1</v>
      </c>
      <c r="AO439" s="3">
        <v>1</v>
      </c>
      <c r="AP439" s="3">
        <v>0</v>
      </c>
      <c r="AQ439" s="3">
        <v>0</v>
      </c>
      <c r="AR439" s="2" t="s">
        <v>5</v>
      </c>
      <c r="AS439" s="2" t="s">
        <v>46</v>
      </c>
      <c r="AT439" s="5" t="str">
        <f>HYPERLINK("http://catalog.hathitrust.org/Record/001036905","HathiTrust Record")</f>
        <v>HathiTrust Record</v>
      </c>
      <c r="AU439" s="5" t="str">
        <f>HYPERLINK("https://creighton-primo.hosted.exlibrisgroup.com/primo-explore/search?tab=default_tab&amp;search_scope=EVERYTHING&amp;vid=01CRU&amp;lang=en_US&amp;offset=0&amp;query=any,contains,991004491189702656","Catalog Record")</f>
        <v>Catalog Record</v>
      </c>
      <c r="AV439" s="5" t="str">
        <f>HYPERLINK("http://www.worldcat.org/oclc/3662002","WorldCat Record")</f>
        <v>WorldCat Record</v>
      </c>
      <c r="AW439" s="2" t="s">
        <v>5530</v>
      </c>
      <c r="AX439" s="2" t="s">
        <v>5531</v>
      </c>
      <c r="AY439" s="2" t="s">
        <v>5532</v>
      </c>
      <c r="AZ439" s="2" t="s">
        <v>5532</v>
      </c>
      <c r="BA439" s="2" t="s">
        <v>5533</v>
      </c>
      <c r="BB439" s="2" t="s">
        <v>20</v>
      </c>
      <c r="BE439" s="2" t="s">
        <v>5534</v>
      </c>
      <c r="BF439" s="2" t="s">
        <v>5535</v>
      </c>
    </row>
    <row r="440" spans="1:58" ht="39.75" customHeight="1" x14ac:dyDescent="0.25">
      <c r="A440" s="7" t="s">
        <v>5</v>
      </c>
      <c r="B440" s="1" t="s">
        <v>0</v>
      </c>
      <c r="C440" s="1" t="s">
        <v>1</v>
      </c>
      <c r="D440" s="1" t="s">
        <v>5536</v>
      </c>
      <c r="E440" s="1" t="s">
        <v>5537</v>
      </c>
      <c r="F440" s="1" t="s">
        <v>5538</v>
      </c>
      <c r="H440" s="2" t="s">
        <v>5</v>
      </c>
      <c r="I440" s="2" t="s">
        <v>6</v>
      </c>
      <c r="J440" s="2" t="s">
        <v>5</v>
      </c>
      <c r="K440" s="2" t="s">
        <v>5</v>
      </c>
      <c r="L440" s="2" t="s">
        <v>7</v>
      </c>
      <c r="M440" s="1" t="s">
        <v>5539</v>
      </c>
      <c r="N440" s="1" t="s">
        <v>5540</v>
      </c>
      <c r="O440" s="2" t="s">
        <v>886</v>
      </c>
      <c r="Q440" s="2" t="s">
        <v>60</v>
      </c>
      <c r="R440" s="2" t="s">
        <v>1123</v>
      </c>
      <c r="T440" s="2" t="s">
        <v>13</v>
      </c>
      <c r="U440" s="3">
        <v>4</v>
      </c>
      <c r="V440" s="3">
        <v>4</v>
      </c>
      <c r="W440" s="4" t="s">
        <v>5541</v>
      </c>
      <c r="X440" s="4" t="s">
        <v>5541</v>
      </c>
      <c r="Y440" s="4" t="s">
        <v>5333</v>
      </c>
      <c r="Z440" s="4" t="s">
        <v>5333</v>
      </c>
      <c r="AA440" s="3">
        <v>89</v>
      </c>
      <c r="AB440" s="3">
        <v>73</v>
      </c>
      <c r="AC440" s="3">
        <v>364</v>
      </c>
      <c r="AD440" s="3">
        <v>1</v>
      </c>
      <c r="AE440" s="9">
        <v>2</v>
      </c>
      <c r="AF440" s="9">
        <v>7</v>
      </c>
      <c r="AG440" s="9">
        <v>24</v>
      </c>
      <c r="AH440" s="3">
        <v>1</v>
      </c>
      <c r="AI440" s="3">
        <v>7</v>
      </c>
      <c r="AJ440" s="3">
        <v>5</v>
      </c>
      <c r="AK440" s="3">
        <v>8</v>
      </c>
      <c r="AL440" s="3">
        <v>2</v>
      </c>
      <c r="AM440" s="3">
        <v>15</v>
      </c>
      <c r="AN440" s="3">
        <v>0</v>
      </c>
      <c r="AO440" s="3">
        <v>1</v>
      </c>
      <c r="AP440" s="3">
        <v>0</v>
      </c>
      <c r="AQ440" s="3">
        <v>0</v>
      </c>
      <c r="AR440" s="2" t="s">
        <v>5</v>
      </c>
      <c r="AS440" s="2" t="s">
        <v>46</v>
      </c>
      <c r="AT440" s="5" t="str">
        <f>HYPERLINK("http://catalog.hathitrust.org/Record/007969385","HathiTrust Record")</f>
        <v>HathiTrust Record</v>
      </c>
      <c r="AU440" s="5" t="str">
        <f>HYPERLINK("https://creighton-primo.hosted.exlibrisgroup.com/primo-explore/search?tab=default_tab&amp;search_scope=EVERYTHING&amp;vid=01CRU&amp;lang=en_US&amp;offset=0&amp;query=any,contains,991003280579702656","Catalog Record")</f>
        <v>Catalog Record</v>
      </c>
      <c r="AV440" s="5" t="str">
        <f>HYPERLINK("http://www.worldcat.org/oclc/802987","WorldCat Record")</f>
        <v>WorldCat Record</v>
      </c>
      <c r="AW440" s="2" t="s">
        <v>5542</v>
      </c>
      <c r="AX440" s="2" t="s">
        <v>5543</v>
      </c>
      <c r="AY440" s="2" t="s">
        <v>5544</v>
      </c>
      <c r="AZ440" s="2" t="s">
        <v>5544</v>
      </c>
      <c r="BA440" s="2" t="s">
        <v>5545</v>
      </c>
      <c r="BB440" s="2" t="s">
        <v>20</v>
      </c>
      <c r="BD440" s="2" t="s">
        <v>5546</v>
      </c>
      <c r="BE440" s="2" t="s">
        <v>5547</v>
      </c>
      <c r="BF440" s="2" t="s">
        <v>5548</v>
      </c>
    </row>
    <row r="441" spans="1:58" ht="39.75" customHeight="1" x14ac:dyDescent="0.25">
      <c r="A441" s="7" t="s">
        <v>5</v>
      </c>
      <c r="B441" s="1" t="s">
        <v>0</v>
      </c>
      <c r="C441" s="1" t="s">
        <v>1</v>
      </c>
      <c r="D441" s="1" t="s">
        <v>5549</v>
      </c>
      <c r="E441" s="1" t="s">
        <v>5550</v>
      </c>
      <c r="F441" s="1" t="s">
        <v>5551</v>
      </c>
      <c r="H441" s="2" t="s">
        <v>5</v>
      </c>
      <c r="I441" s="2" t="s">
        <v>6</v>
      </c>
      <c r="J441" s="2" t="s">
        <v>5</v>
      </c>
      <c r="K441" s="2" t="s">
        <v>5</v>
      </c>
      <c r="L441" s="2" t="s">
        <v>7</v>
      </c>
      <c r="M441" s="1" t="s">
        <v>5552</v>
      </c>
      <c r="N441" s="1" t="s">
        <v>5553</v>
      </c>
      <c r="O441" s="2" t="s">
        <v>248</v>
      </c>
      <c r="Q441" s="2" t="s">
        <v>1151</v>
      </c>
      <c r="R441" s="2" t="s">
        <v>1152</v>
      </c>
      <c r="S441" s="1" t="s">
        <v>5554</v>
      </c>
      <c r="T441" s="2" t="s">
        <v>13</v>
      </c>
      <c r="U441" s="3">
        <v>2</v>
      </c>
      <c r="V441" s="3">
        <v>2</v>
      </c>
      <c r="W441" s="4" t="s">
        <v>5505</v>
      </c>
      <c r="X441" s="4" t="s">
        <v>5505</v>
      </c>
      <c r="Y441" s="4" t="s">
        <v>4707</v>
      </c>
      <c r="Z441" s="4" t="s">
        <v>4707</v>
      </c>
      <c r="AA441" s="3">
        <v>308</v>
      </c>
      <c r="AB441" s="3">
        <v>233</v>
      </c>
      <c r="AC441" s="3">
        <v>236</v>
      </c>
      <c r="AD441" s="3">
        <v>2</v>
      </c>
      <c r="AE441" s="9">
        <v>2</v>
      </c>
      <c r="AF441" s="9">
        <v>10</v>
      </c>
      <c r="AG441" s="9">
        <v>10</v>
      </c>
      <c r="AH441" s="3">
        <v>2</v>
      </c>
      <c r="AI441" s="3">
        <v>2</v>
      </c>
      <c r="AJ441" s="3">
        <v>3</v>
      </c>
      <c r="AK441" s="3">
        <v>3</v>
      </c>
      <c r="AL441" s="3">
        <v>6</v>
      </c>
      <c r="AM441" s="3">
        <v>6</v>
      </c>
      <c r="AN441" s="3">
        <v>1</v>
      </c>
      <c r="AO441" s="3">
        <v>1</v>
      </c>
      <c r="AP441" s="3">
        <v>0</v>
      </c>
      <c r="AQ441" s="3">
        <v>0</v>
      </c>
      <c r="AR441" s="2" t="s">
        <v>5</v>
      </c>
      <c r="AS441" s="2" t="s">
        <v>46</v>
      </c>
      <c r="AT441" s="5" t="str">
        <f>HYPERLINK("http://catalog.hathitrust.org/Record/001116295","HathiTrust Record")</f>
        <v>HathiTrust Record</v>
      </c>
      <c r="AU441" s="5" t="str">
        <f>HYPERLINK("https://creighton-primo.hosted.exlibrisgroup.com/primo-explore/search?tab=default_tab&amp;search_scope=EVERYTHING&amp;vid=01CRU&amp;lang=en_US&amp;offset=0&amp;query=any,contains,991002963729702656","Catalog Record")</f>
        <v>Catalog Record</v>
      </c>
      <c r="AV441" s="5" t="str">
        <f>HYPERLINK("http://www.worldcat.org/oclc/545095","WorldCat Record")</f>
        <v>WorldCat Record</v>
      </c>
      <c r="AW441" s="2" t="s">
        <v>5555</v>
      </c>
      <c r="AX441" s="2" t="s">
        <v>5556</v>
      </c>
      <c r="AY441" s="2" t="s">
        <v>5557</v>
      </c>
      <c r="AZ441" s="2" t="s">
        <v>5557</v>
      </c>
      <c r="BA441" s="2" t="s">
        <v>5558</v>
      </c>
      <c r="BB441" s="2" t="s">
        <v>20</v>
      </c>
      <c r="BE441" s="2" t="s">
        <v>5559</v>
      </c>
      <c r="BF441" s="2" t="s">
        <v>5560</v>
      </c>
    </row>
    <row r="442" spans="1:58" ht="39.75" customHeight="1" x14ac:dyDescent="0.25">
      <c r="A442" s="7" t="s">
        <v>5</v>
      </c>
      <c r="B442" s="1" t="s">
        <v>0</v>
      </c>
      <c r="C442" s="1" t="s">
        <v>1</v>
      </c>
      <c r="D442" s="1" t="s">
        <v>5561</v>
      </c>
      <c r="E442" s="1" t="s">
        <v>5562</v>
      </c>
      <c r="F442" s="1" t="s">
        <v>5563</v>
      </c>
      <c r="H442" s="2" t="s">
        <v>46</v>
      </c>
      <c r="I442" s="2" t="s">
        <v>6</v>
      </c>
      <c r="J442" s="2" t="s">
        <v>5</v>
      </c>
      <c r="K442" s="2" t="s">
        <v>5</v>
      </c>
      <c r="L442" s="2" t="s">
        <v>7</v>
      </c>
      <c r="M442" s="1" t="s">
        <v>5427</v>
      </c>
      <c r="N442" s="1" t="s">
        <v>5564</v>
      </c>
      <c r="O442" s="2" t="s">
        <v>121</v>
      </c>
      <c r="Q442" s="2" t="s">
        <v>1151</v>
      </c>
      <c r="R442" s="2" t="s">
        <v>234</v>
      </c>
      <c r="S442" s="1" t="s">
        <v>5565</v>
      </c>
      <c r="T442" s="2" t="s">
        <v>13</v>
      </c>
      <c r="U442" s="3">
        <v>2</v>
      </c>
      <c r="V442" s="3">
        <v>2</v>
      </c>
      <c r="W442" s="4" t="s">
        <v>5566</v>
      </c>
      <c r="X442" s="4" t="s">
        <v>5566</v>
      </c>
      <c r="Y442" s="4" t="s">
        <v>4707</v>
      </c>
      <c r="Z442" s="4" t="s">
        <v>4707</v>
      </c>
      <c r="AA442" s="3">
        <v>193</v>
      </c>
      <c r="AB442" s="3">
        <v>153</v>
      </c>
      <c r="AC442" s="3">
        <v>211</v>
      </c>
      <c r="AD442" s="3">
        <v>2</v>
      </c>
      <c r="AE442" s="9">
        <v>3</v>
      </c>
      <c r="AF442" s="9">
        <v>9</v>
      </c>
      <c r="AG442" s="9">
        <v>14</v>
      </c>
      <c r="AH442" s="3">
        <v>3</v>
      </c>
      <c r="AI442" s="3">
        <v>3</v>
      </c>
      <c r="AJ442" s="3">
        <v>2</v>
      </c>
      <c r="AK442" s="3">
        <v>4</v>
      </c>
      <c r="AL442" s="3">
        <v>5</v>
      </c>
      <c r="AM442" s="3">
        <v>8</v>
      </c>
      <c r="AN442" s="3">
        <v>1</v>
      </c>
      <c r="AO442" s="3">
        <v>2</v>
      </c>
      <c r="AP442" s="3">
        <v>0</v>
      </c>
      <c r="AQ442" s="3">
        <v>0</v>
      </c>
      <c r="AR442" s="2" t="s">
        <v>5</v>
      </c>
      <c r="AS442" s="2" t="s">
        <v>46</v>
      </c>
      <c r="AT442" s="5" t="str">
        <f>HYPERLINK("http://catalog.hathitrust.org/Record/000317656","HathiTrust Record")</f>
        <v>HathiTrust Record</v>
      </c>
      <c r="AU442" s="5" t="str">
        <f>HYPERLINK("https://creighton-primo.hosted.exlibrisgroup.com/primo-explore/search?tab=default_tab&amp;search_scope=EVERYTHING&amp;vid=01CRU&amp;lang=en_US&amp;offset=0&amp;query=any,contains,991001723039702656","Catalog Record")</f>
        <v>Catalog Record</v>
      </c>
      <c r="AV442" s="5" t="str">
        <f>HYPERLINK("http://www.worldcat.org/oclc/234904","WorldCat Record")</f>
        <v>WorldCat Record</v>
      </c>
      <c r="AW442" s="2" t="s">
        <v>5567</v>
      </c>
      <c r="AX442" s="2" t="s">
        <v>5568</v>
      </c>
      <c r="AY442" s="2" t="s">
        <v>5569</v>
      </c>
      <c r="AZ442" s="2" t="s">
        <v>5569</v>
      </c>
      <c r="BA442" s="2" t="s">
        <v>5570</v>
      </c>
      <c r="BB442" s="2" t="s">
        <v>20</v>
      </c>
      <c r="BE442" s="2" t="s">
        <v>5571</v>
      </c>
      <c r="BF442" s="2" t="s">
        <v>5572</v>
      </c>
    </row>
    <row r="443" spans="1:58" ht="39.75" customHeight="1" x14ac:dyDescent="0.25">
      <c r="A443" s="7" t="s">
        <v>5</v>
      </c>
      <c r="B443" s="1" t="s">
        <v>0</v>
      </c>
      <c r="C443" s="1" t="s">
        <v>1</v>
      </c>
      <c r="D443" s="1" t="s">
        <v>5573</v>
      </c>
      <c r="E443" s="1" t="s">
        <v>5574</v>
      </c>
      <c r="F443" s="1" t="s">
        <v>5575</v>
      </c>
      <c r="H443" s="2" t="s">
        <v>5</v>
      </c>
      <c r="I443" s="2" t="s">
        <v>6</v>
      </c>
      <c r="J443" s="2" t="s">
        <v>5</v>
      </c>
      <c r="K443" s="2" t="s">
        <v>5</v>
      </c>
      <c r="L443" s="2" t="s">
        <v>7</v>
      </c>
      <c r="N443" s="1" t="s">
        <v>5576</v>
      </c>
      <c r="O443" s="2" t="s">
        <v>27</v>
      </c>
      <c r="Q443" s="2" t="s">
        <v>1151</v>
      </c>
      <c r="R443" s="2" t="s">
        <v>1152</v>
      </c>
      <c r="T443" s="2" t="s">
        <v>13</v>
      </c>
      <c r="U443" s="3">
        <v>1</v>
      </c>
      <c r="V443" s="3">
        <v>1</v>
      </c>
      <c r="W443" s="4" t="s">
        <v>5032</v>
      </c>
      <c r="X443" s="4" t="s">
        <v>5032</v>
      </c>
      <c r="Y443" s="4" t="s">
        <v>5032</v>
      </c>
      <c r="Z443" s="4" t="s">
        <v>5032</v>
      </c>
      <c r="AA443" s="3">
        <v>76</v>
      </c>
      <c r="AB443" s="3">
        <v>50</v>
      </c>
      <c r="AC443" s="3">
        <v>50</v>
      </c>
      <c r="AD443" s="3">
        <v>1</v>
      </c>
      <c r="AE443" s="9">
        <v>1</v>
      </c>
      <c r="AF443" s="9">
        <v>3</v>
      </c>
      <c r="AG443" s="9">
        <v>3</v>
      </c>
      <c r="AH443" s="3">
        <v>0</v>
      </c>
      <c r="AI443" s="3">
        <v>0</v>
      </c>
      <c r="AJ443" s="3">
        <v>2</v>
      </c>
      <c r="AK443" s="3">
        <v>2</v>
      </c>
      <c r="AL443" s="3">
        <v>2</v>
      </c>
      <c r="AM443" s="3">
        <v>2</v>
      </c>
      <c r="AN443" s="3">
        <v>0</v>
      </c>
      <c r="AO443" s="3">
        <v>0</v>
      </c>
      <c r="AP443" s="3">
        <v>0</v>
      </c>
      <c r="AQ443" s="3">
        <v>0</v>
      </c>
      <c r="AR443" s="2" t="s">
        <v>5</v>
      </c>
      <c r="AS443" s="2" t="s">
        <v>5</v>
      </c>
      <c r="AU443" s="5" t="str">
        <f>HYPERLINK("https://creighton-primo.hosted.exlibrisgroup.com/primo-explore/search?tab=default_tab&amp;search_scope=EVERYTHING&amp;vid=01CRU&amp;lang=en_US&amp;offset=0&amp;query=any,contains,991004490769702656","Catalog Record")</f>
        <v>Catalog Record</v>
      </c>
      <c r="AV443" s="5" t="str">
        <f>HYPERLINK("http://www.worldcat.org/oclc/28483913","WorldCat Record")</f>
        <v>WorldCat Record</v>
      </c>
      <c r="AW443" s="2" t="s">
        <v>5577</v>
      </c>
      <c r="AX443" s="2" t="s">
        <v>5578</v>
      </c>
      <c r="AY443" s="2" t="s">
        <v>5579</v>
      </c>
      <c r="AZ443" s="2" t="s">
        <v>5579</v>
      </c>
      <c r="BA443" s="2" t="s">
        <v>5580</v>
      </c>
      <c r="BB443" s="2" t="s">
        <v>20</v>
      </c>
      <c r="BD443" s="2" t="s">
        <v>5581</v>
      </c>
      <c r="BE443" s="2" t="s">
        <v>5582</v>
      </c>
      <c r="BF443" s="2" t="s">
        <v>5583</v>
      </c>
    </row>
    <row r="444" spans="1:58" ht="39.75" customHeight="1" x14ac:dyDescent="0.25">
      <c r="A444" s="7" t="s">
        <v>5</v>
      </c>
      <c r="B444" s="1" t="s">
        <v>0</v>
      </c>
      <c r="C444" s="1" t="s">
        <v>1</v>
      </c>
      <c r="D444" s="1" t="s">
        <v>5584</v>
      </c>
      <c r="E444" s="1" t="s">
        <v>5585</v>
      </c>
      <c r="F444" s="1" t="s">
        <v>5586</v>
      </c>
      <c r="H444" s="2" t="s">
        <v>5</v>
      </c>
      <c r="I444" s="2" t="s">
        <v>6</v>
      </c>
      <c r="J444" s="2" t="s">
        <v>5</v>
      </c>
      <c r="K444" s="2" t="s">
        <v>5</v>
      </c>
      <c r="L444" s="2" t="s">
        <v>7</v>
      </c>
      <c r="M444" s="1" t="s">
        <v>5587</v>
      </c>
      <c r="N444" s="1" t="s">
        <v>5588</v>
      </c>
      <c r="O444" s="2" t="s">
        <v>452</v>
      </c>
      <c r="Q444" s="2" t="s">
        <v>1151</v>
      </c>
      <c r="R444" s="2" t="s">
        <v>12</v>
      </c>
      <c r="S444" s="1" t="s">
        <v>5589</v>
      </c>
      <c r="T444" s="2" t="s">
        <v>13</v>
      </c>
      <c r="U444" s="3">
        <v>2</v>
      </c>
      <c r="V444" s="3">
        <v>2</v>
      </c>
      <c r="W444" s="4" t="s">
        <v>5590</v>
      </c>
      <c r="X444" s="4" t="s">
        <v>5590</v>
      </c>
      <c r="Y444" s="4" t="s">
        <v>5591</v>
      </c>
      <c r="Z444" s="4" t="s">
        <v>5591</v>
      </c>
      <c r="AA444" s="3">
        <v>82</v>
      </c>
      <c r="AB444" s="3">
        <v>49</v>
      </c>
      <c r="AC444" s="3">
        <v>51</v>
      </c>
      <c r="AD444" s="3">
        <v>2</v>
      </c>
      <c r="AE444" s="9">
        <v>2</v>
      </c>
      <c r="AF444" s="9">
        <v>2</v>
      </c>
      <c r="AG444" s="9">
        <v>2</v>
      </c>
      <c r="AH444" s="3">
        <v>0</v>
      </c>
      <c r="AI444" s="3">
        <v>0</v>
      </c>
      <c r="AJ444" s="3">
        <v>1</v>
      </c>
      <c r="AK444" s="3">
        <v>1</v>
      </c>
      <c r="AL444" s="3">
        <v>0</v>
      </c>
      <c r="AM444" s="3">
        <v>0</v>
      </c>
      <c r="AN444" s="3">
        <v>1</v>
      </c>
      <c r="AO444" s="3">
        <v>1</v>
      </c>
      <c r="AP444" s="3">
        <v>0</v>
      </c>
      <c r="AQ444" s="3">
        <v>0</v>
      </c>
      <c r="AR444" s="2" t="s">
        <v>5</v>
      </c>
      <c r="AS444" s="2" t="s">
        <v>46</v>
      </c>
      <c r="AT444" s="5" t="str">
        <f>HYPERLINK("http://catalog.hathitrust.org/Record/004714647","HathiTrust Record")</f>
        <v>HathiTrust Record</v>
      </c>
      <c r="AU444" s="5" t="str">
        <f>HYPERLINK("https://creighton-primo.hosted.exlibrisgroup.com/primo-explore/search?tab=default_tab&amp;search_scope=EVERYTHING&amp;vid=01CRU&amp;lang=en_US&amp;offset=0&amp;query=any,contains,991003479069702656","Catalog Record")</f>
        <v>Catalog Record</v>
      </c>
      <c r="AV444" s="5" t="str">
        <f>HYPERLINK("http://www.worldcat.org/oclc/36751477","WorldCat Record")</f>
        <v>WorldCat Record</v>
      </c>
      <c r="AW444" s="2" t="s">
        <v>5592</v>
      </c>
      <c r="AX444" s="2" t="s">
        <v>5593</v>
      </c>
      <c r="AY444" s="2" t="s">
        <v>5594</v>
      </c>
      <c r="AZ444" s="2" t="s">
        <v>5594</v>
      </c>
      <c r="BA444" s="2" t="s">
        <v>5595</v>
      </c>
      <c r="BB444" s="2" t="s">
        <v>20</v>
      </c>
      <c r="BD444" s="2" t="s">
        <v>5596</v>
      </c>
      <c r="BE444" s="2" t="s">
        <v>5597</v>
      </c>
      <c r="BF444" s="2" t="s">
        <v>5598</v>
      </c>
    </row>
    <row r="445" spans="1:58" ht="39.75" customHeight="1" x14ac:dyDescent="0.25">
      <c r="A445" s="7" t="s">
        <v>5</v>
      </c>
      <c r="B445" s="1" t="s">
        <v>0</v>
      </c>
      <c r="C445" s="1" t="s">
        <v>1</v>
      </c>
      <c r="D445" s="1" t="s">
        <v>5599</v>
      </c>
      <c r="E445" s="1" t="s">
        <v>5600</v>
      </c>
      <c r="F445" s="1" t="s">
        <v>5601</v>
      </c>
      <c r="H445" s="2" t="s">
        <v>5</v>
      </c>
      <c r="I445" s="2" t="s">
        <v>6</v>
      </c>
      <c r="J445" s="2" t="s">
        <v>5</v>
      </c>
      <c r="K445" s="2" t="s">
        <v>5</v>
      </c>
      <c r="L445" s="2" t="s">
        <v>7</v>
      </c>
      <c r="M445" s="1" t="s">
        <v>5602</v>
      </c>
      <c r="N445" s="1" t="s">
        <v>5603</v>
      </c>
      <c r="O445" s="2" t="s">
        <v>1515</v>
      </c>
      <c r="Q445" s="2" t="s">
        <v>60</v>
      </c>
      <c r="R445" s="2" t="s">
        <v>193</v>
      </c>
      <c r="S445" s="1" t="s">
        <v>5604</v>
      </c>
      <c r="T445" s="2" t="s">
        <v>13</v>
      </c>
      <c r="U445" s="3">
        <v>1</v>
      </c>
      <c r="V445" s="3">
        <v>1</v>
      </c>
      <c r="W445" s="4" t="s">
        <v>5605</v>
      </c>
      <c r="X445" s="4" t="s">
        <v>5605</v>
      </c>
      <c r="Y445" s="4" t="s">
        <v>5333</v>
      </c>
      <c r="Z445" s="4" t="s">
        <v>5333</v>
      </c>
      <c r="AA445" s="3">
        <v>301</v>
      </c>
      <c r="AB445" s="3">
        <v>198</v>
      </c>
      <c r="AC445" s="3">
        <v>199</v>
      </c>
      <c r="AD445" s="3">
        <v>2</v>
      </c>
      <c r="AE445" s="9">
        <v>2</v>
      </c>
      <c r="AF445" s="9">
        <v>9</v>
      </c>
      <c r="AG445" s="9">
        <v>9</v>
      </c>
      <c r="AH445" s="3">
        <v>1</v>
      </c>
      <c r="AI445" s="3">
        <v>1</v>
      </c>
      <c r="AJ445" s="3">
        <v>4</v>
      </c>
      <c r="AK445" s="3">
        <v>4</v>
      </c>
      <c r="AL445" s="3">
        <v>5</v>
      </c>
      <c r="AM445" s="3">
        <v>5</v>
      </c>
      <c r="AN445" s="3">
        <v>1</v>
      </c>
      <c r="AO445" s="3">
        <v>1</v>
      </c>
      <c r="AP445" s="3">
        <v>0</v>
      </c>
      <c r="AQ445" s="3">
        <v>0</v>
      </c>
      <c r="AR445" s="2" t="s">
        <v>5</v>
      </c>
      <c r="AS445" s="2" t="s">
        <v>46</v>
      </c>
      <c r="AT445" s="5" t="str">
        <f>HYPERLINK("http://catalog.hathitrust.org/Record/000227320","HathiTrust Record")</f>
        <v>HathiTrust Record</v>
      </c>
      <c r="AU445" s="5" t="str">
        <f>HYPERLINK("https://creighton-primo.hosted.exlibrisgroup.com/primo-explore/search?tab=default_tab&amp;search_scope=EVERYTHING&amp;vid=01CRU&amp;lang=en_US&amp;offset=0&amp;query=any,contains,991005119979702656","Catalog Record")</f>
        <v>Catalog Record</v>
      </c>
      <c r="AV445" s="5" t="str">
        <f>HYPERLINK("http://www.worldcat.org/oclc/7495014","WorldCat Record")</f>
        <v>WorldCat Record</v>
      </c>
      <c r="AW445" s="2" t="s">
        <v>5606</v>
      </c>
      <c r="AX445" s="2" t="s">
        <v>5607</v>
      </c>
      <c r="AY445" s="2" t="s">
        <v>5608</v>
      </c>
      <c r="AZ445" s="2" t="s">
        <v>5608</v>
      </c>
      <c r="BA445" s="2" t="s">
        <v>5609</v>
      </c>
      <c r="BB445" s="2" t="s">
        <v>20</v>
      </c>
      <c r="BE445" s="2" t="s">
        <v>5610</v>
      </c>
      <c r="BF445" s="2" t="s">
        <v>5611</v>
      </c>
    </row>
    <row r="446" spans="1:58" ht="39.75" customHeight="1" x14ac:dyDescent="0.25">
      <c r="A446" s="7" t="s">
        <v>5</v>
      </c>
      <c r="B446" s="1" t="s">
        <v>0</v>
      </c>
      <c r="C446" s="1" t="s">
        <v>1</v>
      </c>
      <c r="D446" s="1" t="s">
        <v>5612</v>
      </c>
      <c r="E446" s="1" t="s">
        <v>5613</v>
      </c>
      <c r="F446" s="1" t="s">
        <v>5614</v>
      </c>
      <c r="H446" s="2" t="s">
        <v>5</v>
      </c>
      <c r="I446" s="2" t="s">
        <v>6</v>
      </c>
      <c r="J446" s="2" t="s">
        <v>5</v>
      </c>
      <c r="K446" s="2" t="s">
        <v>5</v>
      </c>
      <c r="L446" s="2" t="s">
        <v>7</v>
      </c>
      <c r="M446" s="1" t="s">
        <v>5615</v>
      </c>
      <c r="N446" s="1" t="s">
        <v>5616</v>
      </c>
      <c r="O446" s="2" t="s">
        <v>1515</v>
      </c>
      <c r="Q446" s="2" t="s">
        <v>60</v>
      </c>
      <c r="R446" s="2" t="s">
        <v>193</v>
      </c>
      <c r="T446" s="2" t="s">
        <v>13</v>
      </c>
      <c r="U446" s="3">
        <v>3</v>
      </c>
      <c r="V446" s="3">
        <v>3</v>
      </c>
      <c r="W446" s="4" t="s">
        <v>5617</v>
      </c>
      <c r="X446" s="4" t="s">
        <v>5617</v>
      </c>
      <c r="Y446" s="4" t="s">
        <v>5333</v>
      </c>
      <c r="Z446" s="4" t="s">
        <v>5333</v>
      </c>
      <c r="AA446" s="3">
        <v>558</v>
      </c>
      <c r="AB446" s="3">
        <v>444</v>
      </c>
      <c r="AC446" s="3">
        <v>445</v>
      </c>
      <c r="AD446" s="3">
        <v>4</v>
      </c>
      <c r="AE446" s="9">
        <v>4</v>
      </c>
      <c r="AF446" s="9">
        <v>21</v>
      </c>
      <c r="AG446" s="9">
        <v>21</v>
      </c>
      <c r="AH446" s="3">
        <v>6</v>
      </c>
      <c r="AI446" s="3">
        <v>6</v>
      </c>
      <c r="AJ446" s="3">
        <v>8</v>
      </c>
      <c r="AK446" s="3">
        <v>8</v>
      </c>
      <c r="AL446" s="3">
        <v>11</v>
      </c>
      <c r="AM446" s="3">
        <v>11</v>
      </c>
      <c r="AN446" s="3">
        <v>3</v>
      </c>
      <c r="AO446" s="3">
        <v>3</v>
      </c>
      <c r="AP446" s="3">
        <v>0</v>
      </c>
      <c r="AQ446" s="3">
        <v>0</v>
      </c>
      <c r="AR446" s="2" t="s">
        <v>5</v>
      </c>
      <c r="AS446" s="2" t="s">
        <v>5</v>
      </c>
      <c r="AU446" s="5" t="str">
        <f>HYPERLINK("https://creighton-primo.hosted.exlibrisgroup.com/primo-explore/search?tab=default_tab&amp;search_scope=EVERYTHING&amp;vid=01CRU&amp;lang=en_US&amp;offset=0&amp;query=any,contains,991004915009702656","Catalog Record")</f>
        <v>Catalog Record</v>
      </c>
      <c r="AV446" s="5" t="str">
        <f>HYPERLINK("http://www.worldcat.org/oclc/6015793","WorldCat Record")</f>
        <v>WorldCat Record</v>
      </c>
      <c r="AW446" s="2" t="s">
        <v>5618</v>
      </c>
      <c r="AX446" s="2" t="s">
        <v>5619</v>
      </c>
      <c r="AY446" s="2" t="s">
        <v>5620</v>
      </c>
      <c r="AZ446" s="2" t="s">
        <v>5620</v>
      </c>
      <c r="BA446" s="2" t="s">
        <v>5621</v>
      </c>
      <c r="BB446" s="2" t="s">
        <v>20</v>
      </c>
      <c r="BD446" s="2" t="s">
        <v>5622</v>
      </c>
      <c r="BE446" s="2" t="s">
        <v>5623</v>
      </c>
      <c r="BF446" s="2" t="s">
        <v>5624</v>
      </c>
    </row>
    <row r="447" spans="1:58" ht="39.75" customHeight="1" x14ac:dyDescent="0.25">
      <c r="A447" s="7" t="s">
        <v>5</v>
      </c>
      <c r="B447" s="1" t="s">
        <v>0</v>
      </c>
      <c r="C447" s="1" t="s">
        <v>1</v>
      </c>
      <c r="D447" s="1" t="s">
        <v>5625</v>
      </c>
      <c r="E447" s="1" t="s">
        <v>5626</v>
      </c>
      <c r="F447" s="1" t="s">
        <v>5627</v>
      </c>
      <c r="H447" s="2" t="s">
        <v>5</v>
      </c>
      <c r="I447" s="2" t="s">
        <v>6</v>
      </c>
      <c r="J447" s="2" t="s">
        <v>5</v>
      </c>
      <c r="K447" s="2" t="s">
        <v>5</v>
      </c>
      <c r="L447" s="2" t="s">
        <v>7</v>
      </c>
      <c r="M447" s="1" t="s">
        <v>5628</v>
      </c>
      <c r="N447" s="1" t="s">
        <v>5629</v>
      </c>
      <c r="O447" s="2" t="s">
        <v>248</v>
      </c>
      <c r="Q447" s="2" t="s">
        <v>1151</v>
      </c>
      <c r="R447" s="2" t="s">
        <v>234</v>
      </c>
      <c r="T447" s="2" t="s">
        <v>13</v>
      </c>
      <c r="U447" s="3">
        <v>1</v>
      </c>
      <c r="V447" s="3">
        <v>1</v>
      </c>
      <c r="W447" s="4" t="s">
        <v>5032</v>
      </c>
      <c r="X447" s="4" t="s">
        <v>5032</v>
      </c>
      <c r="Y447" s="4" t="s">
        <v>5032</v>
      </c>
      <c r="Z447" s="4" t="s">
        <v>5032</v>
      </c>
      <c r="AA447" s="3">
        <v>136</v>
      </c>
      <c r="AB447" s="3">
        <v>103</v>
      </c>
      <c r="AC447" s="3">
        <v>107</v>
      </c>
      <c r="AD447" s="3">
        <v>2</v>
      </c>
      <c r="AE447" s="9">
        <v>2</v>
      </c>
      <c r="AF447" s="9">
        <v>5</v>
      </c>
      <c r="AG447" s="9">
        <v>5</v>
      </c>
      <c r="AH447" s="3">
        <v>0</v>
      </c>
      <c r="AI447" s="3">
        <v>0</v>
      </c>
      <c r="AJ447" s="3">
        <v>2</v>
      </c>
      <c r="AK447" s="3">
        <v>2</v>
      </c>
      <c r="AL447" s="3">
        <v>3</v>
      </c>
      <c r="AM447" s="3">
        <v>3</v>
      </c>
      <c r="AN447" s="3">
        <v>1</v>
      </c>
      <c r="AO447" s="3">
        <v>1</v>
      </c>
      <c r="AP447" s="3">
        <v>0</v>
      </c>
      <c r="AQ447" s="3">
        <v>0</v>
      </c>
      <c r="AR447" s="2" t="s">
        <v>5</v>
      </c>
      <c r="AS447" s="2" t="s">
        <v>46</v>
      </c>
      <c r="AT447" s="5" t="str">
        <f>HYPERLINK("http://catalog.hathitrust.org/Record/101094334","HathiTrust Record")</f>
        <v>HathiTrust Record</v>
      </c>
      <c r="AU447" s="5" t="str">
        <f>HYPERLINK("https://creighton-primo.hosted.exlibrisgroup.com/primo-explore/search?tab=default_tab&amp;search_scope=EVERYTHING&amp;vid=01CRU&amp;lang=en_US&amp;offset=0&amp;query=any,contains,991004490559702656","Catalog Record")</f>
        <v>Catalog Record</v>
      </c>
      <c r="AV447" s="5" t="str">
        <f>HYPERLINK("http://www.worldcat.org/oclc/1251211","WorldCat Record")</f>
        <v>WorldCat Record</v>
      </c>
      <c r="AW447" s="2" t="s">
        <v>5630</v>
      </c>
      <c r="AX447" s="2" t="s">
        <v>5631</v>
      </c>
      <c r="AY447" s="2" t="s">
        <v>5632</v>
      </c>
      <c r="AZ447" s="2" t="s">
        <v>5632</v>
      </c>
      <c r="BA447" s="2" t="s">
        <v>5633</v>
      </c>
      <c r="BB447" s="2" t="s">
        <v>20</v>
      </c>
      <c r="BE447" s="2" t="s">
        <v>5634</v>
      </c>
      <c r="BF447" s="2" t="s">
        <v>5635</v>
      </c>
    </row>
    <row r="448" spans="1:58" ht="39.75" customHeight="1" x14ac:dyDescent="0.25">
      <c r="A448" s="7" t="s">
        <v>5</v>
      </c>
      <c r="B448" s="1" t="s">
        <v>0</v>
      </c>
      <c r="C448" s="1" t="s">
        <v>1</v>
      </c>
      <c r="D448" s="1" t="s">
        <v>5636</v>
      </c>
      <c r="E448" s="1" t="s">
        <v>5637</v>
      </c>
      <c r="F448" s="1" t="s">
        <v>5638</v>
      </c>
      <c r="H448" s="2" t="s">
        <v>5</v>
      </c>
      <c r="I448" s="2" t="s">
        <v>6</v>
      </c>
      <c r="J448" s="2" t="s">
        <v>5</v>
      </c>
      <c r="K448" s="2" t="s">
        <v>5</v>
      </c>
      <c r="L448" s="2" t="s">
        <v>7</v>
      </c>
      <c r="M448" s="1" t="s">
        <v>5639</v>
      </c>
      <c r="N448" s="1" t="s">
        <v>5640</v>
      </c>
      <c r="O448" s="2" t="s">
        <v>338</v>
      </c>
      <c r="Q448" s="2" t="s">
        <v>1151</v>
      </c>
      <c r="R448" s="2" t="s">
        <v>1152</v>
      </c>
      <c r="S448" s="1" t="s">
        <v>5641</v>
      </c>
      <c r="T448" s="2" t="s">
        <v>13</v>
      </c>
      <c r="U448" s="3">
        <v>2</v>
      </c>
      <c r="V448" s="3">
        <v>2</v>
      </c>
      <c r="W448" s="4" t="s">
        <v>5642</v>
      </c>
      <c r="X448" s="4" t="s">
        <v>5642</v>
      </c>
      <c r="Y448" s="4" t="s">
        <v>5642</v>
      </c>
      <c r="Z448" s="4" t="s">
        <v>5642</v>
      </c>
      <c r="AA448" s="3">
        <v>211</v>
      </c>
      <c r="AB448" s="3">
        <v>168</v>
      </c>
      <c r="AC448" s="3">
        <v>171</v>
      </c>
      <c r="AD448" s="3">
        <v>2</v>
      </c>
      <c r="AE448" s="9">
        <v>2</v>
      </c>
      <c r="AF448" s="9">
        <v>11</v>
      </c>
      <c r="AG448" s="9">
        <v>11</v>
      </c>
      <c r="AH448" s="3">
        <v>2</v>
      </c>
      <c r="AI448" s="3">
        <v>2</v>
      </c>
      <c r="AJ448" s="3">
        <v>3</v>
      </c>
      <c r="AK448" s="3">
        <v>3</v>
      </c>
      <c r="AL448" s="3">
        <v>8</v>
      </c>
      <c r="AM448" s="3">
        <v>8</v>
      </c>
      <c r="AN448" s="3">
        <v>1</v>
      </c>
      <c r="AO448" s="3">
        <v>1</v>
      </c>
      <c r="AP448" s="3">
        <v>0</v>
      </c>
      <c r="AQ448" s="3">
        <v>0</v>
      </c>
      <c r="AR448" s="2" t="s">
        <v>5</v>
      </c>
      <c r="AS448" s="2" t="s">
        <v>46</v>
      </c>
      <c r="AT448" s="5" t="str">
        <f>HYPERLINK("http://catalog.hathitrust.org/Record/001518412","HathiTrust Record")</f>
        <v>HathiTrust Record</v>
      </c>
      <c r="AU448" s="5" t="str">
        <f>HYPERLINK("https://creighton-primo.hosted.exlibrisgroup.com/primo-explore/search?tab=default_tab&amp;search_scope=EVERYTHING&amp;vid=01CRU&amp;lang=en_US&amp;offset=0&amp;query=any,contains,991003740149702656","Catalog Record")</f>
        <v>Catalog Record</v>
      </c>
      <c r="AV448" s="5" t="str">
        <f>HYPERLINK("http://www.worldcat.org/oclc/892281","WorldCat Record")</f>
        <v>WorldCat Record</v>
      </c>
      <c r="AW448" s="2" t="s">
        <v>5643</v>
      </c>
      <c r="AX448" s="2" t="s">
        <v>5644</v>
      </c>
      <c r="AY448" s="2" t="s">
        <v>5645</v>
      </c>
      <c r="AZ448" s="2" t="s">
        <v>5645</v>
      </c>
      <c r="BA448" s="2" t="s">
        <v>5646</v>
      </c>
      <c r="BB448" s="2" t="s">
        <v>20</v>
      </c>
      <c r="BE448" s="2" t="s">
        <v>5647</v>
      </c>
      <c r="BF448" s="2" t="s">
        <v>5648</v>
      </c>
    </row>
    <row r="449" spans="1:58" ht="39.75" customHeight="1" x14ac:dyDescent="0.25">
      <c r="A449" s="7" t="s">
        <v>5</v>
      </c>
      <c r="B449" s="1" t="s">
        <v>0</v>
      </c>
      <c r="C449" s="1" t="s">
        <v>1</v>
      </c>
      <c r="D449" s="1" t="s">
        <v>5649</v>
      </c>
      <c r="E449" s="1" t="s">
        <v>5650</v>
      </c>
      <c r="F449" s="1" t="s">
        <v>5651</v>
      </c>
      <c r="H449" s="2" t="s">
        <v>5</v>
      </c>
      <c r="I449" s="2" t="s">
        <v>6</v>
      </c>
      <c r="J449" s="2" t="s">
        <v>5</v>
      </c>
      <c r="K449" s="2" t="s">
        <v>5</v>
      </c>
      <c r="L449" s="2" t="s">
        <v>7</v>
      </c>
      <c r="N449" s="1" t="s">
        <v>5652</v>
      </c>
      <c r="O449" s="2" t="s">
        <v>276</v>
      </c>
      <c r="Q449" s="2" t="s">
        <v>60</v>
      </c>
      <c r="R449" s="2" t="s">
        <v>61</v>
      </c>
      <c r="S449" s="1" t="s">
        <v>5653</v>
      </c>
      <c r="T449" s="2" t="s">
        <v>13</v>
      </c>
      <c r="U449" s="3">
        <v>0</v>
      </c>
      <c r="V449" s="3">
        <v>0</v>
      </c>
      <c r="W449" s="4" t="s">
        <v>1759</v>
      </c>
      <c r="X449" s="4" t="s">
        <v>1759</v>
      </c>
      <c r="Y449" s="4" t="s">
        <v>5333</v>
      </c>
      <c r="Z449" s="4" t="s">
        <v>5333</v>
      </c>
      <c r="AA449" s="3">
        <v>105</v>
      </c>
      <c r="AB449" s="3">
        <v>91</v>
      </c>
      <c r="AC449" s="3">
        <v>92</v>
      </c>
      <c r="AD449" s="3">
        <v>1</v>
      </c>
      <c r="AE449" s="9">
        <v>1</v>
      </c>
      <c r="AF449" s="9">
        <v>3</v>
      </c>
      <c r="AG449" s="9">
        <v>3</v>
      </c>
      <c r="AH449" s="3">
        <v>0</v>
      </c>
      <c r="AI449" s="3">
        <v>0</v>
      </c>
      <c r="AJ449" s="3">
        <v>2</v>
      </c>
      <c r="AK449" s="3">
        <v>2</v>
      </c>
      <c r="AL449" s="3">
        <v>2</v>
      </c>
      <c r="AM449" s="3">
        <v>2</v>
      </c>
      <c r="AN449" s="3">
        <v>0</v>
      </c>
      <c r="AO449" s="3">
        <v>0</v>
      </c>
      <c r="AP449" s="3">
        <v>0</v>
      </c>
      <c r="AQ449" s="3">
        <v>0</v>
      </c>
      <c r="AR449" s="2" t="s">
        <v>5</v>
      </c>
      <c r="AS449" s="2" t="s">
        <v>46</v>
      </c>
      <c r="AT449" s="5" t="str">
        <f>HYPERLINK("http://catalog.hathitrust.org/Record/006226942","HathiTrust Record")</f>
        <v>HathiTrust Record</v>
      </c>
      <c r="AU449" s="5" t="str">
        <f>HYPERLINK("https://creighton-primo.hosted.exlibrisgroup.com/primo-explore/search?tab=default_tab&amp;search_scope=EVERYTHING&amp;vid=01CRU&amp;lang=en_US&amp;offset=0&amp;query=any,contains,991004107149702656","Catalog Record")</f>
        <v>Catalog Record</v>
      </c>
      <c r="AV449" s="5" t="str">
        <f>HYPERLINK("http://www.worldcat.org/oclc/2387793","WorldCat Record")</f>
        <v>WorldCat Record</v>
      </c>
      <c r="AW449" s="2" t="s">
        <v>5654</v>
      </c>
      <c r="AX449" s="2" t="s">
        <v>5655</v>
      </c>
      <c r="AY449" s="2" t="s">
        <v>5656</v>
      </c>
      <c r="AZ449" s="2" t="s">
        <v>5656</v>
      </c>
      <c r="BA449" s="2" t="s">
        <v>5657</v>
      </c>
      <c r="BB449" s="2" t="s">
        <v>20</v>
      </c>
      <c r="BE449" s="2" t="s">
        <v>5658</v>
      </c>
      <c r="BF449" s="2" t="s">
        <v>5659</v>
      </c>
    </row>
    <row r="450" spans="1:58" ht="39.75" customHeight="1" x14ac:dyDescent="0.25">
      <c r="A450" s="7" t="s">
        <v>5</v>
      </c>
      <c r="B450" s="1" t="s">
        <v>0</v>
      </c>
      <c r="C450" s="1" t="s">
        <v>1</v>
      </c>
      <c r="D450" s="1" t="s">
        <v>5660</v>
      </c>
      <c r="E450" s="1" t="s">
        <v>5661</v>
      </c>
      <c r="F450" s="1" t="s">
        <v>5662</v>
      </c>
      <c r="H450" s="2" t="s">
        <v>5</v>
      </c>
      <c r="I450" s="2" t="s">
        <v>6</v>
      </c>
      <c r="J450" s="2" t="s">
        <v>5</v>
      </c>
      <c r="K450" s="2" t="s">
        <v>5</v>
      </c>
      <c r="L450" s="2" t="s">
        <v>7</v>
      </c>
      <c r="M450" s="1" t="s">
        <v>5663</v>
      </c>
      <c r="N450" s="1" t="s">
        <v>2490</v>
      </c>
      <c r="O450" s="2" t="s">
        <v>1390</v>
      </c>
      <c r="Q450" s="2" t="s">
        <v>60</v>
      </c>
      <c r="R450" s="2" t="s">
        <v>277</v>
      </c>
      <c r="S450" s="1" t="s">
        <v>5664</v>
      </c>
      <c r="T450" s="2" t="s">
        <v>13</v>
      </c>
      <c r="U450" s="3">
        <v>2</v>
      </c>
      <c r="V450" s="3">
        <v>2</v>
      </c>
      <c r="W450" s="4" t="s">
        <v>5665</v>
      </c>
      <c r="X450" s="4" t="s">
        <v>5665</v>
      </c>
      <c r="Y450" s="4" t="s">
        <v>5333</v>
      </c>
      <c r="Z450" s="4" t="s">
        <v>5333</v>
      </c>
      <c r="AA450" s="3">
        <v>562</v>
      </c>
      <c r="AB450" s="3">
        <v>489</v>
      </c>
      <c r="AC450" s="3">
        <v>496</v>
      </c>
      <c r="AD450" s="3">
        <v>5</v>
      </c>
      <c r="AE450" s="9">
        <v>5</v>
      </c>
      <c r="AF450" s="9">
        <v>26</v>
      </c>
      <c r="AG450" s="9">
        <v>26</v>
      </c>
      <c r="AH450" s="3">
        <v>10</v>
      </c>
      <c r="AI450" s="3">
        <v>10</v>
      </c>
      <c r="AJ450" s="3">
        <v>7</v>
      </c>
      <c r="AK450" s="3">
        <v>7</v>
      </c>
      <c r="AL450" s="3">
        <v>13</v>
      </c>
      <c r="AM450" s="3">
        <v>13</v>
      </c>
      <c r="AN450" s="3">
        <v>4</v>
      </c>
      <c r="AO450" s="3">
        <v>4</v>
      </c>
      <c r="AP450" s="3">
        <v>0</v>
      </c>
      <c r="AQ450" s="3">
        <v>0</v>
      </c>
      <c r="AR450" s="2" t="s">
        <v>5</v>
      </c>
      <c r="AS450" s="2" t="s">
        <v>46</v>
      </c>
      <c r="AT450" s="5" t="str">
        <f>HYPERLINK("http://catalog.hathitrust.org/Record/000179692","HathiTrust Record")</f>
        <v>HathiTrust Record</v>
      </c>
      <c r="AU450" s="5" t="str">
        <f>HYPERLINK("https://creighton-primo.hosted.exlibrisgroup.com/primo-explore/search?tab=default_tab&amp;search_scope=EVERYTHING&amp;vid=01CRU&amp;lang=en_US&amp;offset=0&amp;query=any,contains,991004590379702656","Catalog Record")</f>
        <v>Catalog Record</v>
      </c>
      <c r="AV450" s="5" t="str">
        <f>HYPERLINK("http://www.worldcat.org/oclc/4114857","WorldCat Record")</f>
        <v>WorldCat Record</v>
      </c>
      <c r="AW450" s="2" t="s">
        <v>5666</v>
      </c>
      <c r="AX450" s="2" t="s">
        <v>5667</v>
      </c>
      <c r="AY450" s="2" t="s">
        <v>5668</v>
      </c>
      <c r="AZ450" s="2" t="s">
        <v>5668</v>
      </c>
      <c r="BA450" s="2" t="s">
        <v>5669</v>
      </c>
      <c r="BB450" s="2" t="s">
        <v>20</v>
      </c>
      <c r="BD450" s="2" t="s">
        <v>5670</v>
      </c>
      <c r="BE450" s="2" t="s">
        <v>5671</v>
      </c>
      <c r="BF450" s="2" t="s">
        <v>5672</v>
      </c>
    </row>
    <row r="451" spans="1:58" ht="39.75" customHeight="1" x14ac:dyDescent="0.25">
      <c r="A451" s="7" t="s">
        <v>5</v>
      </c>
      <c r="B451" s="1" t="s">
        <v>0</v>
      </c>
      <c r="C451" s="1" t="s">
        <v>1</v>
      </c>
      <c r="D451" s="1" t="s">
        <v>5673</v>
      </c>
      <c r="E451" s="1" t="s">
        <v>5674</v>
      </c>
      <c r="F451" s="1" t="s">
        <v>5675</v>
      </c>
      <c r="H451" s="2" t="s">
        <v>5</v>
      </c>
      <c r="I451" s="2" t="s">
        <v>6</v>
      </c>
      <c r="J451" s="2" t="s">
        <v>5</v>
      </c>
      <c r="K451" s="2" t="s">
        <v>5</v>
      </c>
      <c r="L451" s="2" t="s">
        <v>7</v>
      </c>
      <c r="M451" s="1" t="s">
        <v>5676</v>
      </c>
      <c r="N451" s="1" t="s">
        <v>5652</v>
      </c>
      <c r="O451" s="2" t="s">
        <v>276</v>
      </c>
      <c r="Q451" s="2" t="s">
        <v>60</v>
      </c>
      <c r="R451" s="2" t="s">
        <v>61</v>
      </c>
      <c r="S451" s="1" t="s">
        <v>5677</v>
      </c>
      <c r="T451" s="2" t="s">
        <v>13</v>
      </c>
      <c r="U451" s="3">
        <v>8</v>
      </c>
      <c r="V451" s="3">
        <v>8</v>
      </c>
      <c r="W451" s="4" t="s">
        <v>5465</v>
      </c>
      <c r="X451" s="4" t="s">
        <v>5465</v>
      </c>
      <c r="Y451" s="4" t="s">
        <v>5333</v>
      </c>
      <c r="Z451" s="4" t="s">
        <v>5333</v>
      </c>
      <c r="AA451" s="3">
        <v>111</v>
      </c>
      <c r="AB451" s="3">
        <v>98</v>
      </c>
      <c r="AC451" s="3">
        <v>191</v>
      </c>
      <c r="AD451" s="3">
        <v>1</v>
      </c>
      <c r="AE451" s="9">
        <v>2</v>
      </c>
      <c r="AF451" s="9">
        <v>0</v>
      </c>
      <c r="AG451" s="9">
        <v>11</v>
      </c>
      <c r="AH451" s="3">
        <v>0</v>
      </c>
      <c r="AI451" s="3">
        <v>4</v>
      </c>
      <c r="AJ451" s="3">
        <v>0</v>
      </c>
      <c r="AK451" s="3">
        <v>3</v>
      </c>
      <c r="AL451" s="3">
        <v>0</v>
      </c>
      <c r="AM451" s="3">
        <v>6</v>
      </c>
      <c r="AN451" s="3">
        <v>0</v>
      </c>
      <c r="AO451" s="3">
        <v>1</v>
      </c>
      <c r="AP451" s="3">
        <v>0</v>
      </c>
      <c r="AQ451" s="3">
        <v>0</v>
      </c>
      <c r="AR451" s="2" t="s">
        <v>5</v>
      </c>
      <c r="AS451" s="2" t="s">
        <v>5</v>
      </c>
      <c r="AU451" s="5" t="str">
        <f>HYPERLINK("https://creighton-primo.hosted.exlibrisgroup.com/primo-explore/search?tab=default_tab&amp;search_scope=EVERYTHING&amp;vid=01CRU&amp;lang=en_US&amp;offset=0&amp;query=any,contains,991004211839702656","Catalog Record")</f>
        <v>Catalog Record</v>
      </c>
      <c r="AV451" s="5" t="str">
        <f>HYPERLINK("http://www.worldcat.org/oclc/2684627","WorldCat Record")</f>
        <v>WorldCat Record</v>
      </c>
      <c r="AW451" s="2" t="s">
        <v>5678</v>
      </c>
      <c r="AX451" s="2" t="s">
        <v>5679</v>
      </c>
      <c r="AY451" s="2" t="s">
        <v>5680</v>
      </c>
      <c r="AZ451" s="2" t="s">
        <v>5680</v>
      </c>
      <c r="BA451" s="2" t="s">
        <v>5681</v>
      </c>
      <c r="BB451" s="2" t="s">
        <v>20</v>
      </c>
      <c r="BD451" s="2" t="s">
        <v>5682</v>
      </c>
      <c r="BE451" s="2" t="s">
        <v>5683</v>
      </c>
      <c r="BF451" s="2" t="s">
        <v>5684</v>
      </c>
    </row>
    <row r="452" spans="1:58" ht="39.75" customHeight="1" x14ac:dyDescent="0.25">
      <c r="A452" s="7" t="s">
        <v>5</v>
      </c>
      <c r="B452" s="1" t="s">
        <v>0</v>
      </c>
      <c r="C452" s="1" t="s">
        <v>1</v>
      </c>
      <c r="D452" s="1" t="s">
        <v>5685</v>
      </c>
      <c r="E452" s="1" t="s">
        <v>5686</v>
      </c>
      <c r="F452" s="1" t="s">
        <v>5687</v>
      </c>
      <c r="H452" s="2" t="s">
        <v>5</v>
      </c>
      <c r="I452" s="2" t="s">
        <v>6</v>
      </c>
      <c r="J452" s="2" t="s">
        <v>5</v>
      </c>
      <c r="K452" s="2" t="s">
        <v>5</v>
      </c>
      <c r="L452" s="2" t="s">
        <v>7</v>
      </c>
      <c r="M452" s="1" t="s">
        <v>5688</v>
      </c>
      <c r="N452" s="1" t="s">
        <v>5689</v>
      </c>
      <c r="O452" s="2" t="s">
        <v>508</v>
      </c>
      <c r="P452" s="1" t="s">
        <v>5690</v>
      </c>
      <c r="Q452" s="2" t="s">
        <v>1151</v>
      </c>
      <c r="R452" s="2" t="s">
        <v>1152</v>
      </c>
      <c r="S452" s="1" t="s">
        <v>5691</v>
      </c>
      <c r="T452" s="2" t="s">
        <v>13</v>
      </c>
      <c r="U452" s="3">
        <v>1</v>
      </c>
      <c r="V452" s="3">
        <v>1</v>
      </c>
      <c r="W452" s="4" t="s">
        <v>5692</v>
      </c>
      <c r="X452" s="4" t="s">
        <v>5692</v>
      </c>
      <c r="Y452" s="4" t="s">
        <v>511</v>
      </c>
      <c r="Z452" s="4" t="s">
        <v>511</v>
      </c>
      <c r="AA452" s="3">
        <v>9</v>
      </c>
      <c r="AB452" s="3">
        <v>9</v>
      </c>
      <c r="AC452" s="3">
        <v>143</v>
      </c>
      <c r="AD452" s="3">
        <v>1</v>
      </c>
      <c r="AE452" s="9">
        <v>2</v>
      </c>
      <c r="AF452" s="9">
        <v>0</v>
      </c>
      <c r="AG452" s="9">
        <v>5</v>
      </c>
      <c r="AH452" s="3">
        <v>0</v>
      </c>
      <c r="AI452" s="3">
        <v>3</v>
      </c>
      <c r="AJ452" s="3">
        <v>0</v>
      </c>
      <c r="AK452" s="3">
        <v>2</v>
      </c>
      <c r="AL452" s="3">
        <v>0</v>
      </c>
      <c r="AM452" s="3">
        <v>1</v>
      </c>
      <c r="AN452" s="3">
        <v>0</v>
      </c>
      <c r="AO452" s="3">
        <v>1</v>
      </c>
      <c r="AP452" s="3">
        <v>0</v>
      </c>
      <c r="AQ452" s="3">
        <v>0</v>
      </c>
      <c r="AR452" s="2" t="s">
        <v>5</v>
      </c>
      <c r="AS452" s="2" t="s">
        <v>5</v>
      </c>
      <c r="AU452" s="5" t="str">
        <f>HYPERLINK("https://creighton-primo.hosted.exlibrisgroup.com/primo-explore/search?tab=default_tab&amp;search_scope=EVERYTHING&amp;vid=01CRU&amp;lang=en_US&amp;offset=0&amp;query=any,contains,991003776499702656","Catalog Record")</f>
        <v>Catalog Record</v>
      </c>
      <c r="AV452" s="5" t="str">
        <f>HYPERLINK("http://www.worldcat.org/oclc/47914324","WorldCat Record")</f>
        <v>WorldCat Record</v>
      </c>
      <c r="AW452" s="2" t="s">
        <v>5693</v>
      </c>
      <c r="AX452" s="2" t="s">
        <v>5694</v>
      </c>
      <c r="AY452" s="2" t="s">
        <v>5695</v>
      </c>
      <c r="AZ452" s="2" t="s">
        <v>5695</v>
      </c>
      <c r="BA452" s="2" t="s">
        <v>5696</v>
      </c>
      <c r="BB452" s="2" t="s">
        <v>20</v>
      </c>
      <c r="BD452" s="2" t="s">
        <v>5697</v>
      </c>
      <c r="BE452" s="2" t="s">
        <v>5698</v>
      </c>
      <c r="BF452" s="2" t="s">
        <v>5699</v>
      </c>
    </row>
    <row r="453" spans="1:58" ht="39.75" customHeight="1" x14ac:dyDescent="0.25">
      <c r="A453" s="7" t="s">
        <v>5</v>
      </c>
      <c r="B453" s="1" t="s">
        <v>0</v>
      </c>
      <c r="C453" s="1" t="s">
        <v>1</v>
      </c>
      <c r="D453" s="1" t="s">
        <v>5700</v>
      </c>
      <c r="E453" s="1" t="s">
        <v>5701</v>
      </c>
      <c r="F453" s="1" t="s">
        <v>5702</v>
      </c>
      <c r="H453" s="2" t="s">
        <v>5</v>
      </c>
      <c r="I453" s="2" t="s">
        <v>6</v>
      </c>
      <c r="J453" s="2" t="s">
        <v>5</v>
      </c>
      <c r="K453" s="2" t="s">
        <v>5</v>
      </c>
      <c r="L453" s="2" t="s">
        <v>7</v>
      </c>
      <c r="M453" s="1" t="s">
        <v>5703</v>
      </c>
      <c r="N453" s="1" t="s">
        <v>5704</v>
      </c>
      <c r="O453" s="2" t="s">
        <v>59</v>
      </c>
      <c r="Q453" s="2" t="s">
        <v>1151</v>
      </c>
      <c r="R453" s="2" t="s">
        <v>61</v>
      </c>
      <c r="T453" s="2" t="s">
        <v>13</v>
      </c>
      <c r="U453" s="3">
        <v>2</v>
      </c>
      <c r="V453" s="3">
        <v>2</v>
      </c>
      <c r="W453" s="4" t="s">
        <v>5705</v>
      </c>
      <c r="X453" s="4" t="s">
        <v>5705</v>
      </c>
      <c r="Y453" s="4" t="s">
        <v>5706</v>
      </c>
      <c r="Z453" s="4" t="s">
        <v>5706</v>
      </c>
      <c r="AA453" s="3">
        <v>223</v>
      </c>
      <c r="AB453" s="3">
        <v>216</v>
      </c>
      <c r="AC453" s="3">
        <v>256</v>
      </c>
      <c r="AD453" s="3">
        <v>2</v>
      </c>
      <c r="AE453" s="9">
        <v>2</v>
      </c>
      <c r="AF453" s="9">
        <v>8</v>
      </c>
      <c r="AG453" s="9">
        <v>10</v>
      </c>
      <c r="AH453" s="3">
        <v>3</v>
      </c>
      <c r="AI453" s="3">
        <v>4</v>
      </c>
      <c r="AJ453" s="3">
        <v>1</v>
      </c>
      <c r="AK453" s="3">
        <v>2</v>
      </c>
      <c r="AL453" s="3">
        <v>5</v>
      </c>
      <c r="AM453" s="3">
        <v>7</v>
      </c>
      <c r="AN453" s="3">
        <v>1</v>
      </c>
      <c r="AO453" s="3">
        <v>1</v>
      </c>
      <c r="AP453" s="3">
        <v>0</v>
      </c>
      <c r="AQ453" s="3">
        <v>0</v>
      </c>
      <c r="AR453" s="2" t="s">
        <v>5</v>
      </c>
      <c r="AS453" s="2" t="s">
        <v>46</v>
      </c>
      <c r="AT453" s="5" t="str">
        <f>HYPERLINK("http://catalog.hathitrust.org/Record/001036864","HathiTrust Record")</f>
        <v>HathiTrust Record</v>
      </c>
      <c r="AU453" s="5" t="str">
        <f>HYPERLINK("https://creighton-primo.hosted.exlibrisgroup.com/primo-explore/search?tab=default_tab&amp;search_scope=EVERYTHING&amp;vid=01CRU&amp;lang=en_US&amp;offset=0&amp;query=any,contains,991002901459702656","Catalog Record")</f>
        <v>Catalog Record</v>
      </c>
      <c r="AV453" s="5" t="str">
        <f>HYPERLINK("http://www.worldcat.org/oclc/517517","WorldCat Record")</f>
        <v>WorldCat Record</v>
      </c>
      <c r="AW453" s="2" t="s">
        <v>5707</v>
      </c>
      <c r="AX453" s="2" t="s">
        <v>5708</v>
      </c>
      <c r="AY453" s="2" t="s">
        <v>5709</v>
      </c>
      <c r="AZ453" s="2" t="s">
        <v>5709</v>
      </c>
      <c r="BA453" s="2" t="s">
        <v>5710</v>
      </c>
      <c r="BB453" s="2" t="s">
        <v>20</v>
      </c>
      <c r="BE453" s="2" t="s">
        <v>5711</v>
      </c>
      <c r="BF453" s="2" t="s">
        <v>5712</v>
      </c>
    </row>
    <row r="454" spans="1:58" ht="39.75" customHeight="1" x14ac:dyDescent="0.25">
      <c r="A454" s="7" t="s">
        <v>5</v>
      </c>
      <c r="B454" s="1" t="s">
        <v>0</v>
      </c>
      <c r="C454" s="1" t="s">
        <v>1</v>
      </c>
      <c r="D454" s="1" t="s">
        <v>5713</v>
      </c>
      <c r="E454" s="1" t="s">
        <v>5714</v>
      </c>
      <c r="F454" s="1" t="s">
        <v>5715</v>
      </c>
      <c r="H454" s="2" t="s">
        <v>5</v>
      </c>
      <c r="I454" s="2" t="s">
        <v>6</v>
      </c>
      <c r="J454" s="2" t="s">
        <v>5</v>
      </c>
      <c r="K454" s="2" t="s">
        <v>5</v>
      </c>
      <c r="L454" s="2" t="s">
        <v>7</v>
      </c>
      <c r="M454" s="1" t="s">
        <v>5716</v>
      </c>
      <c r="N454" s="1" t="s">
        <v>5717</v>
      </c>
      <c r="O454" s="2" t="s">
        <v>468</v>
      </c>
      <c r="P454" s="1" t="s">
        <v>4774</v>
      </c>
      <c r="Q454" s="2" t="s">
        <v>1151</v>
      </c>
      <c r="R454" s="2" t="s">
        <v>1152</v>
      </c>
      <c r="S454" s="1" t="s">
        <v>5718</v>
      </c>
      <c r="T454" s="2" t="s">
        <v>13</v>
      </c>
      <c r="U454" s="3">
        <v>1</v>
      </c>
      <c r="V454" s="3">
        <v>1</v>
      </c>
      <c r="W454" s="4" t="s">
        <v>5137</v>
      </c>
      <c r="X454" s="4" t="s">
        <v>5137</v>
      </c>
      <c r="Y454" s="4" t="s">
        <v>5137</v>
      </c>
      <c r="Z454" s="4" t="s">
        <v>5137</v>
      </c>
      <c r="AA454" s="3">
        <v>323</v>
      </c>
      <c r="AB454" s="3">
        <v>279</v>
      </c>
      <c r="AC454" s="3">
        <v>365</v>
      </c>
      <c r="AD454" s="3">
        <v>6</v>
      </c>
      <c r="AE454" s="9">
        <v>6</v>
      </c>
      <c r="AF454" s="9">
        <v>23</v>
      </c>
      <c r="AG454" s="9">
        <v>25</v>
      </c>
      <c r="AH454" s="3">
        <v>10</v>
      </c>
      <c r="AI454" s="3">
        <v>11</v>
      </c>
      <c r="AJ454" s="3">
        <v>4</v>
      </c>
      <c r="AK454" s="3">
        <v>5</v>
      </c>
      <c r="AL454" s="3">
        <v>8</v>
      </c>
      <c r="AM454" s="3">
        <v>9</v>
      </c>
      <c r="AN454" s="3">
        <v>5</v>
      </c>
      <c r="AO454" s="3">
        <v>5</v>
      </c>
      <c r="AP454" s="3">
        <v>0</v>
      </c>
      <c r="AQ454" s="3">
        <v>0</v>
      </c>
      <c r="AR454" s="2" t="s">
        <v>5</v>
      </c>
      <c r="AS454" s="2" t="s">
        <v>46</v>
      </c>
      <c r="AT454" s="5" t="str">
        <f>HYPERLINK("http://catalog.hathitrust.org/Record/006670443","HathiTrust Record")</f>
        <v>HathiTrust Record</v>
      </c>
      <c r="AU454" s="5" t="str">
        <f>HYPERLINK("https://creighton-primo.hosted.exlibrisgroup.com/primo-explore/search?tab=default_tab&amp;search_scope=EVERYTHING&amp;vid=01CRU&amp;lang=en_US&amp;offset=0&amp;query=any,contains,991004510249702656","Catalog Record")</f>
        <v>Catalog Record</v>
      </c>
      <c r="AV454" s="5" t="str">
        <f>HYPERLINK("http://www.worldcat.org/oclc/757009","WorldCat Record")</f>
        <v>WorldCat Record</v>
      </c>
      <c r="AW454" s="2" t="s">
        <v>5719</v>
      </c>
      <c r="AX454" s="2" t="s">
        <v>5720</v>
      </c>
      <c r="AY454" s="2" t="s">
        <v>5721</v>
      </c>
      <c r="AZ454" s="2" t="s">
        <v>5721</v>
      </c>
      <c r="BA454" s="2" t="s">
        <v>5722</v>
      </c>
      <c r="BB454" s="2" t="s">
        <v>20</v>
      </c>
      <c r="BE454" s="2" t="s">
        <v>5723</v>
      </c>
      <c r="BF454" s="2" t="s">
        <v>5724</v>
      </c>
    </row>
    <row r="455" spans="1:58" ht="39.75" customHeight="1" x14ac:dyDescent="0.25">
      <c r="A455" s="7" t="s">
        <v>5</v>
      </c>
      <c r="B455" s="1" t="s">
        <v>0</v>
      </c>
      <c r="C455" s="1" t="s">
        <v>1</v>
      </c>
      <c r="D455" s="1" t="s">
        <v>5725</v>
      </c>
      <c r="E455" s="1" t="s">
        <v>5726</v>
      </c>
      <c r="F455" s="1" t="s">
        <v>5727</v>
      </c>
      <c r="H455" s="2" t="s">
        <v>5</v>
      </c>
      <c r="I455" s="2" t="s">
        <v>6</v>
      </c>
      <c r="J455" s="2" t="s">
        <v>5</v>
      </c>
      <c r="K455" s="2" t="s">
        <v>46</v>
      </c>
      <c r="L455" s="2" t="s">
        <v>7</v>
      </c>
      <c r="M455" s="1" t="s">
        <v>5728</v>
      </c>
      <c r="N455" s="1" t="s">
        <v>5729</v>
      </c>
      <c r="O455" s="2" t="s">
        <v>524</v>
      </c>
      <c r="P455" s="1" t="s">
        <v>2908</v>
      </c>
      <c r="Q455" s="2" t="s">
        <v>1151</v>
      </c>
      <c r="R455" s="2" t="s">
        <v>1152</v>
      </c>
      <c r="S455" s="1" t="s">
        <v>5730</v>
      </c>
      <c r="T455" s="2" t="s">
        <v>13</v>
      </c>
      <c r="U455" s="3">
        <v>1</v>
      </c>
      <c r="V455" s="3">
        <v>1</v>
      </c>
      <c r="W455" s="4" t="s">
        <v>5137</v>
      </c>
      <c r="X455" s="4" t="s">
        <v>5137</v>
      </c>
      <c r="Y455" s="4" t="s">
        <v>5137</v>
      </c>
      <c r="Z455" s="4" t="s">
        <v>5137</v>
      </c>
      <c r="AA455" s="3">
        <v>172</v>
      </c>
      <c r="AB455" s="3">
        <v>150</v>
      </c>
      <c r="AC455" s="3">
        <v>305</v>
      </c>
      <c r="AD455" s="3">
        <v>3</v>
      </c>
      <c r="AE455" s="9">
        <v>3</v>
      </c>
      <c r="AF455" s="9">
        <v>12</v>
      </c>
      <c r="AG455" s="9">
        <v>16</v>
      </c>
      <c r="AH455" s="3">
        <v>3</v>
      </c>
      <c r="AI455" s="3">
        <v>5</v>
      </c>
      <c r="AJ455" s="3">
        <v>4</v>
      </c>
      <c r="AK455" s="3">
        <v>5</v>
      </c>
      <c r="AL455" s="3">
        <v>7</v>
      </c>
      <c r="AM455" s="3">
        <v>10</v>
      </c>
      <c r="AN455" s="3">
        <v>2</v>
      </c>
      <c r="AO455" s="3">
        <v>2</v>
      </c>
      <c r="AP455" s="3">
        <v>0</v>
      </c>
      <c r="AQ455" s="3">
        <v>0</v>
      </c>
      <c r="AR455" s="2" t="s">
        <v>5</v>
      </c>
      <c r="AS455" s="2" t="s">
        <v>46</v>
      </c>
      <c r="AT455" s="5" t="str">
        <f>HYPERLINK("http://catalog.hathitrust.org/Record/007969468","HathiTrust Record")</f>
        <v>HathiTrust Record</v>
      </c>
      <c r="AU455" s="5" t="str">
        <f>HYPERLINK("https://creighton-primo.hosted.exlibrisgroup.com/primo-explore/search?tab=default_tab&amp;search_scope=EVERYTHING&amp;vid=01CRU&amp;lang=en_US&amp;offset=0&amp;query=any,contains,991004510059702656","Catalog Record")</f>
        <v>Catalog Record</v>
      </c>
      <c r="AV455" s="5" t="str">
        <f>HYPERLINK("http://www.worldcat.org/oclc/1113555","WorldCat Record")</f>
        <v>WorldCat Record</v>
      </c>
      <c r="AW455" s="2" t="s">
        <v>5731</v>
      </c>
      <c r="AX455" s="2" t="s">
        <v>5732</v>
      </c>
      <c r="AY455" s="2" t="s">
        <v>5733</v>
      </c>
      <c r="AZ455" s="2" t="s">
        <v>5733</v>
      </c>
      <c r="BA455" s="2" t="s">
        <v>5734</v>
      </c>
      <c r="BB455" s="2" t="s">
        <v>20</v>
      </c>
      <c r="BE455" s="2" t="s">
        <v>5735</v>
      </c>
      <c r="BF455" s="2" t="s">
        <v>5736</v>
      </c>
    </row>
    <row r="456" spans="1:58" ht="39.75" customHeight="1" x14ac:dyDescent="0.25">
      <c r="A456" s="7" t="s">
        <v>5</v>
      </c>
      <c r="B456" s="1" t="s">
        <v>0</v>
      </c>
      <c r="C456" s="1" t="s">
        <v>1</v>
      </c>
      <c r="D456" s="1" t="s">
        <v>5737</v>
      </c>
      <c r="E456" s="1" t="s">
        <v>5738</v>
      </c>
      <c r="F456" s="1" t="s">
        <v>5739</v>
      </c>
      <c r="H456" s="2" t="s">
        <v>5</v>
      </c>
      <c r="I456" s="2" t="s">
        <v>6</v>
      </c>
      <c r="J456" s="2" t="s">
        <v>5</v>
      </c>
      <c r="K456" s="2" t="s">
        <v>46</v>
      </c>
      <c r="L456" s="2" t="s">
        <v>7</v>
      </c>
      <c r="M456" s="1" t="s">
        <v>5728</v>
      </c>
      <c r="N456" s="1" t="s">
        <v>5740</v>
      </c>
      <c r="O456" s="2" t="s">
        <v>121</v>
      </c>
      <c r="Q456" s="2" t="s">
        <v>1151</v>
      </c>
      <c r="R456" s="2" t="s">
        <v>1152</v>
      </c>
      <c r="S456" s="1" t="s">
        <v>5741</v>
      </c>
      <c r="T456" s="2" t="s">
        <v>13</v>
      </c>
      <c r="U456" s="3">
        <v>1</v>
      </c>
      <c r="V456" s="3">
        <v>1</v>
      </c>
      <c r="W456" s="4" t="s">
        <v>5032</v>
      </c>
      <c r="X456" s="4" t="s">
        <v>5032</v>
      </c>
      <c r="Y456" s="4" t="s">
        <v>5032</v>
      </c>
      <c r="Z456" s="4" t="s">
        <v>5032</v>
      </c>
      <c r="AA456" s="3">
        <v>75</v>
      </c>
      <c r="AB456" s="3">
        <v>61</v>
      </c>
      <c r="AC456" s="3">
        <v>305</v>
      </c>
      <c r="AD456" s="3">
        <v>1</v>
      </c>
      <c r="AE456" s="9">
        <v>3</v>
      </c>
      <c r="AF456" s="9">
        <v>1</v>
      </c>
      <c r="AG456" s="9">
        <v>16</v>
      </c>
      <c r="AH456" s="3">
        <v>1</v>
      </c>
      <c r="AI456" s="3">
        <v>5</v>
      </c>
      <c r="AJ456" s="3">
        <v>0</v>
      </c>
      <c r="AK456" s="3">
        <v>5</v>
      </c>
      <c r="AL456" s="3">
        <v>0</v>
      </c>
      <c r="AM456" s="3">
        <v>10</v>
      </c>
      <c r="AN456" s="3">
        <v>0</v>
      </c>
      <c r="AO456" s="3">
        <v>2</v>
      </c>
      <c r="AP456" s="3">
        <v>0</v>
      </c>
      <c r="AQ456" s="3">
        <v>0</v>
      </c>
      <c r="AR456" s="2" t="s">
        <v>5</v>
      </c>
      <c r="AS456" s="2" t="s">
        <v>46</v>
      </c>
      <c r="AT456" s="5" t="str">
        <f>HYPERLINK("http://catalog.hathitrust.org/Record/001518083","HathiTrust Record")</f>
        <v>HathiTrust Record</v>
      </c>
      <c r="AU456" s="5" t="str">
        <f>HYPERLINK("https://creighton-primo.hosted.exlibrisgroup.com/primo-explore/search?tab=default_tab&amp;search_scope=EVERYTHING&amp;vid=01CRU&amp;lang=en_US&amp;offset=0&amp;query=any,contains,991004489889702656","Catalog Record")</f>
        <v>Catalog Record</v>
      </c>
      <c r="AV456" s="5" t="str">
        <f>HYPERLINK("http://www.worldcat.org/oclc/1178870","WorldCat Record")</f>
        <v>WorldCat Record</v>
      </c>
      <c r="AW456" s="2" t="s">
        <v>5731</v>
      </c>
      <c r="AX456" s="2" t="s">
        <v>5742</v>
      </c>
      <c r="AY456" s="2" t="s">
        <v>5743</v>
      </c>
      <c r="AZ456" s="2" t="s">
        <v>5743</v>
      </c>
      <c r="BA456" s="2" t="s">
        <v>5744</v>
      </c>
      <c r="BB456" s="2" t="s">
        <v>20</v>
      </c>
      <c r="BE456" s="2" t="s">
        <v>5745</v>
      </c>
      <c r="BF456" s="2" t="s">
        <v>5746</v>
      </c>
    </row>
    <row r="457" spans="1:58" ht="39.75" customHeight="1" x14ac:dyDescent="0.25">
      <c r="A457" s="7" t="s">
        <v>5</v>
      </c>
      <c r="B457" s="1" t="s">
        <v>0</v>
      </c>
      <c r="C457" s="1" t="s">
        <v>1</v>
      </c>
      <c r="D457" s="1" t="s">
        <v>5747</v>
      </c>
      <c r="E457" s="1" t="s">
        <v>5748</v>
      </c>
      <c r="F457" s="1" t="s">
        <v>5749</v>
      </c>
      <c r="H457" s="2" t="s">
        <v>5</v>
      </c>
      <c r="I457" s="2" t="s">
        <v>6</v>
      </c>
      <c r="J457" s="2" t="s">
        <v>5</v>
      </c>
      <c r="K457" s="2" t="s">
        <v>5</v>
      </c>
      <c r="L457" s="2" t="s">
        <v>7</v>
      </c>
      <c r="M457" s="1" t="s">
        <v>5750</v>
      </c>
      <c r="N457" s="1" t="s">
        <v>5751</v>
      </c>
      <c r="O457" s="2" t="s">
        <v>2610</v>
      </c>
      <c r="Q457" s="2" t="s">
        <v>1151</v>
      </c>
      <c r="R457" s="2" t="s">
        <v>4146</v>
      </c>
      <c r="S457" s="1" t="s">
        <v>5752</v>
      </c>
      <c r="T457" s="2" t="s">
        <v>13</v>
      </c>
      <c r="U457" s="3">
        <v>1</v>
      </c>
      <c r="V457" s="3">
        <v>1</v>
      </c>
      <c r="W457" s="4" t="s">
        <v>4148</v>
      </c>
      <c r="X457" s="4" t="s">
        <v>4148</v>
      </c>
      <c r="Y457" s="4" t="s">
        <v>4148</v>
      </c>
      <c r="Z457" s="4" t="s">
        <v>4148</v>
      </c>
      <c r="AA457" s="3">
        <v>13</v>
      </c>
      <c r="AB457" s="3">
        <v>12</v>
      </c>
      <c r="AC457" s="3">
        <v>14</v>
      </c>
      <c r="AD457" s="3">
        <v>1</v>
      </c>
      <c r="AE457" s="9">
        <v>1</v>
      </c>
      <c r="AF457" s="9">
        <v>0</v>
      </c>
      <c r="AG457" s="9">
        <v>0</v>
      </c>
      <c r="AH457" s="3">
        <v>0</v>
      </c>
      <c r="AI457" s="3">
        <v>0</v>
      </c>
      <c r="AJ457" s="3">
        <v>0</v>
      </c>
      <c r="AK457" s="3">
        <v>0</v>
      </c>
      <c r="AL457" s="3">
        <v>0</v>
      </c>
      <c r="AM457" s="3">
        <v>0</v>
      </c>
      <c r="AN457" s="3">
        <v>0</v>
      </c>
      <c r="AO457" s="3">
        <v>0</v>
      </c>
      <c r="AP457" s="3">
        <v>0</v>
      </c>
      <c r="AQ457" s="3">
        <v>0</v>
      </c>
      <c r="AR457" s="2" t="s">
        <v>5</v>
      </c>
      <c r="AS457" s="2" t="s">
        <v>46</v>
      </c>
      <c r="AT457" s="5" t="str">
        <f>HYPERLINK("http://catalog.hathitrust.org/Record/010160009","HathiTrust Record")</f>
        <v>HathiTrust Record</v>
      </c>
      <c r="AU457" s="5" t="str">
        <f>HYPERLINK("https://creighton-primo.hosted.exlibrisgroup.com/primo-explore/search?tab=default_tab&amp;search_scope=EVERYTHING&amp;vid=01CRU&amp;lang=en_US&amp;offset=0&amp;query=any,contains,991004044369702656","Catalog Record")</f>
        <v>Catalog Record</v>
      </c>
      <c r="AV457" s="5" t="str">
        <f>HYPERLINK("http://www.worldcat.org/oclc/25025382","WorldCat Record")</f>
        <v>WorldCat Record</v>
      </c>
      <c r="AW457" s="2" t="s">
        <v>5753</v>
      </c>
      <c r="AX457" s="2" t="s">
        <v>5754</v>
      </c>
      <c r="AY457" s="2" t="s">
        <v>5755</v>
      </c>
      <c r="AZ457" s="2" t="s">
        <v>5755</v>
      </c>
      <c r="BA457" s="2" t="s">
        <v>5756</v>
      </c>
      <c r="BB457" s="2" t="s">
        <v>20</v>
      </c>
      <c r="BD457" s="2" t="s">
        <v>5757</v>
      </c>
      <c r="BE457" s="2" t="s">
        <v>5758</v>
      </c>
      <c r="BF457" s="2" t="s">
        <v>5759</v>
      </c>
    </row>
    <row r="458" spans="1:58" ht="39.75" customHeight="1" x14ac:dyDescent="0.25">
      <c r="A458" s="7" t="s">
        <v>5</v>
      </c>
      <c r="B458" s="1" t="s">
        <v>0</v>
      </c>
      <c r="C458" s="1" t="s">
        <v>1</v>
      </c>
      <c r="D458" s="1" t="s">
        <v>5760</v>
      </c>
      <c r="E458" s="1" t="s">
        <v>5761</v>
      </c>
      <c r="F458" s="1" t="s">
        <v>5762</v>
      </c>
      <c r="H458" s="2" t="s">
        <v>5</v>
      </c>
      <c r="I458" s="2" t="s">
        <v>6</v>
      </c>
      <c r="J458" s="2" t="s">
        <v>5</v>
      </c>
      <c r="K458" s="2" t="s">
        <v>5</v>
      </c>
      <c r="L458" s="2" t="s">
        <v>7</v>
      </c>
      <c r="M458" s="1" t="s">
        <v>5763</v>
      </c>
      <c r="N458" s="1" t="s">
        <v>5764</v>
      </c>
      <c r="O458" s="2" t="s">
        <v>468</v>
      </c>
      <c r="Q458" s="2" t="s">
        <v>1151</v>
      </c>
      <c r="R458" s="2" t="s">
        <v>1152</v>
      </c>
      <c r="S458" s="1" t="s">
        <v>5765</v>
      </c>
      <c r="T458" s="2" t="s">
        <v>13</v>
      </c>
      <c r="U458" s="3">
        <v>1</v>
      </c>
      <c r="V458" s="3">
        <v>1</v>
      </c>
      <c r="W458" s="4" t="s">
        <v>5137</v>
      </c>
      <c r="X458" s="4" t="s">
        <v>5137</v>
      </c>
      <c r="Y458" s="4" t="s">
        <v>5137</v>
      </c>
      <c r="Z458" s="4" t="s">
        <v>5137</v>
      </c>
      <c r="AA458" s="3">
        <v>462</v>
      </c>
      <c r="AB458" s="3">
        <v>390</v>
      </c>
      <c r="AC458" s="3">
        <v>472</v>
      </c>
      <c r="AD458" s="3">
        <v>5</v>
      </c>
      <c r="AE458" s="9">
        <v>5</v>
      </c>
      <c r="AF458" s="9">
        <v>22</v>
      </c>
      <c r="AG458" s="9">
        <v>22</v>
      </c>
      <c r="AH458" s="3">
        <v>5</v>
      </c>
      <c r="AI458" s="3">
        <v>5</v>
      </c>
      <c r="AJ458" s="3">
        <v>7</v>
      </c>
      <c r="AK458" s="3">
        <v>7</v>
      </c>
      <c r="AL458" s="3">
        <v>12</v>
      </c>
      <c r="AM458" s="3">
        <v>12</v>
      </c>
      <c r="AN458" s="3">
        <v>4</v>
      </c>
      <c r="AO458" s="3">
        <v>4</v>
      </c>
      <c r="AP458" s="3">
        <v>0</v>
      </c>
      <c r="AQ458" s="3">
        <v>0</v>
      </c>
      <c r="AR458" s="2" t="s">
        <v>5</v>
      </c>
      <c r="AS458" s="2" t="s">
        <v>46</v>
      </c>
      <c r="AT458" s="5" t="str">
        <f>HYPERLINK("http://catalog.hathitrust.org/Record/001048671","HathiTrust Record")</f>
        <v>HathiTrust Record</v>
      </c>
      <c r="AU458" s="5" t="str">
        <f>HYPERLINK("https://creighton-primo.hosted.exlibrisgroup.com/primo-explore/search?tab=default_tab&amp;search_scope=EVERYTHING&amp;vid=01CRU&amp;lang=en_US&amp;offset=0&amp;query=any,contains,991004509899702656","Catalog Record")</f>
        <v>Catalog Record</v>
      </c>
      <c r="AV458" s="5" t="str">
        <f>HYPERLINK("http://www.worldcat.org/oclc/345089","WorldCat Record")</f>
        <v>WorldCat Record</v>
      </c>
      <c r="AW458" s="2" t="s">
        <v>5766</v>
      </c>
      <c r="AX458" s="2" t="s">
        <v>5767</v>
      </c>
      <c r="AY458" s="2" t="s">
        <v>5768</v>
      </c>
      <c r="AZ458" s="2" t="s">
        <v>5768</v>
      </c>
      <c r="BA458" s="2" t="s">
        <v>5769</v>
      </c>
      <c r="BB458" s="2" t="s">
        <v>20</v>
      </c>
      <c r="BE458" s="2" t="s">
        <v>5770</v>
      </c>
      <c r="BF458" s="2" t="s">
        <v>5771</v>
      </c>
    </row>
    <row r="459" spans="1:58" ht="39.75" customHeight="1" x14ac:dyDescent="0.25">
      <c r="A459" s="7" t="s">
        <v>5</v>
      </c>
      <c r="B459" s="1" t="s">
        <v>0</v>
      </c>
      <c r="C459" s="1" t="s">
        <v>1</v>
      </c>
      <c r="D459" s="1" t="s">
        <v>5772</v>
      </c>
      <c r="E459" s="1" t="s">
        <v>5773</v>
      </c>
      <c r="F459" s="1" t="s">
        <v>5774</v>
      </c>
      <c r="H459" s="2" t="s">
        <v>5</v>
      </c>
      <c r="I459" s="2" t="s">
        <v>6</v>
      </c>
      <c r="J459" s="2" t="s">
        <v>5</v>
      </c>
      <c r="K459" s="2" t="s">
        <v>46</v>
      </c>
      <c r="L459" s="2" t="s">
        <v>7</v>
      </c>
      <c r="M459" s="1" t="s">
        <v>5097</v>
      </c>
      <c r="N459" s="1" t="s">
        <v>5775</v>
      </c>
      <c r="O459" s="2" t="s">
        <v>5776</v>
      </c>
      <c r="Q459" s="2" t="s">
        <v>1151</v>
      </c>
      <c r="R459" s="2" t="s">
        <v>5403</v>
      </c>
      <c r="S459" s="1" t="s">
        <v>5777</v>
      </c>
      <c r="T459" s="2" t="s">
        <v>13</v>
      </c>
      <c r="U459" s="3">
        <v>1</v>
      </c>
      <c r="V459" s="3">
        <v>1</v>
      </c>
      <c r="W459" s="4" t="s">
        <v>5778</v>
      </c>
      <c r="X459" s="4" t="s">
        <v>5778</v>
      </c>
      <c r="Y459" s="4" t="s">
        <v>5706</v>
      </c>
      <c r="Z459" s="4" t="s">
        <v>5706</v>
      </c>
      <c r="AA459" s="3">
        <v>133</v>
      </c>
      <c r="AB459" s="3">
        <v>119</v>
      </c>
      <c r="AC459" s="3">
        <v>533</v>
      </c>
      <c r="AD459" s="3">
        <v>1</v>
      </c>
      <c r="AE459" s="9">
        <v>4</v>
      </c>
      <c r="AF459" s="9">
        <v>1</v>
      </c>
      <c r="AG459" s="9">
        <v>29</v>
      </c>
      <c r="AH459" s="3">
        <v>1</v>
      </c>
      <c r="AI459" s="3">
        <v>8</v>
      </c>
      <c r="AJ459" s="3">
        <v>0</v>
      </c>
      <c r="AK459" s="3">
        <v>8</v>
      </c>
      <c r="AL459" s="3">
        <v>0</v>
      </c>
      <c r="AM459" s="3">
        <v>16</v>
      </c>
      <c r="AN459" s="3">
        <v>0</v>
      </c>
      <c r="AO459" s="3">
        <v>3</v>
      </c>
      <c r="AP459" s="3">
        <v>0</v>
      </c>
      <c r="AQ459" s="3">
        <v>0</v>
      </c>
      <c r="AR459" s="2" t="s">
        <v>5</v>
      </c>
      <c r="AS459" s="2" t="s">
        <v>46</v>
      </c>
      <c r="AT459" s="5" t="str">
        <f>HYPERLINK("http://catalog.hathitrust.org/Record/006507467","HathiTrust Record")</f>
        <v>HathiTrust Record</v>
      </c>
      <c r="AU459" s="5" t="str">
        <f>HYPERLINK("https://creighton-primo.hosted.exlibrisgroup.com/primo-explore/search?tab=default_tab&amp;search_scope=EVERYTHING&amp;vid=01CRU&amp;lang=en_US&amp;offset=0&amp;query=any,contains,991002844169702656","Catalog Record")</f>
        <v>Catalog Record</v>
      </c>
      <c r="AV459" s="5" t="str">
        <f>HYPERLINK("http://www.worldcat.org/oclc/483852","WorldCat Record")</f>
        <v>WorldCat Record</v>
      </c>
      <c r="AW459" s="2" t="s">
        <v>5779</v>
      </c>
      <c r="AX459" s="2" t="s">
        <v>5780</v>
      </c>
      <c r="AY459" s="2" t="s">
        <v>5781</v>
      </c>
      <c r="AZ459" s="2" t="s">
        <v>5781</v>
      </c>
      <c r="BA459" s="2" t="s">
        <v>5782</v>
      </c>
      <c r="BB459" s="2" t="s">
        <v>20</v>
      </c>
      <c r="BE459" s="2" t="s">
        <v>5783</v>
      </c>
      <c r="BF459" s="2" t="s">
        <v>5784</v>
      </c>
    </row>
    <row r="460" spans="1:58" ht="39.75" customHeight="1" x14ac:dyDescent="0.25">
      <c r="A460" s="7" t="s">
        <v>5</v>
      </c>
      <c r="B460" s="1" t="s">
        <v>0</v>
      </c>
      <c r="C460" s="1" t="s">
        <v>1</v>
      </c>
      <c r="D460" s="1" t="s">
        <v>5785</v>
      </c>
      <c r="E460" s="1" t="s">
        <v>5786</v>
      </c>
      <c r="F460" s="1" t="s">
        <v>5787</v>
      </c>
      <c r="H460" s="2" t="s">
        <v>5</v>
      </c>
      <c r="I460" s="2" t="s">
        <v>6</v>
      </c>
      <c r="J460" s="2" t="s">
        <v>5</v>
      </c>
      <c r="K460" s="2" t="s">
        <v>5</v>
      </c>
      <c r="L460" s="2" t="s">
        <v>7</v>
      </c>
      <c r="M460" s="1" t="s">
        <v>5788</v>
      </c>
      <c r="N460" s="1" t="s">
        <v>5789</v>
      </c>
      <c r="O460" s="2" t="s">
        <v>1065</v>
      </c>
      <c r="Q460" s="2" t="s">
        <v>1151</v>
      </c>
      <c r="R460" s="2" t="s">
        <v>1152</v>
      </c>
      <c r="S460" s="1" t="s">
        <v>5790</v>
      </c>
      <c r="T460" s="2" t="s">
        <v>13</v>
      </c>
      <c r="U460" s="3">
        <v>2</v>
      </c>
      <c r="V460" s="3">
        <v>2</v>
      </c>
      <c r="W460" s="4" t="s">
        <v>5778</v>
      </c>
      <c r="X460" s="4" t="s">
        <v>5778</v>
      </c>
      <c r="Y460" s="4" t="s">
        <v>5706</v>
      </c>
      <c r="Z460" s="4" t="s">
        <v>5706</v>
      </c>
      <c r="AA460" s="3">
        <v>227</v>
      </c>
      <c r="AB460" s="3">
        <v>188</v>
      </c>
      <c r="AC460" s="3">
        <v>566</v>
      </c>
      <c r="AD460" s="3">
        <v>2</v>
      </c>
      <c r="AE460" s="9">
        <v>8</v>
      </c>
      <c r="AF460" s="9">
        <v>15</v>
      </c>
      <c r="AG460" s="9">
        <v>35</v>
      </c>
      <c r="AH460" s="3">
        <v>4</v>
      </c>
      <c r="AI460" s="3">
        <v>11</v>
      </c>
      <c r="AJ460" s="3">
        <v>3</v>
      </c>
      <c r="AK460" s="3">
        <v>8</v>
      </c>
      <c r="AL460" s="3">
        <v>11</v>
      </c>
      <c r="AM460" s="3">
        <v>19</v>
      </c>
      <c r="AN460" s="3">
        <v>1</v>
      </c>
      <c r="AO460" s="3">
        <v>7</v>
      </c>
      <c r="AP460" s="3">
        <v>0</v>
      </c>
      <c r="AQ460" s="3">
        <v>0</v>
      </c>
      <c r="AR460" s="2" t="s">
        <v>5</v>
      </c>
      <c r="AS460" s="2" t="s">
        <v>46</v>
      </c>
      <c r="AT460" s="5" t="str">
        <f>HYPERLINK("http://catalog.hathitrust.org/Record/001518653","HathiTrust Record")</f>
        <v>HathiTrust Record</v>
      </c>
      <c r="AU460" s="5" t="str">
        <f>HYPERLINK("https://creighton-primo.hosted.exlibrisgroup.com/primo-explore/search?tab=default_tab&amp;search_scope=EVERYTHING&amp;vid=01CRU&amp;lang=en_US&amp;offset=0&amp;query=any,contains,991003938629702656","Catalog Record")</f>
        <v>Catalog Record</v>
      </c>
      <c r="AV460" s="5" t="str">
        <f>HYPERLINK("http://www.worldcat.org/oclc/1922474","WorldCat Record")</f>
        <v>WorldCat Record</v>
      </c>
      <c r="AW460" s="2" t="s">
        <v>5791</v>
      </c>
      <c r="AX460" s="2" t="s">
        <v>5792</v>
      </c>
      <c r="AY460" s="2" t="s">
        <v>5793</v>
      </c>
      <c r="AZ460" s="2" t="s">
        <v>5793</v>
      </c>
      <c r="BA460" s="2" t="s">
        <v>5794</v>
      </c>
      <c r="BB460" s="2" t="s">
        <v>20</v>
      </c>
      <c r="BE460" s="2" t="s">
        <v>5795</v>
      </c>
      <c r="BF460" s="2" t="s">
        <v>5796</v>
      </c>
    </row>
    <row r="461" spans="1:58" ht="39.75" customHeight="1" x14ac:dyDescent="0.25">
      <c r="A461" s="7" t="s">
        <v>5</v>
      </c>
      <c r="B461" s="1" t="s">
        <v>0</v>
      </c>
      <c r="C461" s="1" t="s">
        <v>1</v>
      </c>
      <c r="D461" s="1" t="s">
        <v>5797</v>
      </c>
      <c r="E461" s="1" t="s">
        <v>5798</v>
      </c>
      <c r="F461" s="1" t="s">
        <v>5799</v>
      </c>
      <c r="H461" s="2" t="s">
        <v>5</v>
      </c>
      <c r="I461" s="2" t="s">
        <v>6</v>
      </c>
      <c r="J461" s="2" t="s">
        <v>5</v>
      </c>
      <c r="K461" s="2" t="s">
        <v>5</v>
      </c>
      <c r="L461" s="2" t="s">
        <v>7</v>
      </c>
      <c r="M461" s="1" t="s">
        <v>5800</v>
      </c>
      <c r="N461" s="1" t="s">
        <v>5801</v>
      </c>
      <c r="O461" s="2" t="s">
        <v>177</v>
      </c>
      <c r="Q461" s="2" t="s">
        <v>1151</v>
      </c>
      <c r="R461" s="2" t="s">
        <v>1152</v>
      </c>
      <c r="S461" s="1" t="s">
        <v>5802</v>
      </c>
      <c r="T461" s="2" t="s">
        <v>13</v>
      </c>
      <c r="U461" s="3">
        <v>2</v>
      </c>
      <c r="V461" s="3">
        <v>2</v>
      </c>
      <c r="W461" s="4" t="s">
        <v>1918</v>
      </c>
      <c r="X461" s="4" t="s">
        <v>1918</v>
      </c>
      <c r="Y461" s="4" t="s">
        <v>5706</v>
      </c>
      <c r="Z461" s="4" t="s">
        <v>5706</v>
      </c>
      <c r="AA461" s="3">
        <v>415</v>
      </c>
      <c r="AB461" s="3">
        <v>333</v>
      </c>
      <c r="AC461" s="3">
        <v>356</v>
      </c>
      <c r="AD461" s="3">
        <v>3</v>
      </c>
      <c r="AE461" s="9">
        <v>3</v>
      </c>
      <c r="AF461" s="9">
        <v>22</v>
      </c>
      <c r="AG461" s="9">
        <v>23</v>
      </c>
      <c r="AH461" s="3">
        <v>6</v>
      </c>
      <c r="AI461" s="3">
        <v>7</v>
      </c>
      <c r="AJ461" s="3">
        <v>7</v>
      </c>
      <c r="AK461" s="3">
        <v>7</v>
      </c>
      <c r="AL461" s="3">
        <v>13</v>
      </c>
      <c r="AM461" s="3">
        <v>13</v>
      </c>
      <c r="AN461" s="3">
        <v>2</v>
      </c>
      <c r="AO461" s="3">
        <v>2</v>
      </c>
      <c r="AP461" s="3">
        <v>0</v>
      </c>
      <c r="AQ461" s="3">
        <v>0</v>
      </c>
      <c r="AR461" s="2" t="s">
        <v>5</v>
      </c>
      <c r="AS461" s="2" t="s">
        <v>46</v>
      </c>
      <c r="AT461" s="5" t="str">
        <f>HYPERLINK("http://catalog.hathitrust.org/Record/001036881","HathiTrust Record")</f>
        <v>HathiTrust Record</v>
      </c>
      <c r="AU461" s="5" t="str">
        <f>HYPERLINK("https://creighton-primo.hosted.exlibrisgroup.com/primo-explore/search?tab=default_tab&amp;search_scope=EVERYTHING&amp;vid=01CRU&amp;lang=en_US&amp;offset=0&amp;query=any,contains,991002430999702656","Catalog Record")</f>
        <v>Catalog Record</v>
      </c>
      <c r="AV461" s="5" t="str">
        <f>HYPERLINK("http://www.worldcat.org/oclc/347014","WorldCat Record")</f>
        <v>WorldCat Record</v>
      </c>
      <c r="AW461" s="2" t="s">
        <v>5803</v>
      </c>
      <c r="AX461" s="2" t="s">
        <v>5804</v>
      </c>
      <c r="AY461" s="2" t="s">
        <v>5805</v>
      </c>
      <c r="AZ461" s="2" t="s">
        <v>5805</v>
      </c>
      <c r="BA461" s="2" t="s">
        <v>5806</v>
      </c>
      <c r="BB461" s="2" t="s">
        <v>20</v>
      </c>
      <c r="BE461" s="2" t="s">
        <v>5807</v>
      </c>
      <c r="BF461" s="2" t="s">
        <v>5808</v>
      </c>
    </row>
    <row r="462" spans="1:58" ht="39.75" customHeight="1" x14ac:dyDescent="0.25">
      <c r="A462" s="7" t="s">
        <v>5</v>
      </c>
      <c r="B462" s="1" t="s">
        <v>0</v>
      </c>
      <c r="C462" s="1" t="s">
        <v>1</v>
      </c>
      <c r="D462" s="1" t="s">
        <v>5809</v>
      </c>
      <c r="E462" s="1" t="s">
        <v>5810</v>
      </c>
      <c r="F462" s="1" t="s">
        <v>5811</v>
      </c>
      <c r="H462" s="2" t="s">
        <v>5</v>
      </c>
      <c r="I462" s="2" t="s">
        <v>6</v>
      </c>
      <c r="J462" s="2" t="s">
        <v>5</v>
      </c>
      <c r="K462" s="2" t="s">
        <v>5</v>
      </c>
      <c r="L462" s="2" t="s">
        <v>7</v>
      </c>
      <c r="M462" s="1" t="s">
        <v>5812</v>
      </c>
      <c r="N462" s="1" t="s">
        <v>5813</v>
      </c>
      <c r="O462" s="2" t="s">
        <v>584</v>
      </c>
      <c r="Q462" s="2" t="s">
        <v>1151</v>
      </c>
      <c r="R462" s="2" t="s">
        <v>1152</v>
      </c>
      <c r="S462" s="1" t="s">
        <v>5814</v>
      </c>
      <c r="T462" s="2" t="s">
        <v>13</v>
      </c>
      <c r="U462" s="3">
        <v>3</v>
      </c>
      <c r="V462" s="3">
        <v>3</v>
      </c>
      <c r="W462" s="4" t="s">
        <v>1918</v>
      </c>
      <c r="X462" s="4" t="s">
        <v>1918</v>
      </c>
      <c r="Y462" s="4" t="s">
        <v>5706</v>
      </c>
      <c r="Z462" s="4" t="s">
        <v>5706</v>
      </c>
      <c r="AA462" s="3">
        <v>422</v>
      </c>
      <c r="AB462" s="3">
        <v>339</v>
      </c>
      <c r="AC462" s="3">
        <v>463</v>
      </c>
      <c r="AD462" s="3">
        <v>4</v>
      </c>
      <c r="AE462" s="9">
        <v>5</v>
      </c>
      <c r="AF462" s="9">
        <v>23</v>
      </c>
      <c r="AG462" s="9">
        <v>30</v>
      </c>
      <c r="AH462" s="3">
        <v>7</v>
      </c>
      <c r="AI462" s="3">
        <v>11</v>
      </c>
      <c r="AJ462" s="3">
        <v>8</v>
      </c>
      <c r="AK462" s="3">
        <v>9</v>
      </c>
      <c r="AL462" s="3">
        <v>12</v>
      </c>
      <c r="AM462" s="3">
        <v>15</v>
      </c>
      <c r="AN462" s="3">
        <v>3</v>
      </c>
      <c r="AO462" s="3">
        <v>4</v>
      </c>
      <c r="AP462" s="3">
        <v>0</v>
      </c>
      <c r="AQ462" s="3">
        <v>0</v>
      </c>
      <c r="AR462" s="2" t="s">
        <v>5</v>
      </c>
      <c r="AS462" s="2" t="s">
        <v>46</v>
      </c>
      <c r="AT462" s="5" t="str">
        <f>HYPERLINK("http://catalog.hathitrust.org/Record/001111561","HathiTrust Record")</f>
        <v>HathiTrust Record</v>
      </c>
      <c r="AU462" s="5" t="str">
        <f>HYPERLINK("https://creighton-primo.hosted.exlibrisgroup.com/primo-explore/search?tab=default_tab&amp;search_scope=EVERYTHING&amp;vid=01CRU&amp;lang=en_US&amp;offset=0&amp;query=any,contains,991002426789702656","Catalog Record")</f>
        <v>Catalog Record</v>
      </c>
      <c r="AV462" s="5" t="str">
        <f>HYPERLINK("http://www.worldcat.org/oclc/345084","WorldCat Record")</f>
        <v>WorldCat Record</v>
      </c>
      <c r="AW462" s="2" t="s">
        <v>5815</v>
      </c>
      <c r="AX462" s="2" t="s">
        <v>5816</v>
      </c>
      <c r="AY462" s="2" t="s">
        <v>5817</v>
      </c>
      <c r="AZ462" s="2" t="s">
        <v>5817</v>
      </c>
      <c r="BA462" s="2" t="s">
        <v>5818</v>
      </c>
      <c r="BB462" s="2" t="s">
        <v>20</v>
      </c>
      <c r="BE462" s="2" t="s">
        <v>5819</v>
      </c>
      <c r="BF462" s="2" t="s">
        <v>5820</v>
      </c>
    </row>
    <row r="463" spans="1:58" ht="39.75" customHeight="1" x14ac:dyDescent="0.25">
      <c r="A463" s="7" t="s">
        <v>5</v>
      </c>
      <c r="B463" s="1" t="s">
        <v>0</v>
      </c>
      <c r="C463" s="1" t="s">
        <v>1</v>
      </c>
      <c r="D463" s="1" t="s">
        <v>5821</v>
      </c>
      <c r="E463" s="1" t="s">
        <v>5822</v>
      </c>
      <c r="F463" s="1" t="s">
        <v>5823</v>
      </c>
      <c r="H463" s="2" t="s">
        <v>5</v>
      </c>
      <c r="I463" s="2" t="s">
        <v>6</v>
      </c>
      <c r="J463" s="2" t="s">
        <v>5</v>
      </c>
      <c r="K463" s="2" t="s">
        <v>5</v>
      </c>
      <c r="L463" s="2" t="s">
        <v>7</v>
      </c>
      <c r="M463" s="1" t="s">
        <v>5824</v>
      </c>
      <c r="N463" s="1" t="s">
        <v>5825</v>
      </c>
      <c r="O463" s="2" t="s">
        <v>886</v>
      </c>
      <c r="Q463" s="2" t="s">
        <v>1151</v>
      </c>
      <c r="R463" s="2" t="s">
        <v>1152</v>
      </c>
      <c r="S463" s="1" t="s">
        <v>5826</v>
      </c>
      <c r="T463" s="2" t="s">
        <v>13</v>
      </c>
      <c r="U463" s="3">
        <v>7</v>
      </c>
      <c r="V463" s="3">
        <v>7</v>
      </c>
      <c r="W463" s="4" t="s">
        <v>1918</v>
      </c>
      <c r="X463" s="4" t="s">
        <v>1918</v>
      </c>
      <c r="Y463" s="4" t="s">
        <v>5361</v>
      </c>
      <c r="Z463" s="4" t="s">
        <v>5361</v>
      </c>
      <c r="AA463" s="3">
        <v>92</v>
      </c>
      <c r="AB463" s="3">
        <v>64</v>
      </c>
      <c r="AC463" s="3">
        <v>65</v>
      </c>
      <c r="AD463" s="3">
        <v>1</v>
      </c>
      <c r="AE463" s="9">
        <v>1</v>
      </c>
      <c r="AF463" s="9">
        <v>3</v>
      </c>
      <c r="AG463" s="9">
        <v>3</v>
      </c>
      <c r="AH463" s="3">
        <v>1</v>
      </c>
      <c r="AI463" s="3">
        <v>1</v>
      </c>
      <c r="AJ463" s="3">
        <v>1</v>
      </c>
      <c r="AK463" s="3">
        <v>1</v>
      </c>
      <c r="AL463" s="3">
        <v>2</v>
      </c>
      <c r="AM463" s="3">
        <v>2</v>
      </c>
      <c r="AN463" s="3">
        <v>0</v>
      </c>
      <c r="AO463" s="3">
        <v>0</v>
      </c>
      <c r="AP463" s="3">
        <v>0</v>
      </c>
      <c r="AQ463" s="3">
        <v>0</v>
      </c>
      <c r="AR463" s="2" t="s">
        <v>5</v>
      </c>
      <c r="AS463" s="2" t="s">
        <v>5</v>
      </c>
      <c r="AU463" s="5" t="str">
        <f>HYPERLINK("https://creighton-primo.hosted.exlibrisgroup.com/primo-explore/search?tab=default_tab&amp;search_scope=EVERYTHING&amp;vid=01CRU&amp;lang=en_US&amp;offset=0&amp;query=any,contains,991003616169702656","Catalog Record")</f>
        <v>Catalog Record</v>
      </c>
      <c r="AV463" s="5" t="str">
        <f>HYPERLINK("http://www.worldcat.org/oclc/1200534","WorldCat Record")</f>
        <v>WorldCat Record</v>
      </c>
      <c r="AW463" s="2" t="s">
        <v>5827</v>
      </c>
      <c r="AX463" s="2" t="s">
        <v>5828</v>
      </c>
      <c r="AY463" s="2" t="s">
        <v>5829</v>
      </c>
      <c r="AZ463" s="2" t="s">
        <v>5829</v>
      </c>
      <c r="BA463" s="2" t="s">
        <v>5830</v>
      </c>
      <c r="BB463" s="2" t="s">
        <v>20</v>
      </c>
      <c r="BD463" s="2" t="s">
        <v>5831</v>
      </c>
      <c r="BE463" s="2" t="s">
        <v>5832</v>
      </c>
      <c r="BF463" s="2" t="s">
        <v>5833</v>
      </c>
    </row>
    <row r="464" spans="1:58" ht="39.75" customHeight="1" x14ac:dyDescent="0.25">
      <c r="A464" s="7" t="s">
        <v>5</v>
      </c>
      <c r="B464" s="1" t="s">
        <v>0</v>
      </c>
      <c r="C464" s="1" t="s">
        <v>1</v>
      </c>
      <c r="D464" s="1" t="s">
        <v>5834</v>
      </c>
      <c r="E464" s="1" t="s">
        <v>5835</v>
      </c>
      <c r="F464" s="1" t="s">
        <v>5836</v>
      </c>
      <c r="H464" s="2" t="s">
        <v>5</v>
      </c>
      <c r="I464" s="2" t="s">
        <v>6</v>
      </c>
      <c r="J464" s="2" t="s">
        <v>5</v>
      </c>
      <c r="K464" s="2" t="s">
        <v>5</v>
      </c>
      <c r="L464" s="2" t="s">
        <v>7</v>
      </c>
      <c r="M464" s="1" t="s">
        <v>5837</v>
      </c>
      <c r="N464" s="1" t="s">
        <v>5838</v>
      </c>
      <c r="O464" s="2" t="s">
        <v>162</v>
      </c>
      <c r="P464" s="1" t="s">
        <v>2908</v>
      </c>
      <c r="Q464" s="2" t="s">
        <v>1151</v>
      </c>
      <c r="R464" s="2" t="s">
        <v>1152</v>
      </c>
      <c r="T464" s="2" t="s">
        <v>13</v>
      </c>
      <c r="U464" s="3">
        <v>1</v>
      </c>
      <c r="V464" s="3">
        <v>1</v>
      </c>
      <c r="W464" s="4" t="s">
        <v>5086</v>
      </c>
      <c r="X464" s="4" t="s">
        <v>5086</v>
      </c>
      <c r="Y464" s="4" t="s">
        <v>5086</v>
      </c>
      <c r="Z464" s="4" t="s">
        <v>5086</v>
      </c>
      <c r="AA464" s="3">
        <v>152</v>
      </c>
      <c r="AB464" s="3">
        <v>127</v>
      </c>
      <c r="AC464" s="3">
        <v>143</v>
      </c>
      <c r="AD464" s="3">
        <v>2</v>
      </c>
      <c r="AE464" s="9">
        <v>2</v>
      </c>
      <c r="AF464" s="9">
        <v>5</v>
      </c>
      <c r="AG464" s="9">
        <v>5</v>
      </c>
      <c r="AH464" s="3">
        <v>0</v>
      </c>
      <c r="AI464" s="3">
        <v>0</v>
      </c>
      <c r="AJ464" s="3">
        <v>3</v>
      </c>
      <c r="AK464" s="3">
        <v>3</v>
      </c>
      <c r="AL464" s="3">
        <v>3</v>
      </c>
      <c r="AM464" s="3">
        <v>3</v>
      </c>
      <c r="AN464" s="3">
        <v>1</v>
      </c>
      <c r="AO464" s="3">
        <v>1</v>
      </c>
      <c r="AP464" s="3">
        <v>0</v>
      </c>
      <c r="AQ464" s="3">
        <v>0</v>
      </c>
      <c r="AR464" s="2" t="s">
        <v>5</v>
      </c>
      <c r="AS464" s="2" t="s">
        <v>46</v>
      </c>
      <c r="AT464" s="5" t="str">
        <f>HYPERLINK("http://catalog.hathitrust.org/Record/001036868","HathiTrust Record")</f>
        <v>HathiTrust Record</v>
      </c>
      <c r="AU464" s="5" t="str">
        <f>HYPERLINK("https://creighton-primo.hosted.exlibrisgroup.com/primo-explore/search?tab=default_tab&amp;search_scope=EVERYTHING&amp;vid=01CRU&amp;lang=en_US&amp;offset=0&amp;query=any,contains,991004522669702656","Catalog Record")</f>
        <v>Catalog Record</v>
      </c>
      <c r="AV464" s="5" t="str">
        <f>HYPERLINK("http://www.worldcat.org/oclc/377451","WorldCat Record")</f>
        <v>WorldCat Record</v>
      </c>
      <c r="AW464" s="2" t="s">
        <v>5839</v>
      </c>
      <c r="AX464" s="2" t="s">
        <v>5840</v>
      </c>
      <c r="AY464" s="2" t="s">
        <v>5841</v>
      </c>
      <c r="AZ464" s="2" t="s">
        <v>5841</v>
      </c>
      <c r="BA464" s="2" t="s">
        <v>5842</v>
      </c>
      <c r="BB464" s="2" t="s">
        <v>20</v>
      </c>
      <c r="BE464" s="2" t="s">
        <v>5843</v>
      </c>
      <c r="BF464" s="2" t="s">
        <v>5844</v>
      </c>
    </row>
    <row r="465" spans="1:58" ht="39.75" customHeight="1" x14ac:dyDescent="0.25">
      <c r="A465" s="7" t="s">
        <v>5</v>
      </c>
      <c r="B465" s="1" t="s">
        <v>0</v>
      </c>
      <c r="C465" s="1" t="s">
        <v>1</v>
      </c>
      <c r="D465" s="1" t="s">
        <v>5845</v>
      </c>
      <c r="E465" s="1" t="s">
        <v>5846</v>
      </c>
      <c r="F465" s="1" t="s">
        <v>5847</v>
      </c>
      <c r="H465" s="2" t="s">
        <v>5</v>
      </c>
      <c r="I465" s="2" t="s">
        <v>6</v>
      </c>
      <c r="J465" s="2" t="s">
        <v>5</v>
      </c>
      <c r="K465" s="2" t="s">
        <v>5</v>
      </c>
      <c r="L465" s="2" t="s">
        <v>7</v>
      </c>
      <c r="M465" s="1" t="s">
        <v>5848</v>
      </c>
      <c r="N465" s="1" t="s">
        <v>5849</v>
      </c>
      <c r="O465" s="2" t="s">
        <v>508</v>
      </c>
      <c r="Q465" s="2" t="s">
        <v>1151</v>
      </c>
      <c r="R465" s="2" t="s">
        <v>1152</v>
      </c>
      <c r="S465" s="1" t="s">
        <v>5850</v>
      </c>
      <c r="T465" s="2" t="s">
        <v>13</v>
      </c>
      <c r="U465" s="3">
        <v>1</v>
      </c>
      <c r="V465" s="3">
        <v>1</v>
      </c>
      <c r="W465" s="4" t="s">
        <v>5851</v>
      </c>
      <c r="X465" s="4" t="s">
        <v>5851</v>
      </c>
      <c r="Y465" s="4" t="s">
        <v>5851</v>
      </c>
      <c r="Z465" s="4" t="s">
        <v>5851</v>
      </c>
      <c r="AA465" s="3">
        <v>15</v>
      </c>
      <c r="AB465" s="3">
        <v>12</v>
      </c>
      <c r="AC465" s="3">
        <v>12</v>
      </c>
      <c r="AD465" s="3">
        <v>1</v>
      </c>
      <c r="AE465" s="9">
        <v>1</v>
      </c>
      <c r="AF465" s="9">
        <v>0</v>
      </c>
      <c r="AG465" s="9">
        <v>0</v>
      </c>
      <c r="AH465" s="3">
        <v>0</v>
      </c>
      <c r="AI465" s="3">
        <v>0</v>
      </c>
      <c r="AJ465" s="3">
        <v>0</v>
      </c>
      <c r="AK465" s="3">
        <v>0</v>
      </c>
      <c r="AL465" s="3">
        <v>0</v>
      </c>
      <c r="AM465" s="3">
        <v>0</v>
      </c>
      <c r="AN465" s="3">
        <v>0</v>
      </c>
      <c r="AO465" s="3">
        <v>0</v>
      </c>
      <c r="AP465" s="3">
        <v>0</v>
      </c>
      <c r="AQ465" s="3">
        <v>0</v>
      </c>
      <c r="AR465" s="2" t="s">
        <v>5</v>
      </c>
      <c r="AS465" s="2" t="s">
        <v>5</v>
      </c>
      <c r="AU465" s="5" t="str">
        <f>HYPERLINK("https://creighton-primo.hosted.exlibrisgroup.com/primo-explore/search?tab=default_tab&amp;search_scope=EVERYTHING&amp;vid=01CRU&amp;lang=en_US&amp;offset=0&amp;query=any,contains,991004270839702656","Catalog Record")</f>
        <v>Catalog Record</v>
      </c>
      <c r="AV465" s="5" t="str">
        <f>HYPERLINK("http://www.worldcat.org/oclc/45385403","WorldCat Record")</f>
        <v>WorldCat Record</v>
      </c>
      <c r="AW465" s="2" t="s">
        <v>5852</v>
      </c>
      <c r="AX465" s="2" t="s">
        <v>5853</v>
      </c>
      <c r="AY465" s="2" t="s">
        <v>5854</v>
      </c>
      <c r="AZ465" s="2" t="s">
        <v>5854</v>
      </c>
      <c r="BA465" s="2" t="s">
        <v>5855</v>
      </c>
      <c r="BB465" s="2" t="s">
        <v>20</v>
      </c>
      <c r="BD465" s="2" t="s">
        <v>5856</v>
      </c>
      <c r="BE465" s="2" t="s">
        <v>5857</v>
      </c>
      <c r="BF465" s="2" t="s">
        <v>5858</v>
      </c>
    </row>
    <row r="466" spans="1:58" ht="39.75" customHeight="1" x14ac:dyDescent="0.25">
      <c r="A466" s="7" t="s">
        <v>5</v>
      </c>
      <c r="B466" s="1" t="s">
        <v>0</v>
      </c>
      <c r="C466" s="1" t="s">
        <v>1</v>
      </c>
      <c r="D466" s="1" t="s">
        <v>5859</v>
      </c>
      <c r="E466" s="1" t="s">
        <v>5860</v>
      </c>
      <c r="F466" s="1" t="s">
        <v>5861</v>
      </c>
      <c r="H466" s="2" t="s">
        <v>5</v>
      </c>
      <c r="I466" s="2" t="s">
        <v>6</v>
      </c>
      <c r="J466" s="2" t="s">
        <v>5</v>
      </c>
      <c r="K466" s="2" t="s">
        <v>5</v>
      </c>
      <c r="L466" s="2" t="s">
        <v>7</v>
      </c>
      <c r="M466" s="1" t="s">
        <v>5862</v>
      </c>
      <c r="O466" s="2" t="s">
        <v>76</v>
      </c>
      <c r="Q466" s="2" t="s">
        <v>1151</v>
      </c>
      <c r="R466" s="2" t="s">
        <v>5863</v>
      </c>
      <c r="S466" s="1" t="s">
        <v>5864</v>
      </c>
      <c r="T466" s="2" t="s">
        <v>13</v>
      </c>
      <c r="U466" s="3">
        <v>1</v>
      </c>
      <c r="V466" s="3">
        <v>1</v>
      </c>
      <c r="W466" s="4" t="s">
        <v>5137</v>
      </c>
      <c r="X466" s="4" t="s">
        <v>5137</v>
      </c>
      <c r="Y466" s="4" t="s">
        <v>5137</v>
      </c>
      <c r="Z466" s="4" t="s">
        <v>5137</v>
      </c>
      <c r="AA466" s="3">
        <v>191</v>
      </c>
      <c r="AB466" s="3">
        <v>160</v>
      </c>
      <c r="AC466" s="3">
        <v>165</v>
      </c>
      <c r="AD466" s="3">
        <v>3</v>
      </c>
      <c r="AE466" s="9">
        <v>3</v>
      </c>
      <c r="AF466" s="9">
        <v>9</v>
      </c>
      <c r="AG466" s="9">
        <v>9</v>
      </c>
      <c r="AH466" s="3">
        <v>3</v>
      </c>
      <c r="AI466" s="3">
        <v>3</v>
      </c>
      <c r="AJ466" s="3">
        <v>1</v>
      </c>
      <c r="AK466" s="3">
        <v>1</v>
      </c>
      <c r="AL466" s="3">
        <v>5</v>
      </c>
      <c r="AM466" s="3">
        <v>5</v>
      </c>
      <c r="AN466" s="3">
        <v>2</v>
      </c>
      <c r="AO466" s="3">
        <v>2</v>
      </c>
      <c r="AP466" s="3">
        <v>0</v>
      </c>
      <c r="AQ466" s="3">
        <v>0</v>
      </c>
      <c r="AR466" s="2" t="s">
        <v>5</v>
      </c>
      <c r="AS466" s="2" t="s">
        <v>46</v>
      </c>
      <c r="AT466" s="5" t="str">
        <f>HYPERLINK("http://catalog.hathitrust.org/Record/001048923","HathiTrust Record")</f>
        <v>HathiTrust Record</v>
      </c>
      <c r="AU466" s="5" t="str">
        <f>HYPERLINK("https://creighton-primo.hosted.exlibrisgroup.com/primo-explore/search?tab=default_tab&amp;search_scope=EVERYTHING&amp;vid=01CRU&amp;lang=en_US&amp;offset=0&amp;query=any,contains,991004509979702656","Catalog Record")</f>
        <v>Catalog Record</v>
      </c>
      <c r="AV466" s="5" t="str">
        <f>HYPERLINK("http://www.worldcat.org/oclc/1113841","WorldCat Record")</f>
        <v>WorldCat Record</v>
      </c>
      <c r="AW466" s="2" t="s">
        <v>5865</v>
      </c>
      <c r="AX466" s="2" t="s">
        <v>5866</v>
      </c>
      <c r="AY466" s="2" t="s">
        <v>5867</v>
      </c>
      <c r="AZ466" s="2" t="s">
        <v>5867</v>
      </c>
      <c r="BA466" s="2" t="s">
        <v>5868</v>
      </c>
      <c r="BB466" s="2" t="s">
        <v>20</v>
      </c>
      <c r="BE466" s="2" t="s">
        <v>5869</v>
      </c>
      <c r="BF466" s="2" t="s">
        <v>5870</v>
      </c>
    </row>
    <row r="467" spans="1:58" ht="39.75" customHeight="1" x14ac:dyDescent="0.25">
      <c r="A467" s="7" t="s">
        <v>5</v>
      </c>
      <c r="B467" s="1" t="s">
        <v>0</v>
      </c>
      <c r="C467" s="1" t="s">
        <v>1</v>
      </c>
      <c r="D467" s="1" t="s">
        <v>5871</v>
      </c>
      <c r="E467" s="1" t="s">
        <v>5872</v>
      </c>
      <c r="F467" s="1" t="s">
        <v>5873</v>
      </c>
      <c r="H467" s="2" t="s">
        <v>5</v>
      </c>
      <c r="I467" s="2" t="s">
        <v>6</v>
      </c>
      <c r="J467" s="2" t="s">
        <v>5</v>
      </c>
      <c r="K467" s="2" t="s">
        <v>5</v>
      </c>
      <c r="L467" s="2" t="s">
        <v>7</v>
      </c>
      <c r="M467" s="1" t="s">
        <v>5874</v>
      </c>
      <c r="N467" s="1" t="s">
        <v>5875</v>
      </c>
      <c r="O467" s="2" t="s">
        <v>192</v>
      </c>
      <c r="Q467" s="2" t="s">
        <v>1151</v>
      </c>
      <c r="R467" s="2" t="s">
        <v>1152</v>
      </c>
      <c r="T467" s="2" t="s">
        <v>13</v>
      </c>
      <c r="U467" s="3">
        <v>1</v>
      </c>
      <c r="V467" s="3">
        <v>1</v>
      </c>
      <c r="W467" s="4" t="s">
        <v>5086</v>
      </c>
      <c r="X467" s="4" t="s">
        <v>5086</v>
      </c>
      <c r="Y467" s="4" t="s">
        <v>5086</v>
      </c>
      <c r="Z467" s="4" t="s">
        <v>5086</v>
      </c>
      <c r="AA467" s="3">
        <v>205</v>
      </c>
      <c r="AB467" s="3">
        <v>167</v>
      </c>
      <c r="AC467" s="3">
        <v>172</v>
      </c>
      <c r="AD467" s="3">
        <v>3</v>
      </c>
      <c r="AE467" s="9">
        <v>3</v>
      </c>
      <c r="AF467" s="9">
        <v>9</v>
      </c>
      <c r="AG467" s="9">
        <v>9</v>
      </c>
      <c r="AH467" s="3">
        <v>1</v>
      </c>
      <c r="AI467" s="3">
        <v>1</v>
      </c>
      <c r="AJ467" s="3">
        <v>2</v>
      </c>
      <c r="AK467" s="3">
        <v>2</v>
      </c>
      <c r="AL467" s="3">
        <v>5</v>
      </c>
      <c r="AM467" s="3">
        <v>5</v>
      </c>
      <c r="AN467" s="3">
        <v>2</v>
      </c>
      <c r="AO467" s="3">
        <v>2</v>
      </c>
      <c r="AP467" s="3">
        <v>0</v>
      </c>
      <c r="AQ467" s="3">
        <v>0</v>
      </c>
      <c r="AR467" s="2" t="s">
        <v>5</v>
      </c>
      <c r="AS467" s="2" t="s">
        <v>46</v>
      </c>
      <c r="AT467" s="5" t="str">
        <f>HYPERLINK("http://catalog.hathitrust.org/Record/001519779","HathiTrust Record")</f>
        <v>HathiTrust Record</v>
      </c>
      <c r="AU467" s="5" t="str">
        <f>HYPERLINK("https://creighton-primo.hosted.exlibrisgroup.com/primo-explore/search?tab=default_tab&amp;search_scope=EVERYTHING&amp;vid=01CRU&amp;lang=en_US&amp;offset=0&amp;query=any,contains,991004522519702656","Catalog Record")</f>
        <v>Catalog Record</v>
      </c>
      <c r="AV467" s="5" t="str">
        <f>HYPERLINK("http://www.worldcat.org/oclc/2461335","WorldCat Record")</f>
        <v>WorldCat Record</v>
      </c>
      <c r="AW467" s="2" t="s">
        <v>5876</v>
      </c>
      <c r="AX467" s="2" t="s">
        <v>5877</v>
      </c>
      <c r="AY467" s="2" t="s">
        <v>5878</v>
      </c>
      <c r="AZ467" s="2" t="s">
        <v>5878</v>
      </c>
      <c r="BA467" s="2" t="s">
        <v>5879</v>
      </c>
      <c r="BB467" s="2" t="s">
        <v>20</v>
      </c>
      <c r="BE467" s="2" t="s">
        <v>5880</v>
      </c>
      <c r="BF467" s="2" t="s">
        <v>5881</v>
      </c>
    </row>
    <row r="468" spans="1:58" ht="39.75" customHeight="1" x14ac:dyDescent="0.25">
      <c r="A468" s="7" t="s">
        <v>5</v>
      </c>
      <c r="B468" s="1" t="s">
        <v>0</v>
      </c>
      <c r="C468" s="1" t="s">
        <v>1</v>
      </c>
      <c r="D468" s="1" t="s">
        <v>5882</v>
      </c>
      <c r="E468" s="1" t="s">
        <v>5883</v>
      </c>
      <c r="F468" s="1" t="s">
        <v>5884</v>
      </c>
      <c r="H468" s="2" t="s">
        <v>5</v>
      </c>
      <c r="I468" s="2" t="s">
        <v>6</v>
      </c>
      <c r="J468" s="2" t="s">
        <v>5</v>
      </c>
      <c r="K468" s="2" t="s">
        <v>5</v>
      </c>
      <c r="L468" s="2" t="s">
        <v>7</v>
      </c>
      <c r="M468" s="1" t="s">
        <v>5885</v>
      </c>
      <c r="N468" s="1" t="s">
        <v>5886</v>
      </c>
      <c r="O468" s="2" t="s">
        <v>1418</v>
      </c>
      <c r="P468" s="1" t="s">
        <v>5887</v>
      </c>
      <c r="Q468" s="2" t="s">
        <v>1151</v>
      </c>
      <c r="R468" s="2" t="s">
        <v>1152</v>
      </c>
      <c r="S468" s="1" t="s">
        <v>5888</v>
      </c>
      <c r="T468" s="2" t="s">
        <v>13</v>
      </c>
      <c r="U468" s="3">
        <v>2</v>
      </c>
      <c r="V468" s="3">
        <v>2</v>
      </c>
      <c r="W468" s="4" t="s">
        <v>5889</v>
      </c>
      <c r="X468" s="4" t="s">
        <v>5889</v>
      </c>
      <c r="Y468" s="4" t="s">
        <v>5706</v>
      </c>
      <c r="Z468" s="4" t="s">
        <v>5706</v>
      </c>
      <c r="AA468" s="3">
        <v>268</v>
      </c>
      <c r="AB468" s="3">
        <v>215</v>
      </c>
      <c r="AC468" s="3">
        <v>217</v>
      </c>
      <c r="AD468" s="3">
        <v>1</v>
      </c>
      <c r="AE468" s="9">
        <v>1</v>
      </c>
      <c r="AF468" s="9">
        <v>4</v>
      </c>
      <c r="AG468" s="9">
        <v>4</v>
      </c>
      <c r="AH468" s="3">
        <v>0</v>
      </c>
      <c r="AI468" s="3">
        <v>0</v>
      </c>
      <c r="AJ468" s="3">
        <v>0</v>
      </c>
      <c r="AK468" s="3">
        <v>0</v>
      </c>
      <c r="AL468" s="3">
        <v>4</v>
      </c>
      <c r="AM468" s="3">
        <v>4</v>
      </c>
      <c r="AN468" s="3">
        <v>0</v>
      </c>
      <c r="AO468" s="3">
        <v>0</v>
      </c>
      <c r="AP468" s="3">
        <v>0</v>
      </c>
      <c r="AQ468" s="3">
        <v>0</v>
      </c>
      <c r="AR468" s="2" t="s">
        <v>5</v>
      </c>
      <c r="AS468" s="2" t="s">
        <v>46</v>
      </c>
      <c r="AT468" s="5" t="str">
        <f>HYPERLINK("http://catalog.hathitrust.org/Record/001519937","HathiTrust Record")</f>
        <v>HathiTrust Record</v>
      </c>
      <c r="AU468" s="5" t="str">
        <f>HYPERLINK("https://creighton-primo.hosted.exlibrisgroup.com/primo-explore/search?tab=default_tab&amp;search_scope=EVERYTHING&amp;vid=01CRU&amp;lang=en_US&amp;offset=0&amp;query=any,contains,991004155619702656","Catalog Record")</f>
        <v>Catalog Record</v>
      </c>
      <c r="AV468" s="5" t="str">
        <f>HYPERLINK("http://www.worldcat.org/oclc/2540329","WorldCat Record")</f>
        <v>WorldCat Record</v>
      </c>
      <c r="AW468" s="2" t="s">
        <v>5890</v>
      </c>
      <c r="AX468" s="2" t="s">
        <v>5891</v>
      </c>
      <c r="AY468" s="2" t="s">
        <v>5892</v>
      </c>
      <c r="AZ468" s="2" t="s">
        <v>5892</v>
      </c>
      <c r="BA468" s="2" t="s">
        <v>5893</v>
      </c>
      <c r="BB468" s="2" t="s">
        <v>20</v>
      </c>
      <c r="BE468" s="2" t="s">
        <v>5894</v>
      </c>
      <c r="BF468" s="2" t="s">
        <v>5895</v>
      </c>
    </row>
    <row r="469" spans="1:58" ht="39.75" customHeight="1" x14ac:dyDescent="0.25">
      <c r="A469" s="7" t="s">
        <v>5</v>
      </c>
      <c r="B469" s="1" t="s">
        <v>0</v>
      </c>
      <c r="C469" s="1" t="s">
        <v>1</v>
      </c>
      <c r="D469" s="1" t="s">
        <v>5896</v>
      </c>
      <c r="E469" s="1" t="s">
        <v>5897</v>
      </c>
      <c r="F469" s="1" t="s">
        <v>5898</v>
      </c>
      <c r="H469" s="2" t="s">
        <v>5</v>
      </c>
      <c r="I469" s="2" t="s">
        <v>6</v>
      </c>
      <c r="J469" s="2" t="s">
        <v>5</v>
      </c>
      <c r="K469" s="2" t="s">
        <v>5</v>
      </c>
      <c r="L469" s="2" t="s">
        <v>7</v>
      </c>
      <c r="M469" s="1" t="s">
        <v>5899</v>
      </c>
      <c r="O469" s="2" t="s">
        <v>1418</v>
      </c>
      <c r="Q469" s="2" t="s">
        <v>1151</v>
      </c>
      <c r="R469" s="2" t="s">
        <v>1152</v>
      </c>
      <c r="T469" s="2" t="s">
        <v>13</v>
      </c>
      <c r="U469" s="3">
        <v>2</v>
      </c>
      <c r="V469" s="3">
        <v>2</v>
      </c>
      <c r="W469" s="4" t="s">
        <v>5086</v>
      </c>
      <c r="X469" s="4" t="s">
        <v>5086</v>
      </c>
      <c r="Y469" s="4" t="s">
        <v>5086</v>
      </c>
      <c r="Z469" s="4" t="s">
        <v>5086</v>
      </c>
      <c r="AA469" s="3">
        <v>168</v>
      </c>
      <c r="AB469" s="3">
        <v>140</v>
      </c>
      <c r="AC469" s="3">
        <v>150</v>
      </c>
      <c r="AD469" s="3">
        <v>3</v>
      </c>
      <c r="AE469" s="9">
        <v>3</v>
      </c>
      <c r="AF469" s="9">
        <v>9</v>
      </c>
      <c r="AG469" s="9">
        <v>9</v>
      </c>
      <c r="AH469" s="3">
        <v>0</v>
      </c>
      <c r="AI469" s="3">
        <v>0</v>
      </c>
      <c r="AJ469" s="3">
        <v>1</v>
      </c>
      <c r="AK469" s="3">
        <v>1</v>
      </c>
      <c r="AL469" s="3">
        <v>6</v>
      </c>
      <c r="AM469" s="3">
        <v>6</v>
      </c>
      <c r="AN469" s="3">
        <v>2</v>
      </c>
      <c r="AO469" s="3">
        <v>2</v>
      </c>
      <c r="AP469" s="3">
        <v>0</v>
      </c>
      <c r="AQ469" s="3">
        <v>0</v>
      </c>
      <c r="AR469" s="2" t="s">
        <v>5</v>
      </c>
      <c r="AS469" s="2" t="s">
        <v>46</v>
      </c>
      <c r="AT469" s="5" t="str">
        <f>HYPERLINK("http://catalog.hathitrust.org/Record/001049243","HathiTrust Record")</f>
        <v>HathiTrust Record</v>
      </c>
      <c r="AU469" s="5" t="str">
        <f>HYPERLINK("https://creighton-primo.hosted.exlibrisgroup.com/primo-explore/search?tab=default_tab&amp;search_scope=EVERYTHING&amp;vid=01CRU&amp;lang=en_US&amp;offset=0&amp;query=any,contains,991004522579702656","Catalog Record")</f>
        <v>Catalog Record</v>
      </c>
      <c r="AV469" s="5" t="str">
        <f>HYPERLINK("http://www.worldcat.org/oclc/599989","WorldCat Record")</f>
        <v>WorldCat Record</v>
      </c>
      <c r="AW469" s="2" t="s">
        <v>5900</v>
      </c>
      <c r="AX469" s="2" t="s">
        <v>5901</v>
      </c>
      <c r="AY469" s="2" t="s">
        <v>5902</v>
      </c>
      <c r="AZ469" s="2" t="s">
        <v>5902</v>
      </c>
      <c r="BA469" s="2" t="s">
        <v>5903</v>
      </c>
      <c r="BB469" s="2" t="s">
        <v>20</v>
      </c>
      <c r="BE469" s="2" t="s">
        <v>5904</v>
      </c>
      <c r="BF469" s="2" t="s">
        <v>5905</v>
      </c>
    </row>
    <row r="470" spans="1:58" ht="39.75" customHeight="1" x14ac:dyDescent="0.25">
      <c r="A470" s="7" t="s">
        <v>5</v>
      </c>
      <c r="B470" s="1" t="s">
        <v>0</v>
      </c>
      <c r="C470" s="1" t="s">
        <v>1</v>
      </c>
      <c r="D470" s="1" t="s">
        <v>5906</v>
      </c>
      <c r="E470" s="1" t="s">
        <v>5907</v>
      </c>
      <c r="F470" s="1" t="s">
        <v>5908</v>
      </c>
      <c r="H470" s="2" t="s">
        <v>5</v>
      </c>
      <c r="I470" s="2" t="s">
        <v>6</v>
      </c>
      <c r="J470" s="2" t="s">
        <v>5</v>
      </c>
      <c r="K470" s="2" t="s">
        <v>5</v>
      </c>
      <c r="L470" s="2" t="s">
        <v>7</v>
      </c>
      <c r="M470" s="1" t="s">
        <v>5909</v>
      </c>
      <c r="N470" s="1" t="s">
        <v>5910</v>
      </c>
      <c r="O470" s="2" t="s">
        <v>554</v>
      </c>
      <c r="P470" s="1" t="s">
        <v>5911</v>
      </c>
      <c r="Q470" s="2" t="s">
        <v>1151</v>
      </c>
      <c r="R470" s="2" t="s">
        <v>1152</v>
      </c>
      <c r="S470" s="1" t="s">
        <v>5912</v>
      </c>
      <c r="T470" s="2" t="s">
        <v>13</v>
      </c>
      <c r="U470" s="3">
        <v>4</v>
      </c>
      <c r="V470" s="3">
        <v>4</v>
      </c>
      <c r="W470" s="4" t="s">
        <v>5913</v>
      </c>
      <c r="X470" s="4" t="s">
        <v>5913</v>
      </c>
      <c r="Y470" s="4" t="s">
        <v>5333</v>
      </c>
      <c r="Z470" s="4" t="s">
        <v>5333</v>
      </c>
      <c r="AA470" s="3">
        <v>111</v>
      </c>
      <c r="AB470" s="3">
        <v>85</v>
      </c>
      <c r="AC470" s="3">
        <v>91</v>
      </c>
      <c r="AD470" s="3">
        <v>2</v>
      </c>
      <c r="AE470" s="9">
        <v>2</v>
      </c>
      <c r="AF470" s="9">
        <v>1</v>
      </c>
      <c r="AG470" s="9">
        <v>2</v>
      </c>
      <c r="AH470" s="3">
        <v>0</v>
      </c>
      <c r="AI470" s="3">
        <v>0</v>
      </c>
      <c r="AJ470" s="3">
        <v>0</v>
      </c>
      <c r="AK470" s="3">
        <v>1</v>
      </c>
      <c r="AL470" s="3">
        <v>0</v>
      </c>
      <c r="AM470" s="3">
        <v>1</v>
      </c>
      <c r="AN470" s="3">
        <v>1</v>
      </c>
      <c r="AO470" s="3">
        <v>1</v>
      </c>
      <c r="AP470" s="3">
        <v>0</v>
      </c>
      <c r="AQ470" s="3">
        <v>0</v>
      </c>
      <c r="AR470" s="2" t="s">
        <v>5</v>
      </c>
      <c r="AS470" s="2" t="s">
        <v>46</v>
      </c>
      <c r="AT470" s="5" t="str">
        <f>HYPERLINK("http://catalog.hathitrust.org/Record/000831720","HathiTrust Record")</f>
        <v>HathiTrust Record</v>
      </c>
      <c r="AU470" s="5" t="str">
        <f>HYPERLINK("https://creighton-primo.hosted.exlibrisgroup.com/primo-explore/search?tab=default_tab&amp;search_scope=EVERYTHING&amp;vid=01CRU&amp;lang=en_US&amp;offset=0&amp;query=any,contains,991000861059702656","Catalog Record")</f>
        <v>Catalog Record</v>
      </c>
      <c r="AV470" s="5" t="str">
        <f>HYPERLINK("http://www.worldcat.org/oclc/18626169","WorldCat Record")</f>
        <v>WorldCat Record</v>
      </c>
      <c r="AW470" s="2" t="s">
        <v>5914</v>
      </c>
      <c r="AX470" s="2" t="s">
        <v>5915</v>
      </c>
      <c r="AY470" s="2" t="s">
        <v>5916</v>
      </c>
      <c r="AZ470" s="2" t="s">
        <v>5916</v>
      </c>
      <c r="BA470" s="2" t="s">
        <v>5917</v>
      </c>
      <c r="BB470" s="2" t="s">
        <v>20</v>
      </c>
      <c r="BD470" s="2" t="s">
        <v>5918</v>
      </c>
      <c r="BE470" s="2" t="s">
        <v>5919</v>
      </c>
      <c r="BF470" s="2" t="s">
        <v>5920</v>
      </c>
    </row>
    <row r="471" spans="1:58" ht="39.75" customHeight="1" x14ac:dyDescent="0.25">
      <c r="A471" s="7" t="s">
        <v>5</v>
      </c>
      <c r="B471" s="1" t="s">
        <v>0</v>
      </c>
      <c r="C471" s="1" t="s">
        <v>1</v>
      </c>
      <c r="D471" s="1" t="s">
        <v>5921</v>
      </c>
      <c r="E471" s="1" t="s">
        <v>5922</v>
      </c>
      <c r="F471" s="1" t="s">
        <v>5923</v>
      </c>
      <c r="H471" s="2" t="s">
        <v>5</v>
      </c>
      <c r="I471" s="2" t="s">
        <v>6</v>
      </c>
      <c r="J471" s="2" t="s">
        <v>5</v>
      </c>
      <c r="K471" s="2" t="s">
        <v>5</v>
      </c>
      <c r="L471" s="2" t="s">
        <v>7</v>
      </c>
      <c r="M471" s="1" t="s">
        <v>5924</v>
      </c>
      <c r="N471" s="1" t="s">
        <v>5925</v>
      </c>
      <c r="O471" s="2" t="s">
        <v>524</v>
      </c>
      <c r="Q471" s="2" t="s">
        <v>1151</v>
      </c>
      <c r="R471" s="2" t="s">
        <v>1152</v>
      </c>
      <c r="S471" s="1" t="s">
        <v>5926</v>
      </c>
      <c r="T471" s="2" t="s">
        <v>13</v>
      </c>
      <c r="U471" s="3">
        <v>2</v>
      </c>
      <c r="V471" s="3">
        <v>2</v>
      </c>
      <c r="W471" s="4" t="s">
        <v>5927</v>
      </c>
      <c r="X471" s="4" t="s">
        <v>5927</v>
      </c>
      <c r="Y471" s="4" t="s">
        <v>5706</v>
      </c>
      <c r="Z471" s="4" t="s">
        <v>5706</v>
      </c>
      <c r="AA471" s="3">
        <v>327</v>
      </c>
      <c r="AB471" s="3">
        <v>281</v>
      </c>
      <c r="AC471" s="3">
        <v>289</v>
      </c>
      <c r="AD471" s="3">
        <v>3</v>
      </c>
      <c r="AE471" s="9">
        <v>3</v>
      </c>
      <c r="AF471" s="9">
        <v>14</v>
      </c>
      <c r="AG471" s="9">
        <v>14</v>
      </c>
      <c r="AH471" s="3">
        <v>2</v>
      </c>
      <c r="AI471" s="3">
        <v>2</v>
      </c>
      <c r="AJ471" s="3">
        <v>5</v>
      </c>
      <c r="AK471" s="3">
        <v>5</v>
      </c>
      <c r="AL471" s="3">
        <v>8</v>
      </c>
      <c r="AM471" s="3">
        <v>8</v>
      </c>
      <c r="AN471" s="3">
        <v>2</v>
      </c>
      <c r="AO471" s="3">
        <v>2</v>
      </c>
      <c r="AP471" s="3">
        <v>0</v>
      </c>
      <c r="AQ471" s="3">
        <v>0</v>
      </c>
      <c r="AR471" s="2" t="s">
        <v>5</v>
      </c>
      <c r="AS471" s="2" t="s">
        <v>46</v>
      </c>
      <c r="AT471" s="5" t="str">
        <f>HYPERLINK("http://catalog.hathitrust.org/Record/001519691","HathiTrust Record")</f>
        <v>HathiTrust Record</v>
      </c>
      <c r="AU471" s="5" t="str">
        <f>HYPERLINK("https://creighton-primo.hosted.exlibrisgroup.com/primo-explore/search?tab=default_tab&amp;search_scope=EVERYTHING&amp;vid=01CRU&amp;lang=en_US&amp;offset=0&amp;query=any,contains,991003669679702656","Catalog Record")</f>
        <v>Catalog Record</v>
      </c>
      <c r="AV471" s="5" t="str">
        <f>HYPERLINK("http://www.worldcat.org/oclc/1286951","WorldCat Record")</f>
        <v>WorldCat Record</v>
      </c>
      <c r="AW471" s="2" t="s">
        <v>5928</v>
      </c>
      <c r="AX471" s="2" t="s">
        <v>5929</v>
      </c>
      <c r="AY471" s="2" t="s">
        <v>5930</v>
      </c>
      <c r="AZ471" s="2" t="s">
        <v>5930</v>
      </c>
      <c r="BA471" s="2" t="s">
        <v>5931</v>
      </c>
      <c r="BB471" s="2" t="s">
        <v>20</v>
      </c>
      <c r="BE471" s="2" t="s">
        <v>5932</v>
      </c>
      <c r="BF471" s="2" t="s">
        <v>5933</v>
      </c>
    </row>
    <row r="472" spans="1:58" ht="39.75" customHeight="1" x14ac:dyDescent="0.25">
      <c r="A472" s="7" t="s">
        <v>5</v>
      </c>
      <c r="B472" s="1" t="s">
        <v>0</v>
      </c>
      <c r="C472" s="1" t="s">
        <v>1</v>
      </c>
      <c r="D472" s="1" t="s">
        <v>5934</v>
      </c>
      <c r="E472" s="1" t="s">
        <v>5935</v>
      </c>
      <c r="F472" s="1" t="s">
        <v>5936</v>
      </c>
      <c r="G472" s="2" t="s">
        <v>2107</v>
      </c>
      <c r="H472" s="2" t="s">
        <v>46</v>
      </c>
      <c r="I472" s="2" t="s">
        <v>6</v>
      </c>
      <c r="J472" s="2" t="s">
        <v>5</v>
      </c>
      <c r="K472" s="2" t="s">
        <v>5</v>
      </c>
      <c r="L472" s="2" t="s">
        <v>7</v>
      </c>
      <c r="M472" s="1" t="s">
        <v>5937</v>
      </c>
      <c r="N472" s="1" t="s">
        <v>5938</v>
      </c>
      <c r="O472" s="2" t="s">
        <v>27</v>
      </c>
      <c r="P472" s="1" t="s">
        <v>5939</v>
      </c>
      <c r="Q472" s="2" t="s">
        <v>1151</v>
      </c>
      <c r="R472" s="2" t="s">
        <v>1152</v>
      </c>
      <c r="S472" s="1" t="s">
        <v>5940</v>
      </c>
      <c r="T472" s="2" t="s">
        <v>13</v>
      </c>
      <c r="U472" s="3">
        <v>1</v>
      </c>
      <c r="V472" s="3">
        <v>2</v>
      </c>
      <c r="W472" s="4" t="s">
        <v>5941</v>
      </c>
      <c r="X472" s="4" t="s">
        <v>4676</v>
      </c>
      <c r="Y472" s="4" t="s">
        <v>5450</v>
      </c>
      <c r="Z472" s="4" t="s">
        <v>4676</v>
      </c>
      <c r="AA472" s="3">
        <v>32</v>
      </c>
      <c r="AB472" s="3">
        <v>21</v>
      </c>
      <c r="AC472" s="3">
        <v>21</v>
      </c>
      <c r="AD472" s="3">
        <v>1</v>
      </c>
      <c r="AE472" s="9">
        <v>1</v>
      </c>
      <c r="AF472" s="9">
        <v>1</v>
      </c>
      <c r="AG472" s="9">
        <v>1</v>
      </c>
      <c r="AH472" s="3">
        <v>1</v>
      </c>
      <c r="AI472" s="3">
        <v>1</v>
      </c>
      <c r="AJ472" s="3">
        <v>1</v>
      </c>
      <c r="AK472" s="3">
        <v>1</v>
      </c>
      <c r="AL472" s="3">
        <v>0</v>
      </c>
      <c r="AM472" s="3">
        <v>0</v>
      </c>
      <c r="AN472" s="3">
        <v>0</v>
      </c>
      <c r="AO472" s="3">
        <v>0</v>
      </c>
      <c r="AP472" s="3">
        <v>0</v>
      </c>
      <c r="AQ472" s="3">
        <v>0</v>
      </c>
      <c r="AR472" s="2" t="s">
        <v>5</v>
      </c>
      <c r="AS472" s="2" t="s">
        <v>5</v>
      </c>
      <c r="AU472" s="5" t="str">
        <f>HYPERLINK("https://creighton-primo.hosted.exlibrisgroup.com/primo-explore/search?tab=default_tab&amp;search_scope=EVERYTHING&amp;vid=01CRU&amp;lang=en_US&amp;offset=0&amp;query=any,contains,991003772769702656","Catalog Record")</f>
        <v>Catalog Record</v>
      </c>
      <c r="AV472" s="5" t="str">
        <f>HYPERLINK("http://www.worldcat.org/oclc/33089884","WorldCat Record")</f>
        <v>WorldCat Record</v>
      </c>
      <c r="AW472" s="2" t="s">
        <v>5942</v>
      </c>
      <c r="AX472" s="2" t="s">
        <v>5943</v>
      </c>
      <c r="AY472" s="2" t="s">
        <v>5944</v>
      </c>
      <c r="AZ472" s="2" t="s">
        <v>5944</v>
      </c>
      <c r="BA472" s="2" t="s">
        <v>5945</v>
      </c>
      <c r="BB472" s="2" t="s">
        <v>20</v>
      </c>
      <c r="BD472" s="2" t="s">
        <v>5946</v>
      </c>
      <c r="BE472" s="2" t="s">
        <v>5947</v>
      </c>
      <c r="BF472" s="2" t="s">
        <v>5948</v>
      </c>
    </row>
    <row r="473" spans="1:58" ht="39.75" customHeight="1" x14ac:dyDescent="0.25">
      <c r="A473" s="7" t="s">
        <v>5</v>
      </c>
      <c r="B473" s="1" t="s">
        <v>0</v>
      </c>
      <c r="C473" s="1" t="s">
        <v>1</v>
      </c>
      <c r="D473" s="1" t="s">
        <v>5934</v>
      </c>
      <c r="E473" s="1" t="s">
        <v>5935</v>
      </c>
      <c r="F473" s="1" t="s">
        <v>5936</v>
      </c>
      <c r="G473" s="2" t="s">
        <v>2083</v>
      </c>
      <c r="H473" s="2" t="s">
        <v>46</v>
      </c>
      <c r="I473" s="2" t="s">
        <v>6</v>
      </c>
      <c r="J473" s="2" t="s">
        <v>5</v>
      </c>
      <c r="K473" s="2" t="s">
        <v>5</v>
      </c>
      <c r="L473" s="2" t="s">
        <v>7</v>
      </c>
      <c r="M473" s="1" t="s">
        <v>5937</v>
      </c>
      <c r="N473" s="1" t="s">
        <v>5938</v>
      </c>
      <c r="O473" s="2" t="s">
        <v>27</v>
      </c>
      <c r="P473" s="1" t="s">
        <v>5939</v>
      </c>
      <c r="Q473" s="2" t="s">
        <v>1151</v>
      </c>
      <c r="R473" s="2" t="s">
        <v>1152</v>
      </c>
      <c r="S473" s="1" t="s">
        <v>5940</v>
      </c>
      <c r="T473" s="2" t="s">
        <v>13</v>
      </c>
      <c r="U473" s="3">
        <v>1</v>
      </c>
      <c r="V473" s="3">
        <v>2</v>
      </c>
      <c r="W473" s="4" t="s">
        <v>4676</v>
      </c>
      <c r="X473" s="4" t="s">
        <v>4676</v>
      </c>
      <c r="Y473" s="4" t="s">
        <v>4676</v>
      </c>
      <c r="Z473" s="4" t="s">
        <v>4676</v>
      </c>
      <c r="AA473" s="3">
        <v>32</v>
      </c>
      <c r="AB473" s="3">
        <v>21</v>
      </c>
      <c r="AC473" s="3">
        <v>21</v>
      </c>
      <c r="AD473" s="3">
        <v>1</v>
      </c>
      <c r="AE473" s="9">
        <v>1</v>
      </c>
      <c r="AF473" s="9">
        <v>1</v>
      </c>
      <c r="AG473" s="9">
        <v>1</v>
      </c>
      <c r="AH473" s="3">
        <v>1</v>
      </c>
      <c r="AI473" s="3">
        <v>1</v>
      </c>
      <c r="AJ473" s="3">
        <v>1</v>
      </c>
      <c r="AK473" s="3">
        <v>1</v>
      </c>
      <c r="AL473" s="3">
        <v>0</v>
      </c>
      <c r="AM473" s="3">
        <v>0</v>
      </c>
      <c r="AN473" s="3">
        <v>0</v>
      </c>
      <c r="AO473" s="3">
        <v>0</v>
      </c>
      <c r="AP473" s="3">
        <v>0</v>
      </c>
      <c r="AQ473" s="3">
        <v>0</v>
      </c>
      <c r="AR473" s="2" t="s">
        <v>5</v>
      </c>
      <c r="AS473" s="2" t="s">
        <v>5</v>
      </c>
      <c r="AU473" s="5" t="str">
        <f>HYPERLINK("https://creighton-primo.hosted.exlibrisgroup.com/primo-explore/search?tab=default_tab&amp;search_scope=EVERYTHING&amp;vid=01CRU&amp;lang=en_US&amp;offset=0&amp;query=any,contains,991003772769702656","Catalog Record")</f>
        <v>Catalog Record</v>
      </c>
      <c r="AV473" s="5" t="str">
        <f>HYPERLINK("http://www.worldcat.org/oclc/33089884","WorldCat Record")</f>
        <v>WorldCat Record</v>
      </c>
      <c r="AW473" s="2" t="s">
        <v>5942</v>
      </c>
      <c r="AX473" s="2" t="s">
        <v>5943</v>
      </c>
      <c r="AY473" s="2" t="s">
        <v>5944</v>
      </c>
      <c r="AZ473" s="2" t="s">
        <v>5944</v>
      </c>
      <c r="BA473" s="2" t="s">
        <v>5945</v>
      </c>
      <c r="BB473" s="2" t="s">
        <v>20</v>
      </c>
      <c r="BD473" s="2" t="s">
        <v>5946</v>
      </c>
      <c r="BE473" s="2" t="s">
        <v>5949</v>
      </c>
      <c r="BF473" s="2" t="s">
        <v>5950</v>
      </c>
    </row>
    <row r="474" spans="1:58" ht="39.75" customHeight="1" x14ac:dyDescent="0.25">
      <c r="A474" s="7" t="s">
        <v>5</v>
      </c>
      <c r="B474" s="1" t="s">
        <v>0</v>
      </c>
      <c r="C474" s="1" t="s">
        <v>1</v>
      </c>
      <c r="D474" s="1" t="s">
        <v>5951</v>
      </c>
      <c r="E474" s="1" t="s">
        <v>5952</v>
      </c>
      <c r="F474" s="1" t="s">
        <v>5953</v>
      </c>
      <c r="H474" s="2" t="s">
        <v>5</v>
      </c>
      <c r="I474" s="2" t="s">
        <v>6</v>
      </c>
      <c r="J474" s="2" t="s">
        <v>5</v>
      </c>
      <c r="K474" s="2" t="s">
        <v>5</v>
      </c>
      <c r="L474" s="2" t="s">
        <v>7</v>
      </c>
      <c r="M474" s="1" t="s">
        <v>5954</v>
      </c>
      <c r="N474" s="1" t="s">
        <v>5955</v>
      </c>
      <c r="O474" s="2" t="s">
        <v>162</v>
      </c>
      <c r="P474" s="1" t="s">
        <v>5291</v>
      </c>
      <c r="Q474" s="2" t="s">
        <v>1151</v>
      </c>
      <c r="R474" s="2" t="s">
        <v>1152</v>
      </c>
      <c r="S474" s="1" t="s">
        <v>5956</v>
      </c>
      <c r="T474" s="2" t="s">
        <v>13</v>
      </c>
      <c r="U474" s="3">
        <v>1</v>
      </c>
      <c r="V474" s="3">
        <v>1</v>
      </c>
      <c r="W474" s="4" t="s">
        <v>3185</v>
      </c>
      <c r="X474" s="4" t="s">
        <v>3185</v>
      </c>
      <c r="Y474" s="4" t="s">
        <v>4720</v>
      </c>
      <c r="Z474" s="4" t="s">
        <v>4720</v>
      </c>
      <c r="AA474" s="3">
        <v>82</v>
      </c>
      <c r="AB474" s="3">
        <v>63</v>
      </c>
      <c r="AC474" s="3">
        <v>71</v>
      </c>
      <c r="AD474" s="3">
        <v>2</v>
      </c>
      <c r="AE474" s="9">
        <v>2</v>
      </c>
      <c r="AF474" s="9">
        <v>4</v>
      </c>
      <c r="AG474" s="9">
        <v>4</v>
      </c>
      <c r="AH474" s="3">
        <v>0</v>
      </c>
      <c r="AI474" s="3">
        <v>0</v>
      </c>
      <c r="AJ474" s="3">
        <v>2</v>
      </c>
      <c r="AK474" s="3">
        <v>2</v>
      </c>
      <c r="AL474" s="3">
        <v>2</v>
      </c>
      <c r="AM474" s="3">
        <v>2</v>
      </c>
      <c r="AN474" s="3">
        <v>1</v>
      </c>
      <c r="AO474" s="3">
        <v>1</v>
      </c>
      <c r="AP474" s="3">
        <v>0</v>
      </c>
      <c r="AQ474" s="3">
        <v>0</v>
      </c>
      <c r="AR474" s="2" t="s">
        <v>5</v>
      </c>
      <c r="AS474" s="2" t="s">
        <v>46</v>
      </c>
      <c r="AT474" s="5" t="str">
        <f>HYPERLINK("http://catalog.hathitrust.org/Record/007971065","HathiTrust Record")</f>
        <v>HathiTrust Record</v>
      </c>
      <c r="AU474" s="5" t="str">
        <f>HYPERLINK("https://creighton-primo.hosted.exlibrisgroup.com/primo-explore/search?tab=default_tab&amp;search_scope=EVERYTHING&amp;vid=01CRU&amp;lang=en_US&amp;offset=0&amp;query=any,contains,991004607769702656","Catalog Record")</f>
        <v>Catalog Record</v>
      </c>
      <c r="AV474" s="5" t="str">
        <f>HYPERLINK("http://www.worldcat.org/oclc/4195717","WorldCat Record")</f>
        <v>WorldCat Record</v>
      </c>
      <c r="AW474" s="2" t="s">
        <v>5957</v>
      </c>
      <c r="AX474" s="2" t="s">
        <v>5958</v>
      </c>
      <c r="AY474" s="2" t="s">
        <v>5959</v>
      </c>
      <c r="AZ474" s="2" t="s">
        <v>5959</v>
      </c>
      <c r="BA474" s="2" t="s">
        <v>5960</v>
      </c>
      <c r="BB474" s="2" t="s">
        <v>20</v>
      </c>
      <c r="BE474" s="2" t="s">
        <v>5961</v>
      </c>
      <c r="BF474" s="2" t="s">
        <v>5962</v>
      </c>
    </row>
    <row r="475" spans="1:58" ht="39.75" customHeight="1" x14ac:dyDescent="0.25">
      <c r="A475" s="7" t="s">
        <v>5</v>
      </c>
      <c r="B475" s="1" t="s">
        <v>0</v>
      </c>
      <c r="C475" s="1" t="s">
        <v>1</v>
      </c>
      <c r="D475" s="1" t="s">
        <v>5963</v>
      </c>
      <c r="E475" s="1" t="s">
        <v>5964</v>
      </c>
      <c r="F475" s="1" t="s">
        <v>5965</v>
      </c>
      <c r="H475" s="2" t="s">
        <v>5</v>
      </c>
      <c r="I475" s="2" t="s">
        <v>6</v>
      </c>
      <c r="J475" s="2" t="s">
        <v>5</v>
      </c>
      <c r="K475" s="2" t="s">
        <v>5</v>
      </c>
      <c r="L475" s="2" t="s">
        <v>7</v>
      </c>
      <c r="M475" s="1" t="s">
        <v>5966</v>
      </c>
      <c r="N475" s="1" t="s">
        <v>5967</v>
      </c>
      <c r="O475" s="2" t="s">
        <v>392</v>
      </c>
      <c r="Q475" s="2" t="s">
        <v>1151</v>
      </c>
      <c r="R475" s="2" t="s">
        <v>1152</v>
      </c>
      <c r="S475" s="1" t="s">
        <v>5968</v>
      </c>
      <c r="T475" s="2" t="s">
        <v>13</v>
      </c>
      <c r="U475" s="3">
        <v>3</v>
      </c>
      <c r="V475" s="3">
        <v>3</v>
      </c>
      <c r="W475" s="4" t="s">
        <v>5927</v>
      </c>
      <c r="X475" s="4" t="s">
        <v>5927</v>
      </c>
      <c r="Y475" s="4" t="s">
        <v>5706</v>
      </c>
      <c r="Z475" s="4" t="s">
        <v>5706</v>
      </c>
      <c r="AA475" s="3">
        <v>175</v>
      </c>
      <c r="AB475" s="3">
        <v>136</v>
      </c>
      <c r="AC475" s="3">
        <v>138</v>
      </c>
      <c r="AD475" s="3">
        <v>2</v>
      </c>
      <c r="AE475" s="9">
        <v>2</v>
      </c>
      <c r="AF475" s="9">
        <v>6</v>
      </c>
      <c r="AG475" s="9">
        <v>6</v>
      </c>
      <c r="AH475" s="3">
        <v>0</v>
      </c>
      <c r="AI475" s="3">
        <v>0</v>
      </c>
      <c r="AJ475" s="3">
        <v>3</v>
      </c>
      <c r="AK475" s="3">
        <v>3</v>
      </c>
      <c r="AL475" s="3">
        <v>3</v>
      </c>
      <c r="AM475" s="3">
        <v>3</v>
      </c>
      <c r="AN475" s="3">
        <v>1</v>
      </c>
      <c r="AO475" s="3">
        <v>1</v>
      </c>
      <c r="AP475" s="3">
        <v>0</v>
      </c>
      <c r="AQ475" s="3">
        <v>0</v>
      </c>
      <c r="AR475" s="2" t="s">
        <v>5</v>
      </c>
      <c r="AS475" s="2" t="s">
        <v>46</v>
      </c>
      <c r="AT475" s="5" t="str">
        <f>HYPERLINK("http://catalog.hathitrust.org/Record/006681874","HathiTrust Record")</f>
        <v>HathiTrust Record</v>
      </c>
      <c r="AU475" s="5" t="str">
        <f>HYPERLINK("https://creighton-primo.hosted.exlibrisgroup.com/primo-explore/search?tab=default_tab&amp;search_scope=EVERYTHING&amp;vid=01CRU&amp;lang=en_US&amp;offset=0&amp;query=any,contains,991003356689702656","Catalog Record")</f>
        <v>Catalog Record</v>
      </c>
      <c r="AV475" s="5" t="str">
        <f>HYPERLINK("http://www.worldcat.org/oclc/890521","WorldCat Record")</f>
        <v>WorldCat Record</v>
      </c>
      <c r="AW475" s="2" t="s">
        <v>5969</v>
      </c>
      <c r="AX475" s="2" t="s">
        <v>5970</v>
      </c>
      <c r="AY475" s="2" t="s">
        <v>5971</v>
      </c>
      <c r="AZ475" s="2" t="s">
        <v>5971</v>
      </c>
      <c r="BA475" s="2" t="s">
        <v>5972</v>
      </c>
      <c r="BB475" s="2" t="s">
        <v>20</v>
      </c>
      <c r="BD475" s="2" t="s">
        <v>5973</v>
      </c>
      <c r="BE475" s="2" t="s">
        <v>5974</v>
      </c>
      <c r="BF475" s="2" t="s">
        <v>5975</v>
      </c>
    </row>
    <row r="476" spans="1:58" ht="39.75" customHeight="1" x14ac:dyDescent="0.25">
      <c r="A476" s="7" t="s">
        <v>5</v>
      </c>
      <c r="B476" s="1" t="s">
        <v>0</v>
      </c>
      <c r="C476" s="1" t="s">
        <v>1</v>
      </c>
      <c r="D476" s="1" t="s">
        <v>5976</v>
      </c>
      <c r="E476" s="1" t="s">
        <v>5977</v>
      </c>
      <c r="F476" s="1" t="s">
        <v>5978</v>
      </c>
      <c r="G476" s="2" t="s">
        <v>5979</v>
      </c>
      <c r="H476" s="2" t="s">
        <v>46</v>
      </c>
      <c r="I476" s="2" t="s">
        <v>6</v>
      </c>
      <c r="J476" s="2" t="s">
        <v>5</v>
      </c>
      <c r="K476" s="2" t="s">
        <v>5</v>
      </c>
      <c r="L476" s="2" t="s">
        <v>7</v>
      </c>
      <c r="M476" s="1" t="s">
        <v>5980</v>
      </c>
      <c r="N476" s="1" t="s">
        <v>5981</v>
      </c>
      <c r="O476" s="2" t="s">
        <v>1418</v>
      </c>
      <c r="Q476" s="2" t="s">
        <v>1151</v>
      </c>
      <c r="R476" s="2" t="s">
        <v>234</v>
      </c>
      <c r="S476" s="1" t="s">
        <v>5982</v>
      </c>
      <c r="T476" s="2" t="s">
        <v>13</v>
      </c>
      <c r="U476" s="3">
        <v>2</v>
      </c>
      <c r="V476" s="3">
        <v>4</v>
      </c>
      <c r="W476" s="4" t="s">
        <v>5927</v>
      </c>
      <c r="X476" s="4" t="s">
        <v>5927</v>
      </c>
      <c r="Y476" s="4" t="s">
        <v>5706</v>
      </c>
      <c r="Z476" s="4" t="s">
        <v>5706</v>
      </c>
      <c r="AA476" s="3">
        <v>195</v>
      </c>
      <c r="AB476" s="3">
        <v>148</v>
      </c>
      <c r="AC476" s="3">
        <v>154</v>
      </c>
      <c r="AD476" s="3">
        <v>1</v>
      </c>
      <c r="AE476" s="9">
        <v>1</v>
      </c>
      <c r="AF476" s="9">
        <v>6</v>
      </c>
      <c r="AG476" s="9">
        <v>6</v>
      </c>
      <c r="AH476" s="3">
        <v>3</v>
      </c>
      <c r="AI476" s="3">
        <v>3</v>
      </c>
      <c r="AJ476" s="3">
        <v>3</v>
      </c>
      <c r="AK476" s="3">
        <v>3</v>
      </c>
      <c r="AL476" s="3">
        <v>4</v>
      </c>
      <c r="AM476" s="3">
        <v>4</v>
      </c>
      <c r="AN476" s="3">
        <v>0</v>
      </c>
      <c r="AO476" s="3">
        <v>0</v>
      </c>
      <c r="AP476" s="3">
        <v>0</v>
      </c>
      <c r="AQ476" s="3">
        <v>0</v>
      </c>
      <c r="AR476" s="2" t="s">
        <v>5</v>
      </c>
      <c r="AS476" s="2" t="s">
        <v>46</v>
      </c>
      <c r="AT476" s="5" t="str">
        <f>HYPERLINK("http://catalog.hathitrust.org/Record/000159281","HathiTrust Record")</f>
        <v>HathiTrust Record</v>
      </c>
      <c r="AU476" s="5" t="str">
        <f>HYPERLINK("https://creighton-primo.hosted.exlibrisgroup.com/primo-explore/search?tab=default_tab&amp;search_scope=EVERYTHING&amp;vid=01CRU&amp;lang=en_US&amp;offset=0&amp;query=any,contains,991003358489702656","Catalog Record")</f>
        <v>Catalog Record</v>
      </c>
      <c r="AV476" s="5" t="str">
        <f>HYPERLINK("http://www.worldcat.org/oclc/893369","WorldCat Record")</f>
        <v>WorldCat Record</v>
      </c>
      <c r="AW476" s="2" t="s">
        <v>5983</v>
      </c>
      <c r="AX476" s="2" t="s">
        <v>5984</v>
      </c>
      <c r="AY476" s="2" t="s">
        <v>5985</v>
      </c>
      <c r="AZ476" s="2" t="s">
        <v>5985</v>
      </c>
      <c r="BA476" s="2" t="s">
        <v>5986</v>
      </c>
      <c r="BB476" s="2" t="s">
        <v>20</v>
      </c>
      <c r="BE476" s="2" t="s">
        <v>5987</v>
      </c>
      <c r="BF476" s="2" t="s">
        <v>5988</v>
      </c>
    </row>
    <row r="477" spans="1:58" ht="39.75" customHeight="1" x14ac:dyDescent="0.25">
      <c r="A477" s="7" t="s">
        <v>5</v>
      </c>
      <c r="B477" s="1" t="s">
        <v>0</v>
      </c>
      <c r="C477" s="1" t="s">
        <v>1</v>
      </c>
      <c r="D477" s="1" t="s">
        <v>5976</v>
      </c>
      <c r="E477" s="1" t="s">
        <v>5977</v>
      </c>
      <c r="F477" s="1" t="s">
        <v>5978</v>
      </c>
      <c r="G477" s="2" t="s">
        <v>5989</v>
      </c>
      <c r="H477" s="2" t="s">
        <v>46</v>
      </c>
      <c r="I477" s="2" t="s">
        <v>6</v>
      </c>
      <c r="J477" s="2" t="s">
        <v>5</v>
      </c>
      <c r="K477" s="2" t="s">
        <v>5</v>
      </c>
      <c r="L477" s="2" t="s">
        <v>7</v>
      </c>
      <c r="M477" s="1" t="s">
        <v>5980</v>
      </c>
      <c r="N477" s="1" t="s">
        <v>5981</v>
      </c>
      <c r="O477" s="2" t="s">
        <v>1418</v>
      </c>
      <c r="Q477" s="2" t="s">
        <v>1151</v>
      </c>
      <c r="R477" s="2" t="s">
        <v>234</v>
      </c>
      <c r="S477" s="1" t="s">
        <v>5982</v>
      </c>
      <c r="T477" s="2" t="s">
        <v>13</v>
      </c>
      <c r="U477" s="3">
        <v>2</v>
      </c>
      <c r="V477" s="3">
        <v>4</v>
      </c>
      <c r="W477" s="4" t="s">
        <v>5927</v>
      </c>
      <c r="X477" s="4" t="s">
        <v>5927</v>
      </c>
      <c r="Y477" s="4" t="s">
        <v>5706</v>
      </c>
      <c r="Z477" s="4" t="s">
        <v>5706</v>
      </c>
      <c r="AA477" s="3">
        <v>195</v>
      </c>
      <c r="AB477" s="3">
        <v>148</v>
      </c>
      <c r="AC477" s="3">
        <v>154</v>
      </c>
      <c r="AD477" s="3">
        <v>1</v>
      </c>
      <c r="AE477" s="9">
        <v>1</v>
      </c>
      <c r="AF477" s="9">
        <v>6</v>
      </c>
      <c r="AG477" s="9">
        <v>6</v>
      </c>
      <c r="AH477" s="3">
        <v>3</v>
      </c>
      <c r="AI477" s="3">
        <v>3</v>
      </c>
      <c r="AJ477" s="3">
        <v>3</v>
      </c>
      <c r="AK477" s="3">
        <v>3</v>
      </c>
      <c r="AL477" s="3">
        <v>4</v>
      </c>
      <c r="AM477" s="3">
        <v>4</v>
      </c>
      <c r="AN477" s="3">
        <v>0</v>
      </c>
      <c r="AO477" s="3">
        <v>0</v>
      </c>
      <c r="AP477" s="3">
        <v>0</v>
      </c>
      <c r="AQ477" s="3">
        <v>0</v>
      </c>
      <c r="AR477" s="2" t="s">
        <v>5</v>
      </c>
      <c r="AS477" s="2" t="s">
        <v>46</v>
      </c>
      <c r="AT477" s="5" t="str">
        <f>HYPERLINK("http://catalog.hathitrust.org/Record/000159281","HathiTrust Record")</f>
        <v>HathiTrust Record</v>
      </c>
      <c r="AU477" s="5" t="str">
        <f>HYPERLINK("https://creighton-primo.hosted.exlibrisgroup.com/primo-explore/search?tab=default_tab&amp;search_scope=EVERYTHING&amp;vid=01CRU&amp;lang=en_US&amp;offset=0&amp;query=any,contains,991003358489702656","Catalog Record")</f>
        <v>Catalog Record</v>
      </c>
      <c r="AV477" s="5" t="str">
        <f>HYPERLINK("http://www.worldcat.org/oclc/893369","WorldCat Record")</f>
        <v>WorldCat Record</v>
      </c>
      <c r="AW477" s="2" t="s">
        <v>5983</v>
      </c>
      <c r="AX477" s="2" t="s">
        <v>5984</v>
      </c>
      <c r="AY477" s="2" t="s">
        <v>5985</v>
      </c>
      <c r="AZ477" s="2" t="s">
        <v>5985</v>
      </c>
      <c r="BA477" s="2" t="s">
        <v>5986</v>
      </c>
      <c r="BB477" s="2" t="s">
        <v>20</v>
      </c>
      <c r="BE477" s="2" t="s">
        <v>5990</v>
      </c>
      <c r="BF477" s="2" t="s">
        <v>5991</v>
      </c>
    </row>
    <row r="478" spans="1:58" ht="39.75" customHeight="1" x14ac:dyDescent="0.25">
      <c r="A478" s="7" t="s">
        <v>5</v>
      </c>
      <c r="B478" s="1" t="s">
        <v>0</v>
      </c>
      <c r="C478" s="1" t="s">
        <v>1</v>
      </c>
      <c r="D478" s="1" t="s">
        <v>5992</v>
      </c>
      <c r="E478" s="1" t="s">
        <v>5993</v>
      </c>
      <c r="F478" s="1" t="s">
        <v>5994</v>
      </c>
      <c r="H478" s="2" t="s">
        <v>5</v>
      </c>
      <c r="I478" s="2" t="s">
        <v>6</v>
      </c>
      <c r="J478" s="2" t="s">
        <v>5</v>
      </c>
      <c r="K478" s="2" t="s">
        <v>5</v>
      </c>
      <c r="L478" s="2" t="s">
        <v>7</v>
      </c>
      <c r="M478" s="1" t="s">
        <v>5995</v>
      </c>
      <c r="N478" s="1" t="s">
        <v>5996</v>
      </c>
      <c r="O478" s="2" t="s">
        <v>452</v>
      </c>
      <c r="Q478" s="2" t="s">
        <v>1151</v>
      </c>
      <c r="R478" s="2" t="s">
        <v>1152</v>
      </c>
      <c r="S478" s="1" t="s">
        <v>5997</v>
      </c>
      <c r="T478" s="2" t="s">
        <v>13</v>
      </c>
      <c r="U478" s="3">
        <v>1</v>
      </c>
      <c r="V478" s="3">
        <v>1</v>
      </c>
      <c r="W478" s="4" t="s">
        <v>4676</v>
      </c>
      <c r="X478" s="4" t="s">
        <v>4676</v>
      </c>
      <c r="Y478" s="4" t="s">
        <v>4676</v>
      </c>
      <c r="Z478" s="4" t="s">
        <v>4676</v>
      </c>
      <c r="AA478" s="3">
        <v>99</v>
      </c>
      <c r="AB478" s="3">
        <v>73</v>
      </c>
      <c r="AC478" s="3">
        <v>73</v>
      </c>
      <c r="AD478" s="3">
        <v>1</v>
      </c>
      <c r="AE478" s="9">
        <v>1</v>
      </c>
      <c r="AF478" s="9">
        <v>3</v>
      </c>
      <c r="AG478" s="9">
        <v>3</v>
      </c>
      <c r="AH478" s="3">
        <v>1</v>
      </c>
      <c r="AI478" s="3">
        <v>1</v>
      </c>
      <c r="AJ478" s="3">
        <v>2</v>
      </c>
      <c r="AK478" s="3">
        <v>2</v>
      </c>
      <c r="AL478" s="3">
        <v>2</v>
      </c>
      <c r="AM478" s="3">
        <v>2</v>
      </c>
      <c r="AN478" s="3">
        <v>0</v>
      </c>
      <c r="AO478" s="3">
        <v>0</v>
      </c>
      <c r="AP478" s="3">
        <v>0</v>
      </c>
      <c r="AQ478" s="3">
        <v>0</v>
      </c>
      <c r="AR478" s="2" t="s">
        <v>5</v>
      </c>
      <c r="AS478" s="2" t="s">
        <v>5</v>
      </c>
      <c r="AU478" s="5" t="str">
        <f>HYPERLINK("https://creighton-primo.hosted.exlibrisgroup.com/primo-explore/search?tab=default_tab&amp;search_scope=EVERYTHING&amp;vid=01CRU&amp;lang=en_US&amp;offset=0&amp;query=any,contains,991004270869702656","Catalog Record")</f>
        <v>Catalog Record</v>
      </c>
      <c r="AV478" s="5" t="str">
        <f>HYPERLINK("http://www.worldcat.org/oclc/56517503","WorldCat Record")</f>
        <v>WorldCat Record</v>
      </c>
      <c r="AW478" s="2" t="s">
        <v>5998</v>
      </c>
      <c r="AX478" s="2" t="s">
        <v>5999</v>
      </c>
      <c r="AY478" s="2" t="s">
        <v>6000</v>
      </c>
      <c r="AZ478" s="2" t="s">
        <v>6000</v>
      </c>
      <c r="BA478" s="2" t="s">
        <v>6001</v>
      </c>
      <c r="BB478" s="2" t="s">
        <v>20</v>
      </c>
      <c r="BD478" s="2" t="s">
        <v>6002</v>
      </c>
      <c r="BE478" s="2" t="s">
        <v>6003</v>
      </c>
      <c r="BF478" s="2" t="s">
        <v>6004</v>
      </c>
    </row>
    <row r="479" spans="1:58" ht="39.75" customHeight="1" x14ac:dyDescent="0.25">
      <c r="A479" s="7" t="s">
        <v>5</v>
      </c>
      <c r="B479" s="1" t="s">
        <v>0</v>
      </c>
      <c r="C479" s="1" t="s">
        <v>1</v>
      </c>
      <c r="D479" s="1" t="s">
        <v>6005</v>
      </c>
      <c r="E479" s="1" t="s">
        <v>6006</v>
      </c>
      <c r="F479" s="1" t="s">
        <v>6007</v>
      </c>
      <c r="H479" s="2" t="s">
        <v>5</v>
      </c>
      <c r="I479" s="2" t="s">
        <v>6</v>
      </c>
      <c r="J479" s="2" t="s">
        <v>5</v>
      </c>
      <c r="K479" s="2" t="s">
        <v>5</v>
      </c>
      <c r="L479" s="2" t="s">
        <v>7</v>
      </c>
      <c r="M479" s="1" t="s">
        <v>5848</v>
      </c>
      <c r="N479" s="1" t="s">
        <v>6008</v>
      </c>
      <c r="O479" s="2" t="s">
        <v>639</v>
      </c>
      <c r="Q479" s="2" t="s">
        <v>1151</v>
      </c>
      <c r="R479" s="2" t="s">
        <v>1152</v>
      </c>
      <c r="S479" s="1" t="s">
        <v>6009</v>
      </c>
      <c r="T479" s="2" t="s">
        <v>13</v>
      </c>
      <c r="U479" s="3">
        <v>2</v>
      </c>
      <c r="V479" s="3">
        <v>2</v>
      </c>
      <c r="W479" s="4" t="s">
        <v>4676</v>
      </c>
      <c r="X479" s="4" t="s">
        <v>4676</v>
      </c>
      <c r="Y479" s="4" t="s">
        <v>4676</v>
      </c>
      <c r="Z479" s="4" t="s">
        <v>4676</v>
      </c>
      <c r="AA479" s="3">
        <v>122</v>
      </c>
      <c r="AB479" s="3">
        <v>95</v>
      </c>
      <c r="AC479" s="3">
        <v>102</v>
      </c>
      <c r="AD479" s="3">
        <v>2</v>
      </c>
      <c r="AE479" s="9">
        <v>2</v>
      </c>
      <c r="AF479" s="9">
        <v>7</v>
      </c>
      <c r="AG479" s="9">
        <v>7</v>
      </c>
      <c r="AH479" s="3">
        <v>3</v>
      </c>
      <c r="AI479" s="3">
        <v>3</v>
      </c>
      <c r="AJ479" s="3">
        <v>3</v>
      </c>
      <c r="AK479" s="3">
        <v>3</v>
      </c>
      <c r="AL479" s="3">
        <v>3</v>
      </c>
      <c r="AM479" s="3">
        <v>3</v>
      </c>
      <c r="AN479" s="3">
        <v>1</v>
      </c>
      <c r="AO479" s="3">
        <v>1</v>
      </c>
      <c r="AP479" s="3">
        <v>0</v>
      </c>
      <c r="AQ479" s="3">
        <v>0</v>
      </c>
      <c r="AR479" s="2" t="s">
        <v>5</v>
      </c>
      <c r="AS479" s="2" t="s">
        <v>46</v>
      </c>
      <c r="AT479" s="5" t="str">
        <f>HYPERLINK("http://catalog.hathitrust.org/Record/000927406","HathiTrust Record")</f>
        <v>HathiTrust Record</v>
      </c>
      <c r="AU479" s="5" t="str">
        <f>HYPERLINK("https://creighton-primo.hosted.exlibrisgroup.com/primo-explore/search?tab=default_tab&amp;search_scope=EVERYTHING&amp;vid=01CRU&amp;lang=en_US&amp;offset=0&amp;query=any,contains,991004270959702656","Catalog Record")</f>
        <v>Catalog Record</v>
      </c>
      <c r="AV479" s="5" t="str">
        <f>HYPERLINK("http://www.worldcat.org/oclc/17964543","WorldCat Record")</f>
        <v>WorldCat Record</v>
      </c>
      <c r="AW479" s="2" t="s">
        <v>6010</v>
      </c>
      <c r="AX479" s="2" t="s">
        <v>6011</v>
      </c>
      <c r="AY479" s="2" t="s">
        <v>6012</v>
      </c>
      <c r="AZ479" s="2" t="s">
        <v>6012</v>
      </c>
      <c r="BA479" s="2" t="s">
        <v>6013</v>
      </c>
      <c r="BB479" s="2" t="s">
        <v>20</v>
      </c>
      <c r="BD479" s="2" t="s">
        <v>6014</v>
      </c>
      <c r="BE479" s="2" t="s">
        <v>6015</v>
      </c>
      <c r="BF479" s="2" t="s">
        <v>6016</v>
      </c>
    </row>
    <row r="480" spans="1:58" ht="39.75" customHeight="1" x14ac:dyDescent="0.25">
      <c r="A480" s="7" t="s">
        <v>5</v>
      </c>
      <c r="B480" s="1" t="s">
        <v>0</v>
      </c>
      <c r="C480" s="1" t="s">
        <v>1</v>
      </c>
      <c r="D480" s="1" t="s">
        <v>6017</v>
      </c>
      <c r="E480" s="1" t="s">
        <v>6018</v>
      </c>
      <c r="F480" s="1" t="s">
        <v>6019</v>
      </c>
      <c r="H480" s="2" t="s">
        <v>5</v>
      </c>
      <c r="I480" s="2" t="s">
        <v>6</v>
      </c>
      <c r="J480" s="2" t="s">
        <v>5</v>
      </c>
      <c r="K480" s="2" t="s">
        <v>5</v>
      </c>
      <c r="L480" s="2" t="s">
        <v>7</v>
      </c>
      <c r="M480" s="1" t="s">
        <v>6020</v>
      </c>
      <c r="N480" s="1" t="s">
        <v>6021</v>
      </c>
      <c r="O480" s="2" t="s">
        <v>639</v>
      </c>
      <c r="Q480" s="2" t="s">
        <v>1151</v>
      </c>
      <c r="R480" s="2" t="s">
        <v>1152</v>
      </c>
      <c r="S480" s="1" t="s">
        <v>6022</v>
      </c>
      <c r="T480" s="2" t="s">
        <v>13</v>
      </c>
      <c r="U480" s="3">
        <v>1</v>
      </c>
      <c r="V480" s="3">
        <v>1</v>
      </c>
      <c r="W480" s="4" t="s">
        <v>5071</v>
      </c>
      <c r="X480" s="4" t="s">
        <v>5071</v>
      </c>
      <c r="Y480" s="4" t="s">
        <v>5071</v>
      </c>
      <c r="Z480" s="4" t="s">
        <v>5071</v>
      </c>
      <c r="AA480" s="3">
        <v>154</v>
      </c>
      <c r="AB480" s="3">
        <v>111</v>
      </c>
      <c r="AC480" s="3">
        <v>115</v>
      </c>
      <c r="AD480" s="3">
        <v>2</v>
      </c>
      <c r="AE480" s="9">
        <v>2</v>
      </c>
      <c r="AF480" s="9">
        <v>7</v>
      </c>
      <c r="AG480" s="9">
        <v>7</v>
      </c>
      <c r="AH480" s="3">
        <v>3</v>
      </c>
      <c r="AI480" s="3">
        <v>3</v>
      </c>
      <c r="AJ480" s="3">
        <v>4</v>
      </c>
      <c r="AK480" s="3">
        <v>4</v>
      </c>
      <c r="AL480" s="3">
        <v>1</v>
      </c>
      <c r="AM480" s="3">
        <v>1</v>
      </c>
      <c r="AN480" s="3">
        <v>1</v>
      </c>
      <c r="AO480" s="3">
        <v>1</v>
      </c>
      <c r="AP480" s="3">
        <v>0</v>
      </c>
      <c r="AQ480" s="3">
        <v>0</v>
      </c>
      <c r="AR480" s="2" t="s">
        <v>5</v>
      </c>
      <c r="AS480" s="2" t="s">
        <v>46</v>
      </c>
      <c r="AT480" s="5" t="str">
        <f>HYPERLINK("http://catalog.hathitrust.org/Record/001080846","HathiTrust Record")</f>
        <v>HathiTrust Record</v>
      </c>
      <c r="AU480" s="5" t="str">
        <f>HYPERLINK("https://creighton-primo.hosted.exlibrisgroup.com/primo-explore/search?tab=default_tab&amp;search_scope=EVERYTHING&amp;vid=01CRU&amp;lang=en_US&amp;offset=0&amp;query=any,contains,991004336309702656","Catalog Record")</f>
        <v>Catalog Record</v>
      </c>
      <c r="AV480" s="5" t="str">
        <f>HYPERLINK("http://www.worldcat.org/oclc/19069047","WorldCat Record")</f>
        <v>WorldCat Record</v>
      </c>
      <c r="AW480" s="2" t="s">
        <v>6023</v>
      </c>
      <c r="AX480" s="2" t="s">
        <v>6024</v>
      </c>
      <c r="AY480" s="2" t="s">
        <v>6025</v>
      </c>
      <c r="AZ480" s="2" t="s">
        <v>6025</v>
      </c>
      <c r="BA480" s="2" t="s">
        <v>6026</v>
      </c>
      <c r="BB480" s="2" t="s">
        <v>20</v>
      </c>
      <c r="BD480" s="2" t="s">
        <v>6027</v>
      </c>
      <c r="BE480" s="2" t="s">
        <v>6028</v>
      </c>
      <c r="BF480" s="2" t="s">
        <v>6029</v>
      </c>
    </row>
    <row r="481" spans="1:58" ht="39.75" customHeight="1" x14ac:dyDescent="0.25">
      <c r="A481" s="7" t="s">
        <v>5</v>
      </c>
      <c r="B481" s="1" t="s">
        <v>0</v>
      </c>
      <c r="C481" s="1" t="s">
        <v>1</v>
      </c>
      <c r="D481" s="1" t="s">
        <v>6030</v>
      </c>
      <c r="E481" s="1" t="s">
        <v>6031</v>
      </c>
      <c r="F481" s="1" t="s">
        <v>6032</v>
      </c>
      <c r="H481" s="2" t="s">
        <v>5</v>
      </c>
      <c r="I481" s="2" t="s">
        <v>6</v>
      </c>
      <c r="J481" s="2" t="s">
        <v>5</v>
      </c>
      <c r="K481" s="2" t="s">
        <v>5</v>
      </c>
      <c r="L481" s="2" t="s">
        <v>7</v>
      </c>
      <c r="M481" s="1" t="s">
        <v>6033</v>
      </c>
      <c r="N481" s="1" t="s">
        <v>6034</v>
      </c>
      <c r="O481" s="2" t="s">
        <v>554</v>
      </c>
      <c r="Q481" s="2" t="s">
        <v>1151</v>
      </c>
      <c r="R481" s="2" t="s">
        <v>1152</v>
      </c>
      <c r="S481" s="1" t="s">
        <v>6035</v>
      </c>
      <c r="T481" s="2" t="s">
        <v>13</v>
      </c>
      <c r="U481" s="3">
        <v>1</v>
      </c>
      <c r="V481" s="3">
        <v>1</v>
      </c>
      <c r="W481" s="4" t="s">
        <v>6036</v>
      </c>
      <c r="X481" s="4" t="s">
        <v>6036</v>
      </c>
      <c r="Y481" s="4" t="s">
        <v>6036</v>
      </c>
      <c r="Z481" s="4" t="s">
        <v>6036</v>
      </c>
      <c r="AA481" s="3">
        <v>175</v>
      </c>
      <c r="AB481" s="3">
        <v>125</v>
      </c>
      <c r="AC481" s="3">
        <v>128</v>
      </c>
      <c r="AD481" s="3">
        <v>2</v>
      </c>
      <c r="AE481" s="9">
        <v>2</v>
      </c>
      <c r="AF481" s="9">
        <v>9</v>
      </c>
      <c r="AG481" s="9">
        <v>9</v>
      </c>
      <c r="AH481" s="3">
        <v>2</v>
      </c>
      <c r="AI481" s="3">
        <v>2</v>
      </c>
      <c r="AJ481" s="3">
        <v>3</v>
      </c>
      <c r="AK481" s="3">
        <v>3</v>
      </c>
      <c r="AL481" s="3">
        <v>5</v>
      </c>
      <c r="AM481" s="3">
        <v>5</v>
      </c>
      <c r="AN481" s="3">
        <v>1</v>
      </c>
      <c r="AO481" s="3">
        <v>1</v>
      </c>
      <c r="AP481" s="3">
        <v>0</v>
      </c>
      <c r="AQ481" s="3">
        <v>0</v>
      </c>
      <c r="AR481" s="2" t="s">
        <v>5</v>
      </c>
      <c r="AS481" s="2" t="s">
        <v>46</v>
      </c>
      <c r="AT481" s="5" t="str">
        <f>HYPERLINK("http://catalog.hathitrust.org/Record/000377049","HathiTrust Record")</f>
        <v>HathiTrust Record</v>
      </c>
      <c r="AU481" s="5" t="str">
        <f>HYPERLINK("https://creighton-primo.hosted.exlibrisgroup.com/primo-explore/search?tab=default_tab&amp;search_scope=EVERYTHING&amp;vid=01CRU&amp;lang=en_US&amp;offset=0&amp;query=any,contains,991004335059702656","Catalog Record")</f>
        <v>Catalog Record</v>
      </c>
      <c r="AV481" s="5" t="str">
        <f>HYPERLINK("http://www.worldcat.org/oclc/12608609","WorldCat Record")</f>
        <v>WorldCat Record</v>
      </c>
      <c r="AW481" s="2" t="s">
        <v>6037</v>
      </c>
      <c r="AX481" s="2" t="s">
        <v>6038</v>
      </c>
      <c r="AY481" s="2" t="s">
        <v>6039</v>
      </c>
      <c r="AZ481" s="2" t="s">
        <v>6039</v>
      </c>
      <c r="BA481" s="2" t="s">
        <v>6040</v>
      </c>
      <c r="BB481" s="2" t="s">
        <v>20</v>
      </c>
      <c r="BD481" s="2" t="s">
        <v>6041</v>
      </c>
      <c r="BE481" s="2" t="s">
        <v>6042</v>
      </c>
      <c r="BF481" s="2" t="s">
        <v>6043</v>
      </c>
    </row>
    <row r="482" spans="1:58" ht="39.75" customHeight="1" x14ac:dyDescent="0.25">
      <c r="A482" s="7" t="s">
        <v>5</v>
      </c>
      <c r="B482" s="1" t="s">
        <v>0</v>
      </c>
      <c r="C482" s="1" t="s">
        <v>1</v>
      </c>
      <c r="D482" s="1" t="s">
        <v>6044</v>
      </c>
      <c r="E482" s="1" t="s">
        <v>6045</v>
      </c>
      <c r="F482" s="1" t="s">
        <v>6046</v>
      </c>
      <c r="H482" s="2" t="s">
        <v>5</v>
      </c>
      <c r="I482" s="2" t="s">
        <v>6</v>
      </c>
      <c r="J482" s="2" t="s">
        <v>5</v>
      </c>
      <c r="K482" s="2" t="s">
        <v>5</v>
      </c>
      <c r="L482" s="2" t="s">
        <v>7</v>
      </c>
      <c r="N482" s="1" t="s">
        <v>6047</v>
      </c>
      <c r="O482" s="2" t="s">
        <v>276</v>
      </c>
      <c r="Q482" s="2" t="s">
        <v>1151</v>
      </c>
      <c r="R482" s="2" t="s">
        <v>1152</v>
      </c>
      <c r="S482" s="1" t="s">
        <v>6048</v>
      </c>
      <c r="T482" s="2" t="s">
        <v>13</v>
      </c>
      <c r="U482" s="3">
        <v>1</v>
      </c>
      <c r="V482" s="3">
        <v>1</v>
      </c>
      <c r="W482" s="4" t="s">
        <v>5927</v>
      </c>
      <c r="X482" s="4" t="s">
        <v>5927</v>
      </c>
      <c r="Y482" s="4" t="s">
        <v>5333</v>
      </c>
      <c r="Z482" s="4" t="s">
        <v>5333</v>
      </c>
      <c r="AA482" s="3">
        <v>47</v>
      </c>
      <c r="AB482" s="3">
        <v>39</v>
      </c>
      <c r="AC482" s="3">
        <v>49</v>
      </c>
      <c r="AD482" s="3">
        <v>1</v>
      </c>
      <c r="AE482" s="9">
        <v>1</v>
      </c>
      <c r="AF482" s="9">
        <v>1</v>
      </c>
      <c r="AG482" s="9">
        <v>1</v>
      </c>
      <c r="AH482" s="3">
        <v>0</v>
      </c>
      <c r="AI482" s="3">
        <v>0</v>
      </c>
      <c r="AJ482" s="3">
        <v>0</v>
      </c>
      <c r="AK482" s="3">
        <v>0</v>
      </c>
      <c r="AL482" s="3">
        <v>1</v>
      </c>
      <c r="AM482" s="3">
        <v>1</v>
      </c>
      <c r="AN482" s="3">
        <v>0</v>
      </c>
      <c r="AO482" s="3">
        <v>0</v>
      </c>
      <c r="AP482" s="3">
        <v>0</v>
      </c>
      <c r="AQ482" s="3">
        <v>0</v>
      </c>
      <c r="AR482" s="2" t="s">
        <v>5</v>
      </c>
      <c r="AS482" s="2" t="s">
        <v>46</v>
      </c>
      <c r="AT482" s="5" t="str">
        <f>HYPERLINK("http://catalog.hathitrust.org/Record/000752773","HathiTrust Record")</f>
        <v>HathiTrust Record</v>
      </c>
      <c r="AU482" s="5" t="str">
        <f>HYPERLINK("https://creighton-primo.hosted.exlibrisgroup.com/primo-explore/search?tab=default_tab&amp;search_scope=EVERYTHING&amp;vid=01CRU&amp;lang=en_US&amp;offset=0&amp;query=any,contains,991004436759702656","Catalog Record")</f>
        <v>Catalog Record</v>
      </c>
      <c r="AV482" s="5" t="str">
        <f>HYPERLINK("http://www.worldcat.org/oclc/3446543","WorldCat Record")</f>
        <v>WorldCat Record</v>
      </c>
      <c r="AW482" s="2" t="s">
        <v>6049</v>
      </c>
      <c r="AX482" s="2" t="s">
        <v>6050</v>
      </c>
      <c r="AY482" s="2" t="s">
        <v>6051</v>
      </c>
      <c r="AZ482" s="2" t="s">
        <v>6051</v>
      </c>
      <c r="BA482" s="2" t="s">
        <v>6052</v>
      </c>
      <c r="BB482" s="2" t="s">
        <v>20</v>
      </c>
      <c r="BD482" s="2" t="s">
        <v>6053</v>
      </c>
      <c r="BE482" s="2" t="s">
        <v>6054</v>
      </c>
      <c r="BF482" s="2" t="s">
        <v>6055</v>
      </c>
    </row>
    <row r="483" spans="1:58" ht="39.75" customHeight="1" x14ac:dyDescent="0.25">
      <c r="A483" s="7" t="s">
        <v>5</v>
      </c>
      <c r="B483" s="1" t="s">
        <v>0</v>
      </c>
      <c r="C483" s="1" t="s">
        <v>1</v>
      </c>
      <c r="D483" s="1" t="s">
        <v>6056</v>
      </c>
      <c r="E483" s="1" t="s">
        <v>6057</v>
      </c>
      <c r="F483" s="1" t="s">
        <v>6058</v>
      </c>
      <c r="H483" s="2" t="s">
        <v>5</v>
      </c>
      <c r="I483" s="2" t="s">
        <v>6</v>
      </c>
      <c r="J483" s="2" t="s">
        <v>5</v>
      </c>
      <c r="K483" s="2" t="s">
        <v>5</v>
      </c>
      <c r="L483" s="2" t="s">
        <v>7</v>
      </c>
      <c r="M483" s="1" t="s">
        <v>6059</v>
      </c>
      <c r="N483" s="1" t="s">
        <v>6060</v>
      </c>
      <c r="O483" s="2" t="s">
        <v>584</v>
      </c>
      <c r="Q483" s="2" t="s">
        <v>1151</v>
      </c>
      <c r="R483" s="2" t="s">
        <v>1152</v>
      </c>
      <c r="S483" s="1" t="s">
        <v>6061</v>
      </c>
      <c r="T483" s="2" t="s">
        <v>13</v>
      </c>
      <c r="U483" s="3">
        <v>1</v>
      </c>
      <c r="V483" s="3">
        <v>1</v>
      </c>
      <c r="W483" s="4" t="s">
        <v>5927</v>
      </c>
      <c r="X483" s="4" t="s">
        <v>5927</v>
      </c>
      <c r="Y483" s="4" t="s">
        <v>5706</v>
      </c>
      <c r="Z483" s="4" t="s">
        <v>5706</v>
      </c>
      <c r="AA483" s="3">
        <v>408</v>
      </c>
      <c r="AB483" s="3">
        <v>347</v>
      </c>
      <c r="AC483" s="3">
        <v>448</v>
      </c>
      <c r="AD483" s="3">
        <v>3</v>
      </c>
      <c r="AE483" s="9">
        <v>5</v>
      </c>
      <c r="AF483" s="9">
        <v>24</v>
      </c>
      <c r="AG483" s="9">
        <v>28</v>
      </c>
      <c r="AH483" s="3">
        <v>10</v>
      </c>
      <c r="AI483" s="3">
        <v>11</v>
      </c>
      <c r="AJ483" s="3">
        <v>6</v>
      </c>
      <c r="AK483" s="3">
        <v>6</v>
      </c>
      <c r="AL483" s="3">
        <v>12</v>
      </c>
      <c r="AM483" s="3">
        <v>14</v>
      </c>
      <c r="AN483" s="3">
        <v>2</v>
      </c>
      <c r="AO483" s="3">
        <v>4</v>
      </c>
      <c r="AP483" s="3">
        <v>0</v>
      </c>
      <c r="AQ483" s="3">
        <v>0</v>
      </c>
      <c r="AR483" s="2" t="s">
        <v>5</v>
      </c>
      <c r="AS483" s="2" t="s">
        <v>46</v>
      </c>
      <c r="AT483" s="5" t="str">
        <f>HYPERLINK("http://catalog.hathitrust.org/Record/001037001","HathiTrust Record")</f>
        <v>HathiTrust Record</v>
      </c>
      <c r="AU483" s="5" t="str">
        <f>HYPERLINK("https://creighton-primo.hosted.exlibrisgroup.com/primo-explore/search?tab=default_tab&amp;search_scope=EVERYTHING&amp;vid=01CRU&amp;lang=en_US&amp;offset=0&amp;query=any,contains,991002426209702656","Catalog Record")</f>
        <v>Catalog Record</v>
      </c>
      <c r="AV483" s="5" t="str">
        <f>HYPERLINK("http://www.worldcat.org/oclc/344978","WorldCat Record")</f>
        <v>WorldCat Record</v>
      </c>
      <c r="AW483" s="2" t="s">
        <v>6062</v>
      </c>
      <c r="AX483" s="2" t="s">
        <v>6063</v>
      </c>
      <c r="AY483" s="2" t="s">
        <v>6064</v>
      </c>
      <c r="AZ483" s="2" t="s">
        <v>6064</v>
      </c>
      <c r="BA483" s="2" t="s">
        <v>6065</v>
      </c>
      <c r="BB483" s="2" t="s">
        <v>20</v>
      </c>
      <c r="BE483" s="2" t="s">
        <v>6066</v>
      </c>
      <c r="BF483" s="2" t="s">
        <v>6067</v>
      </c>
    </row>
    <row r="484" spans="1:58" ht="39.75" customHeight="1" x14ac:dyDescent="0.25">
      <c r="A484" s="7" t="s">
        <v>5</v>
      </c>
      <c r="B484" s="1" t="s">
        <v>0</v>
      </c>
      <c r="C484" s="1" t="s">
        <v>1</v>
      </c>
      <c r="D484" s="1" t="s">
        <v>6068</v>
      </c>
      <c r="E484" s="1" t="s">
        <v>6069</v>
      </c>
      <c r="F484" s="1" t="s">
        <v>6070</v>
      </c>
      <c r="G484" s="2" t="s">
        <v>2107</v>
      </c>
      <c r="H484" s="2" t="s">
        <v>46</v>
      </c>
      <c r="I484" s="2" t="s">
        <v>6</v>
      </c>
      <c r="J484" s="2" t="s">
        <v>5</v>
      </c>
      <c r="K484" s="2" t="s">
        <v>5</v>
      </c>
      <c r="L484" s="2" t="s">
        <v>7</v>
      </c>
      <c r="M484" s="1" t="s">
        <v>6071</v>
      </c>
      <c r="N484" s="1" t="s">
        <v>6072</v>
      </c>
      <c r="O484" s="2" t="s">
        <v>248</v>
      </c>
      <c r="P484" s="1" t="s">
        <v>5373</v>
      </c>
      <c r="Q484" s="2" t="s">
        <v>1151</v>
      </c>
      <c r="R484" s="2" t="s">
        <v>1152</v>
      </c>
      <c r="S484" s="1" t="s">
        <v>6073</v>
      </c>
      <c r="T484" s="2" t="s">
        <v>13</v>
      </c>
      <c r="U484" s="3">
        <v>1</v>
      </c>
      <c r="V484" s="3">
        <v>2</v>
      </c>
      <c r="W484" s="4" t="s">
        <v>5137</v>
      </c>
      <c r="X484" s="4" t="s">
        <v>5137</v>
      </c>
      <c r="Y484" s="4" t="s">
        <v>5137</v>
      </c>
      <c r="Z484" s="4" t="s">
        <v>5137</v>
      </c>
      <c r="AA484" s="3">
        <v>137</v>
      </c>
      <c r="AB484" s="3">
        <v>120</v>
      </c>
      <c r="AC484" s="3">
        <v>406</v>
      </c>
      <c r="AD484" s="3">
        <v>3</v>
      </c>
      <c r="AE484" s="9">
        <v>4</v>
      </c>
      <c r="AF484" s="9">
        <v>8</v>
      </c>
      <c r="AG484" s="9">
        <v>20</v>
      </c>
      <c r="AH484" s="3">
        <v>0</v>
      </c>
      <c r="AI484" s="3">
        <v>5</v>
      </c>
      <c r="AJ484" s="3">
        <v>2</v>
      </c>
      <c r="AK484" s="3">
        <v>5</v>
      </c>
      <c r="AL484" s="3">
        <v>4</v>
      </c>
      <c r="AM484" s="3">
        <v>11</v>
      </c>
      <c r="AN484" s="3">
        <v>2</v>
      </c>
      <c r="AO484" s="3">
        <v>3</v>
      </c>
      <c r="AP484" s="3">
        <v>0</v>
      </c>
      <c r="AQ484" s="3">
        <v>0</v>
      </c>
      <c r="AR484" s="2" t="s">
        <v>5</v>
      </c>
      <c r="AS484" s="2" t="s">
        <v>46</v>
      </c>
      <c r="AT484" s="5" t="str">
        <f>HYPERLINK("http://catalog.hathitrust.org/Record/010015014","HathiTrust Record")</f>
        <v>HathiTrust Record</v>
      </c>
      <c r="AU484" s="5" t="str">
        <f>HYPERLINK("https://creighton-primo.hosted.exlibrisgroup.com/primo-explore/search?tab=default_tab&amp;search_scope=EVERYTHING&amp;vid=01CRU&amp;lang=en_US&amp;offset=0&amp;query=any,contains,991004510319702656","Catalog Record")</f>
        <v>Catalog Record</v>
      </c>
      <c r="AV484" s="5" t="str">
        <f>HYPERLINK("http://www.worldcat.org/oclc/536526","WorldCat Record")</f>
        <v>WorldCat Record</v>
      </c>
      <c r="AW484" s="2" t="s">
        <v>6074</v>
      </c>
      <c r="AX484" s="2" t="s">
        <v>6075</v>
      </c>
      <c r="AY484" s="2" t="s">
        <v>6076</v>
      </c>
      <c r="AZ484" s="2" t="s">
        <v>6076</v>
      </c>
      <c r="BA484" s="2" t="s">
        <v>6077</v>
      </c>
      <c r="BB484" s="2" t="s">
        <v>20</v>
      </c>
      <c r="BE484" s="2" t="s">
        <v>6078</v>
      </c>
      <c r="BF484" s="2" t="s">
        <v>6079</v>
      </c>
    </row>
    <row r="485" spans="1:58" ht="39.75" customHeight="1" x14ac:dyDescent="0.25">
      <c r="A485" s="7" t="s">
        <v>5</v>
      </c>
      <c r="B485" s="1" t="s">
        <v>0</v>
      </c>
      <c r="C485" s="1" t="s">
        <v>1</v>
      </c>
      <c r="D485" s="1" t="s">
        <v>6068</v>
      </c>
      <c r="E485" s="1" t="s">
        <v>6069</v>
      </c>
      <c r="F485" s="1" t="s">
        <v>6070</v>
      </c>
      <c r="G485" s="2" t="s">
        <v>2083</v>
      </c>
      <c r="H485" s="2" t="s">
        <v>46</v>
      </c>
      <c r="I485" s="2" t="s">
        <v>6</v>
      </c>
      <c r="J485" s="2" t="s">
        <v>5</v>
      </c>
      <c r="K485" s="2" t="s">
        <v>5</v>
      </c>
      <c r="L485" s="2" t="s">
        <v>7</v>
      </c>
      <c r="M485" s="1" t="s">
        <v>6071</v>
      </c>
      <c r="N485" s="1" t="s">
        <v>6072</v>
      </c>
      <c r="O485" s="2" t="s">
        <v>248</v>
      </c>
      <c r="P485" s="1" t="s">
        <v>5373</v>
      </c>
      <c r="Q485" s="2" t="s">
        <v>1151</v>
      </c>
      <c r="R485" s="2" t="s">
        <v>1152</v>
      </c>
      <c r="S485" s="1" t="s">
        <v>6073</v>
      </c>
      <c r="T485" s="2" t="s">
        <v>13</v>
      </c>
      <c r="U485" s="3">
        <v>1</v>
      </c>
      <c r="V485" s="3">
        <v>2</v>
      </c>
      <c r="W485" s="4" t="s">
        <v>5137</v>
      </c>
      <c r="X485" s="4" t="s">
        <v>5137</v>
      </c>
      <c r="Y485" s="4" t="s">
        <v>5137</v>
      </c>
      <c r="Z485" s="4" t="s">
        <v>5137</v>
      </c>
      <c r="AA485" s="3">
        <v>137</v>
      </c>
      <c r="AB485" s="3">
        <v>120</v>
      </c>
      <c r="AC485" s="3">
        <v>406</v>
      </c>
      <c r="AD485" s="3">
        <v>3</v>
      </c>
      <c r="AE485" s="9">
        <v>4</v>
      </c>
      <c r="AF485" s="9">
        <v>8</v>
      </c>
      <c r="AG485" s="9">
        <v>20</v>
      </c>
      <c r="AH485" s="3">
        <v>0</v>
      </c>
      <c r="AI485" s="3">
        <v>5</v>
      </c>
      <c r="AJ485" s="3">
        <v>2</v>
      </c>
      <c r="AK485" s="3">
        <v>5</v>
      </c>
      <c r="AL485" s="3">
        <v>4</v>
      </c>
      <c r="AM485" s="3">
        <v>11</v>
      </c>
      <c r="AN485" s="3">
        <v>2</v>
      </c>
      <c r="AO485" s="3">
        <v>3</v>
      </c>
      <c r="AP485" s="3">
        <v>0</v>
      </c>
      <c r="AQ485" s="3">
        <v>0</v>
      </c>
      <c r="AR485" s="2" t="s">
        <v>5</v>
      </c>
      <c r="AS485" s="2" t="s">
        <v>46</v>
      </c>
      <c r="AT485" s="5" t="str">
        <f>HYPERLINK("http://catalog.hathitrust.org/Record/010015014","HathiTrust Record")</f>
        <v>HathiTrust Record</v>
      </c>
      <c r="AU485" s="5" t="str">
        <f>HYPERLINK("https://creighton-primo.hosted.exlibrisgroup.com/primo-explore/search?tab=default_tab&amp;search_scope=EVERYTHING&amp;vid=01CRU&amp;lang=en_US&amp;offset=0&amp;query=any,contains,991004510319702656","Catalog Record")</f>
        <v>Catalog Record</v>
      </c>
      <c r="AV485" s="5" t="str">
        <f>HYPERLINK("http://www.worldcat.org/oclc/536526","WorldCat Record")</f>
        <v>WorldCat Record</v>
      </c>
      <c r="AW485" s="2" t="s">
        <v>6074</v>
      </c>
      <c r="AX485" s="2" t="s">
        <v>6075</v>
      </c>
      <c r="AY485" s="2" t="s">
        <v>6076</v>
      </c>
      <c r="AZ485" s="2" t="s">
        <v>6076</v>
      </c>
      <c r="BA485" s="2" t="s">
        <v>6077</v>
      </c>
      <c r="BB485" s="2" t="s">
        <v>20</v>
      </c>
      <c r="BE485" s="2" t="s">
        <v>6080</v>
      </c>
      <c r="BF485" s="2" t="s">
        <v>6081</v>
      </c>
    </row>
    <row r="486" spans="1:58" ht="39.75" customHeight="1" x14ac:dyDescent="0.25">
      <c r="A486" s="7" t="s">
        <v>5</v>
      </c>
      <c r="B486" s="1" t="s">
        <v>0</v>
      </c>
      <c r="C486" s="1" t="s">
        <v>1</v>
      </c>
      <c r="D486" s="1" t="s">
        <v>6082</v>
      </c>
      <c r="E486" s="1" t="s">
        <v>6083</v>
      </c>
      <c r="F486" s="1" t="s">
        <v>6084</v>
      </c>
      <c r="G486" s="2" t="s">
        <v>5110</v>
      </c>
      <c r="H486" s="2" t="s">
        <v>46</v>
      </c>
      <c r="I486" s="2" t="s">
        <v>6</v>
      </c>
      <c r="J486" s="2" t="s">
        <v>5</v>
      </c>
      <c r="K486" s="2" t="s">
        <v>5</v>
      </c>
      <c r="L486" s="2" t="s">
        <v>7</v>
      </c>
      <c r="M486" s="1" t="s">
        <v>6085</v>
      </c>
      <c r="N486" s="1" t="s">
        <v>6086</v>
      </c>
      <c r="O486" s="2" t="s">
        <v>886</v>
      </c>
      <c r="Q486" s="2" t="s">
        <v>1151</v>
      </c>
      <c r="R486" s="2" t="s">
        <v>1152</v>
      </c>
      <c r="S486" s="1" t="s">
        <v>6087</v>
      </c>
      <c r="T486" s="2" t="s">
        <v>13</v>
      </c>
      <c r="U486" s="3">
        <v>2</v>
      </c>
      <c r="V486" s="3">
        <v>8</v>
      </c>
      <c r="W486" s="4" t="s">
        <v>5927</v>
      </c>
      <c r="X486" s="4" t="s">
        <v>6088</v>
      </c>
      <c r="Y486" s="4" t="s">
        <v>5706</v>
      </c>
      <c r="Z486" s="4" t="s">
        <v>5706</v>
      </c>
      <c r="AA486" s="3">
        <v>216</v>
      </c>
      <c r="AB486" s="3">
        <v>175</v>
      </c>
      <c r="AC486" s="3">
        <v>178</v>
      </c>
      <c r="AD486" s="3">
        <v>2</v>
      </c>
      <c r="AE486" s="9">
        <v>2</v>
      </c>
      <c r="AF486" s="9">
        <v>10</v>
      </c>
      <c r="AG486" s="9">
        <v>10</v>
      </c>
      <c r="AH486" s="3">
        <v>2</v>
      </c>
      <c r="AI486" s="3">
        <v>2</v>
      </c>
      <c r="AJ486" s="3">
        <v>4</v>
      </c>
      <c r="AK486" s="3">
        <v>4</v>
      </c>
      <c r="AL486" s="3">
        <v>6</v>
      </c>
      <c r="AM486" s="3">
        <v>6</v>
      </c>
      <c r="AN486" s="3">
        <v>1</v>
      </c>
      <c r="AO486" s="3">
        <v>1</v>
      </c>
      <c r="AP486" s="3">
        <v>0</v>
      </c>
      <c r="AQ486" s="3">
        <v>0</v>
      </c>
      <c r="AR486" s="2" t="s">
        <v>5</v>
      </c>
      <c r="AS486" s="2" t="s">
        <v>46</v>
      </c>
      <c r="AT486" s="5" t="str">
        <f>HYPERLINK("http://catalog.hathitrust.org/Record/007969500","HathiTrust Record")</f>
        <v>HathiTrust Record</v>
      </c>
      <c r="AU486" s="5" t="str">
        <f>HYPERLINK("https://creighton-primo.hosted.exlibrisgroup.com/primo-explore/search?tab=default_tab&amp;search_scope=EVERYTHING&amp;vid=01CRU&amp;lang=en_US&amp;offset=0&amp;query=any,contains,991003663669702656","Catalog Record")</f>
        <v>Catalog Record</v>
      </c>
      <c r="AV486" s="5" t="str">
        <f>HYPERLINK("http://www.worldcat.org/oclc/1275976","WorldCat Record")</f>
        <v>WorldCat Record</v>
      </c>
      <c r="AW486" s="2" t="s">
        <v>6089</v>
      </c>
      <c r="AX486" s="2" t="s">
        <v>6090</v>
      </c>
      <c r="AY486" s="2" t="s">
        <v>6091</v>
      </c>
      <c r="AZ486" s="2" t="s">
        <v>6091</v>
      </c>
      <c r="BA486" s="2" t="s">
        <v>6092</v>
      </c>
      <c r="BB486" s="2" t="s">
        <v>20</v>
      </c>
      <c r="BD486" s="2" t="s">
        <v>6093</v>
      </c>
      <c r="BE486" s="2" t="s">
        <v>6094</v>
      </c>
      <c r="BF486" s="2" t="s">
        <v>6095</v>
      </c>
    </row>
    <row r="487" spans="1:58" ht="39.75" customHeight="1" x14ac:dyDescent="0.25">
      <c r="A487" s="7" t="s">
        <v>5</v>
      </c>
      <c r="B487" s="1" t="s">
        <v>0</v>
      </c>
      <c r="C487" s="1" t="s">
        <v>1</v>
      </c>
      <c r="D487" s="1" t="s">
        <v>6082</v>
      </c>
      <c r="E487" s="1" t="s">
        <v>6083</v>
      </c>
      <c r="F487" s="1" t="s">
        <v>6084</v>
      </c>
      <c r="G487" s="2" t="s">
        <v>2083</v>
      </c>
      <c r="H487" s="2" t="s">
        <v>46</v>
      </c>
      <c r="I487" s="2" t="s">
        <v>6</v>
      </c>
      <c r="J487" s="2" t="s">
        <v>5</v>
      </c>
      <c r="K487" s="2" t="s">
        <v>5</v>
      </c>
      <c r="L487" s="2" t="s">
        <v>7</v>
      </c>
      <c r="M487" s="1" t="s">
        <v>6085</v>
      </c>
      <c r="N487" s="1" t="s">
        <v>6086</v>
      </c>
      <c r="O487" s="2" t="s">
        <v>886</v>
      </c>
      <c r="Q487" s="2" t="s">
        <v>1151</v>
      </c>
      <c r="R487" s="2" t="s">
        <v>1152</v>
      </c>
      <c r="S487" s="1" t="s">
        <v>6087</v>
      </c>
      <c r="T487" s="2" t="s">
        <v>13</v>
      </c>
      <c r="U487" s="3">
        <v>2</v>
      </c>
      <c r="V487" s="3">
        <v>8</v>
      </c>
      <c r="W487" s="4" t="s">
        <v>6088</v>
      </c>
      <c r="X487" s="4" t="s">
        <v>6088</v>
      </c>
      <c r="Y487" s="4" t="s">
        <v>5706</v>
      </c>
      <c r="Z487" s="4" t="s">
        <v>5706</v>
      </c>
      <c r="AA487" s="3">
        <v>216</v>
      </c>
      <c r="AB487" s="3">
        <v>175</v>
      </c>
      <c r="AC487" s="3">
        <v>178</v>
      </c>
      <c r="AD487" s="3">
        <v>2</v>
      </c>
      <c r="AE487" s="9">
        <v>2</v>
      </c>
      <c r="AF487" s="9">
        <v>10</v>
      </c>
      <c r="AG487" s="9">
        <v>10</v>
      </c>
      <c r="AH487" s="3">
        <v>2</v>
      </c>
      <c r="AI487" s="3">
        <v>2</v>
      </c>
      <c r="AJ487" s="3">
        <v>4</v>
      </c>
      <c r="AK487" s="3">
        <v>4</v>
      </c>
      <c r="AL487" s="3">
        <v>6</v>
      </c>
      <c r="AM487" s="3">
        <v>6</v>
      </c>
      <c r="AN487" s="3">
        <v>1</v>
      </c>
      <c r="AO487" s="3">
        <v>1</v>
      </c>
      <c r="AP487" s="3">
        <v>0</v>
      </c>
      <c r="AQ487" s="3">
        <v>0</v>
      </c>
      <c r="AR487" s="2" t="s">
        <v>5</v>
      </c>
      <c r="AS487" s="2" t="s">
        <v>46</v>
      </c>
      <c r="AT487" s="5" t="str">
        <f>HYPERLINK("http://catalog.hathitrust.org/Record/007969500","HathiTrust Record")</f>
        <v>HathiTrust Record</v>
      </c>
      <c r="AU487" s="5" t="str">
        <f>HYPERLINK("https://creighton-primo.hosted.exlibrisgroup.com/primo-explore/search?tab=default_tab&amp;search_scope=EVERYTHING&amp;vid=01CRU&amp;lang=en_US&amp;offset=0&amp;query=any,contains,991003663669702656","Catalog Record")</f>
        <v>Catalog Record</v>
      </c>
      <c r="AV487" s="5" t="str">
        <f>HYPERLINK("http://www.worldcat.org/oclc/1275976","WorldCat Record")</f>
        <v>WorldCat Record</v>
      </c>
      <c r="AW487" s="2" t="s">
        <v>6089</v>
      </c>
      <c r="AX487" s="2" t="s">
        <v>6090</v>
      </c>
      <c r="AY487" s="2" t="s">
        <v>6091</v>
      </c>
      <c r="AZ487" s="2" t="s">
        <v>6091</v>
      </c>
      <c r="BA487" s="2" t="s">
        <v>6092</v>
      </c>
      <c r="BB487" s="2" t="s">
        <v>20</v>
      </c>
      <c r="BD487" s="2" t="s">
        <v>6093</v>
      </c>
      <c r="BE487" s="2" t="s">
        <v>6096</v>
      </c>
      <c r="BF487" s="2" t="s">
        <v>6097</v>
      </c>
    </row>
    <row r="488" spans="1:58" ht="39.75" customHeight="1" x14ac:dyDescent="0.25">
      <c r="A488" s="7" t="s">
        <v>5</v>
      </c>
      <c r="B488" s="1" t="s">
        <v>0</v>
      </c>
      <c r="C488" s="1" t="s">
        <v>1</v>
      </c>
      <c r="D488" s="1" t="s">
        <v>6082</v>
      </c>
      <c r="E488" s="1" t="s">
        <v>6083</v>
      </c>
      <c r="F488" s="1" t="s">
        <v>6084</v>
      </c>
      <c r="G488" s="2" t="s">
        <v>5126</v>
      </c>
      <c r="H488" s="2" t="s">
        <v>46</v>
      </c>
      <c r="I488" s="2" t="s">
        <v>6</v>
      </c>
      <c r="J488" s="2" t="s">
        <v>5</v>
      </c>
      <c r="K488" s="2" t="s">
        <v>5</v>
      </c>
      <c r="L488" s="2" t="s">
        <v>7</v>
      </c>
      <c r="M488" s="1" t="s">
        <v>6085</v>
      </c>
      <c r="N488" s="1" t="s">
        <v>6086</v>
      </c>
      <c r="O488" s="2" t="s">
        <v>886</v>
      </c>
      <c r="Q488" s="2" t="s">
        <v>1151</v>
      </c>
      <c r="R488" s="2" t="s">
        <v>1152</v>
      </c>
      <c r="S488" s="1" t="s">
        <v>6087</v>
      </c>
      <c r="T488" s="2" t="s">
        <v>13</v>
      </c>
      <c r="U488" s="3">
        <v>2</v>
      </c>
      <c r="V488" s="3">
        <v>8</v>
      </c>
      <c r="W488" s="4" t="s">
        <v>5927</v>
      </c>
      <c r="X488" s="4" t="s">
        <v>6088</v>
      </c>
      <c r="Y488" s="4" t="s">
        <v>5706</v>
      </c>
      <c r="Z488" s="4" t="s">
        <v>5706</v>
      </c>
      <c r="AA488" s="3">
        <v>216</v>
      </c>
      <c r="AB488" s="3">
        <v>175</v>
      </c>
      <c r="AC488" s="3">
        <v>178</v>
      </c>
      <c r="AD488" s="3">
        <v>2</v>
      </c>
      <c r="AE488" s="9">
        <v>2</v>
      </c>
      <c r="AF488" s="9">
        <v>10</v>
      </c>
      <c r="AG488" s="9">
        <v>10</v>
      </c>
      <c r="AH488" s="3">
        <v>2</v>
      </c>
      <c r="AI488" s="3">
        <v>2</v>
      </c>
      <c r="AJ488" s="3">
        <v>4</v>
      </c>
      <c r="AK488" s="3">
        <v>4</v>
      </c>
      <c r="AL488" s="3">
        <v>6</v>
      </c>
      <c r="AM488" s="3">
        <v>6</v>
      </c>
      <c r="AN488" s="3">
        <v>1</v>
      </c>
      <c r="AO488" s="3">
        <v>1</v>
      </c>
      <c r="AP488" s="3">
        <v>0</v>
      </c>
      <c r="AQ488" s="3">
        <v>0</v>
      </c>
      <c r="AR488" s="2" t="s">
        <v>5</v>
      </c>
      <c r="AS488" s="2" t="s">
        <v>46</v>
      </c>
      <c r="AT488" s="5" t="str">
        <f>HYPERLINK("http://catalog.hathitrust.org/Record/007969500","HathiTrust Record")</f>
        <v>HathiTrust Record</v>
      </c>
      <c r="AU488" s="5" t="str">
        <f>HYPERLINK("https://creighton-primo.hosted.exlibrisgroup.com/primo-explore/search?tab=default_tab&amp;search_scope=EVERYTHING&amp;vid=01CRU&amp;lang=en_US&amp;offset=0&amp;query=any,contains,991003663669702656","Catalog Record")</f>
        <v>Catalog Record</v>
      </c>
      <c r="AV488" s="5" t="str">
        <f>HYPERLINK("http://www.worldcat.org/oclc/1275976","WorldCat Record")</f>
        <v>WorldCat Record</v>
      </c>
      <c r="AW488" s="2" t="s">
        <v>6089</v>
      </c>
      <c r="AX488" s="2" t="s">
        <v>6090</v>
      </c>
      <c r="AY488" s="2" t="s">
        <v>6091</v>
      </c>
      <c r="AZ488" s="2" t="s">
        <v>6091</v>
      </c>
      <c r="BA488" s="2" t="s">
        <v>6092</v>
      </c>
      <c r="BB488" s="2" t="s">
        <v>20</v>
      </c>
      <c r="BD488" s="2" t="s">
        <v>6093</v>
      </c>
      <c r="BE488" s="2" t="s">
        <v>6098</v>
      </c>
      <c r="BF488" s="2" t="s">
        <v>6099</v>
      </c>
    </row>
    <row r="489" spans="1:58" ht="39.75" customHeight="1" x14ac:dyDescent="0.25">
      <c r="A489" s="7" t="s">
        <v>5</v>
      </c>
      <c r="B489" s="1" t="s">
        <v>0</v>
      </c>
      <c r="C489" s="1" t="s">
        <v>1</v>
      </c>
      <c r="D489" s="1" t="s">
        <v>6100</v>
      </c>
      <c r="E489" s="1" t="s">
        <v>6101</v>
      </c>
      <c r="F489" s="1" t="s">
        <v>6102</v>
      </c>
      <c r="H489" s="2" t="s">
        <v>5</v>
      </c>
      <c r="I489" s="2" t="s">
        <v>6</v>
      </c>
      <c r="J489" s="2" t="s">
        <v>5</v>
      </c>
      <c r="K489" s="2" t="s">
        <v>5</v>
      </c>
      <c r="L489" s="2" t="s">
        <v>7</v>
      </c>
      <c r="M489" s="1" t="s">
        <v>6085</v>
      </c>
      <c r="N489" s="1" t="s">
        <v>6103</v>
      </c>
      <c r="O489" s="2" t="s">
        <v>1418</v>
      </c>
      <c r="Q489" s="2" t="s">
        <v>1151</v>
      </c>
      <c r="R489" s="2" t="s">
        <v>1152</v>
      </c>
      <c r="S489" s="1" t="s">
        <v>6104</v>
      </c>
      <c r="T489" s="2" t="s">
        <v>13</v>
      </c>
      <c r="U489" s="3">
        <v>2</v>
      </c>
      <c r="V489" s="3">
        <v>2</v>
      </c>
      <c r="W489" s="4" t="s">
        <v>5927</v>
      </c>
      <c r="X489" s="4" t="s">
        <v>5927</v>
      </c>
      <c r="Y489" s="4" t="s">
        <v>5706</v>
      </c>
      <c r="Z489" s="4" t="s">
        <v>5706</v>
      </c>
      <c r="AA489" s="3">
        <v>380</v>
      </c>
      <c r="AB489" s="3">
        <v>335</v>
      </c>
      <c r="AC489" s="3">
        <v>341</v>
      </c>
      <c r="AD489" s="3">
        <v>3</v>
      </c>
      <c r="AE489" s="9">
        <v>3</v>
      </c>
      <c r="AF489" s="9">
        <v>17</v>
      </c>
      <c r="AG489" s="9">
        <v>17</v>
      </c>
      <c r="AH489" s="3">
        <v>5</v>
      </c>
      <c r="AI489" s="3">
        <v>5</v>
      </c>
      <c r="AJ489" s="3">
        <v>5</v>
      </c>
      <c r="AK489" s="3">
        <v>5</v>
      </c>
      <c r="AL489" s="3">
        <v>9</v>
      </c>
      <c r="AM489" s="3">
        <v>9</v>
      </c>
      <c r="AN489" s="3">
        <v>2</v>
      </c>
      <c r="AO489" s="3">
        <v>2</v>
      </c>
      <c r="AP489" s="3">
        <v>0</v>
      </c>
      <c r="AQ489" s="3">
        <v>0</v>
      </c>
      <c r="AR489" s="2" t="s">
        <v>5</v>
      </c>
      <c r="AS489" s="2" t="s">
        <v>46</v>
      </c>
      <c r="AT489" s="5" t="str">
        <f>HYPERLINK("http://catalog.hathitrust.org/Record/001037005","HathiTrust Record")</f>
        <v>HathiTrust Record</v>
      </c>
      <c r="AU489" s="5" t="str">
        <f>HYPERLINK("https://creighton-primo.hosted.exlibrisgroup.com/primo-explore/search?tab=default_tab&amp;search_scope=EVERYTHING&amp;vid=01CRU&amp;lang=en_US&amp;offset=0&amp;query=any,contains,991001178839702656","Catalog Record")</f>
        <v>Catalog Record</v>
      </c>
      <c r="AV489" s="5" t="str">
        <f>HYPERLINK("http://www.worldcat.org/oclc/189509","WorldCat Record")</f>
        <v>WorldCat Record</v>
      </c>
      <c r="AW489" s="2" t="s">
        <v>6105</v>
      </c>
      <c r="AX489" s="2" t="s">
        <v>6106</v>
      </c>
      <c r="AY489" s="2" t="s">
        <v>6107</v>
      </c>
      <c r="AZ489" s="2" t="s">
        <v>6107</v>
      </c>
      <c r="BA489" s="2" t="s">
        <v>6108</v>
      </c>
      <c r="BB489" s="2" t="s">
        <v>20</v>
      </c>
      <c r="BE489" s="2" t="s">
        <v>6109</v>
      </c>
      <c r="BF489" s="2" t="s">
        <v>6110</v>
      </c>
    </row>
    <row r="490" spans="1:58" ht="39.75" customHeight="1" x14ac:dyDescent="0.25">
      <c r="A490" s="7" t="s">
        <v>5</v>
      </c>
      <c r="B490" s="1" t="s">
        <v>0</v>
      </c>
      <c r="C490" s="1" t="s">
        <v>1</v>
      </c>
      <c r="D490" s="1" t="s">
        <v>6111</v>
      </c>
      <c r="E490" s="1" t="s">
        <v>6112</v>
      </c>
      <c r="F490" s="1" t="s">
        <v>6113</v>
      </c>
      <c r="H490" s="2" t="s">
        <v>5</v>
      </c>
      <c r="I490" s="2" t="s">
        <v>6</v>
      </c>
      <c r="J490" s="2" t="s">
        <v>5</v>
      </c>
      <c r="K490" s="2" t="s">
        <v>5</v>
      </c>
      <c r="L490" s="2" t="s">
        <v>7</v>
      </c>
      <c r="M490" s="1" t="s">
        <v>6114</v>
      </c>
      <c r="N490" s="1" t="s">
        <v>6115</v>
      </c>
      <c r="O490" s="2" t="s">
        <v>494</v>
      </c>
      <c r="P490" s="1" t="s">
        <v>2908</v>
      </c>
      <c r="Q490" s="2" t="s">
        <v>1151</v>
      </c>
      <c r="R490" s="2" t="s">
        <v>1152</v>
      </c>
      <c r="S490" s="1" t="s">
        <v>6116</v>
      </c>
      <c r="T490" s="2" t="s">
        <v>13</v>
      </c>
      <c r="U490" s="3">
        <v>3</v>
      </c>
      <c r="V490" s="3">
        <v>3</v>
      </c>
      <c r="W490" s="4" t="s">
        <v>6117</v>
      </c>
      <c r="X490" s="4" t="s">
        <v>6117</v>
      </c>
      <c r="Y490" s="4" t="s">
        <v>5333</v>
      </c>
      <c r="Z490" s="4" t="s">
        <v>5333</v>
      </c>
      <c r="AA490" s="3">
        <v>221</v>
      </c>
      <c r="AB490" s="3">
        <v>168</v>
      </c>
      <c r="AC490" s="3">
        <v>175</v>
      </c>
      <c r="AD490" s="3">
        <v>1</v>
      </c>
      <c r="AE490" s="9">
        <v>1</v>
      </c>
      <c r="AF490" s="9">
        <v>7</v>
      </c>
      <c r="AG490" s="9">
        <v>7</v>
      </c>
      <c r="AH490" s="3">
        <v>1</v>
      </c>
      <c r="AI490" s="3">
        <v>1</v>
      </c>
      <c r="AJ490" s="3">
        <v>2</v>
      </c>
      <c r="AK490" s="3">
        <v>2</v>
      </c>
      <c r="AL490" s="3">
        <v>5</v>
      </c>
      <c r="AM490" s="3">
        <v>5</v>
      </c>
      <c r="AN490" s="3">
        <v>0</v>
      </c>
      <c r="AO490" s="3">
        <v>0</v>
      </c>
      <c r="AP490" s="3">
        <v>0</v>
      </c>
      <c r="AQ490" s="3">
        <v>0</v>
      </c>
      <c r="AR490" s="2" t="s">
        <v>5</v>
      </c>
      <c r="AS490" s="2" t="s">
        <v>46</v>
      </c>
      <c r="AT490" s="5" t="str">
        <f>HYPERLINK("http://catalog.hathitrust.org/Record/000043437","HathiTrust Record")</f>
        <v>HathiTrust Record</v>
      </c>
      <c r="AU490" s="5" t="str">
        <f>HYPERLINK("https://creighton-primo.hosted.exlibrisgroup.com/primo-explore/search?tab=default_tab&amp;search_scope=EVERYTHING&amp;vid=01CRU&amp;lang=en_US&amp;offset=0&amp;query=any,contains,991004685669702656","Catalog Record")</f>
        <v>Catalog Record</v>
      </c>
      <c r="AV490" s="5" t="str">
        <f>HYPERLINK("http://www.worldcat.org/oclc/4592281","WorldCat Record")</f>
        <v>WorldCat Record</v>
      </c>
      <c r="AW490" s="2" t="s">
        <v>6118</v>
      </c>
      <c r="AX490" s="2" t="s">
        <v>6119</v>
      </c>
      <c r="AY490" s="2" t="s">
        <v>6120</v>
      </c>
      <c r="AZ490" s="2" t="s">
        <v>6120</v>
      </c>
      <c r="BA490" s="2" t="s">
        <v>6121</v>
      </c>
      <c r="BB490" s="2" t="s">
        <v>20</v>
      </c>
      <c r="BD490" s="2" t="s">
        <v>6122</v>
      </c>
      <c r="BE490" s="2" t="s">
        <v>6123</v>
      </c>
      <c r="BF490" s="2" t="s">
        <v>6124</v>
      </c>
    </row>
    <row r="491" spans="1:58" ht="39.75" customHeight="1" x14ac:dyDescent="0.25">
      <c r="A491" s="7" t="s">
        <v>5</v>
      </c>
      <c r="B491" s="1" t="s">
        <v>0</v>
      </c>
      <c r="C491" s="1" t="s">
        <v>1</v>
      </c>
      <c r="D491" s="1" t="s">
        <v>6125</v>
      </c>
      <c r="E491" s="1" t="s">
        <v>6126</v>
      </c>
      <c r="F491" s="1" t="s">
        <v>6127</v>
      </c>
      <c r="H491" s="2" t="s">
        <v>5</v>
      </c>
      <c r="I491" s="2" t="s">
        <v>6</v>
      </c>
      <c r="J491" s="2" t="s">
        <v>5</v>
      </c>
      <c r="K491" s="2" t="s">
        <v>5</v>
      </c>
      <c r="L491" s="2" t="s">
        <v>7</v>
      </c>
      <c r="M491" s="1" t="s">
        <v>6128</v>
      </c>
      <c r="N491" s="1" t="s">
        <v>6129</v>
      </c>
      <c r="O491" s="2" t="s">
        <v>3941</v>
      </c>
      <c r="Q491" s="2" t="s">
        <v>60</v>
      </c>
      <c r="R491" s="2" t="s">
        <v>6130</v>
      </c>
      <c r="S491" s="1" t="s">
        <v>6131</v>
      </c>
      <c r="T491" s="2" t="s">
        <v>13</v>
      </c>
      <c r="U491" s="3">
        <v>1</v>
      </c>
      <c r="V491" s="3">
        <v>1</v>
      </c>
      <c r="W491" s="4" t="s">
        <v>6132</v>
      </c>
      <c r="X491" s="4" t="s">
        <v>6132</v>
      </c>
      <c r="Y491" s="4" t="s">
        <v>6132</v>
      </c>
      <c r="Z491" s="4" t="s">
        <v>6132</v>
      </c>
      <c r="AA491" s="3">
        <v>120</v>
      </c>
      <c r="AB491" s="3">
        <v>91</v>
      </c>
      <c r="AC491" s="3">
        <v>93</v>
      </c>
      <c r="AD491" s="3">
        <v>2</v>
      </c>
      <c r="AE491" s="9">
        <v>2</v>
      </c>
      <c r="AF491" s="9">
        <v>7</v>
      </c>
      <c r="AG491" s="9">
        <v>7</v>
      </c>
      <c r="AH491" s="3">
        <v>0</v>
      </c>
      <c r="AI491" s="3">
        <v>0</v>
      </c>
      <c r="AJ491" s="3">
        <v>3</v>
      </c>
      <c r="AK491" s="3">
        <v>3</v>
      </c>
      <c r="AL491" s="3">
        <v>5</v>
      </c>
      <c r="AM491" s="3">
        <v>5</v>
      </c>
      <c r="AN491" s="3">
        <v>1</v>
      </c>
      <c r="AO491" s="3">
        <v>1</v>
      </c>
      <c r="AP491" s="3">
        <v>0</v>
      </c>
      <c r="AQ491" s="3">
        <v>0</v>
      </c>
      <c r="AR491" s="2" t="s">
        <v>5</v>
      </c>
      <c r="AS491" s="2" t="s">
        <v>46</v>
      </c>
      <c r="AT491" s="5" t="str">
        <f>HYPERLINK("http://catalog.hathitrust.org/Record/004198922","HathiTrust Record")</f>
        <v>HathiTrust Record</v>
      </c>
      <c r="AU491" s="5" t="str">
        <f>HYPERLINK("https://creighton-primo.hosted.exlibrisgroup.com/primo-explore/search?tab=default_tab&amp;search_scope=EVERYTHING&amp;vid=01CRU&amp;lang=en_US&amp;offset=0&amp;query=any,contains,991004151989702656","Catalog Record")</f>
        <v>Catalog Record</v>
      </c>
      <c r="AV491" s="5" t="str">
        <f>HYPERLINK("http://www.worldcat.org/oclc/46692661","WorldCat Record")</f>
        <v>WorldCat Record</v>
      </c>
      <c r="AW491" s="2" t="s">
        <v>6133</v>
      </c>
      <c r="AX491" s="2" t="s">
        <v>6134</v>
      </c>
      <c r="AY491" s="2" t="s">
        <v>6135</v>
      </c>
      <c r="AZ491" s="2" t="s">
        <v>6135</v>
      </c>
      <c r="BA491" s="2" t="s">
        <v>6136</v>
      </c>
      <c r="BB491" s="2" t="s">
        <v>20</v>
      </c>
      <c r="BD491" s="2" t="s">
        <v>6137</v>
      </c>
      <c r="BE491" s="2" t="s">
        <v>6138</v>
      </c>
      <c r="BF491" s="2" t="s">
        <v>6139</v>
      </c>
    </row>
    <row r="492" spans="1:58" ht="39.75" customHeight="1" x14ac:dyDescent="0.25">
      <c r="A492" s="7" t="s">
        <v>5</v>
      </c>
      <c r="B492" s="1" t="s">
        <v>0</v>
      </c>
      <c r="C492" s="1" t="s">
        <v>1</v>
      </c>
      <c r="D492" s="1" t="s">
        <v>6140</v>
      </c>
      <c r="E492" s="1" t="s">
        <v>6141</v>
      </c>
      <c r="F492" s="1" t="s">
        <v>6142</v>
      </c>
      <c r="H492" s="2" t="s">
        <v>5</v>
      </c>
      <c r="I492" s="2" t="s">
        <v>6</v>
      </c>
      <c r="J492" s="2" t="s">
        <v>5</v>
      </c>
      <c r="K492" s="2" t="s">
        <v>5</v>
      </c>
      <c r="L492" s="2" t="s">
        <v>7</v>
      </c>
      <c r="M492" s="1" t="s">
        <v>6143</v>
      </c>
      <c r="N492" s="1" t="s">
        <v>6144</v>
      </c>
      <c r="O492" s="2" t="s">
        <v>2610</v>
      </c>
      <c r="Q492" s="2" t="s">
        <v>1151</v>
      </c>
      <c r="R492" s="2" t="s">
        <v>1152</v>
      </c>
      <c r="S492" s="1" t="s">
        <v>6145</v>
      </c>
      <c r="T492" s="2" t="s">
        <v>13</v>
      </c>
      <c r="U492" s="3">
        <v>4</v>
      </c>
      <c r="V492" s="3">
        <v>4</v>
      </c>
      <c r="W492" s="4" t="s">
        <v>5465</v>
      </c>
      <c r="X492" s="4" t="s">
        <v>5465</v>
      </c>
      <c r="Y492" s="4" t="s">
        <v>6146</v>
      </c>
      <c r="Z492" s="4" t="s">
        <v>6146</v>
      </c>
      <c r="AA492" s="3">
        <v>99</v>
      </c>
      <c r="AB492" s="3">
        <v>69</v>
      </c>
      <c r="AC492" s="3">
        <v>69</v>
      </c>
      <c r="AD492" s="3">
        <v>1</v>
      </c>
      <c r="AE492" s="9">
        <v>1</v>
      </c>
      <c r="AF492" s="9">
        <v>4</v>
      </c>
      <c r="AG492" s="9">
        <v>4</v>
      </c>
      <c r="AH492" s="3">
        <v>1</v>
      </c>
      <c r="AI492" s="3">
        <v>1</v>
      </c>
      <c r="AJ492" s="3">
        <v>3</v>
      </c>
      <c r="AK492" s="3">
        <v>3</v>
      </c>
      <c r="AL492" s="3">
        <v>3</v>
      </c>
      <c r="AM492" s="3">
        <v>3</v>
      </c>
      <c r="AN492" s="3">
        <v>0</v>
      </c>
      <c r="AO492" s="3">
        <v>0</v>
      </c>
      <c r="AP492" s="3">
        <v>0</v>
      </c>
      <c r="AQ492" s="3">
        <v>0</v>
      </c>
      <c r="AR492" s="2" t="s">
        <v>5</v>
      </c>
      <c r="AS492" s="2" t="s">
        <v>5</v>
      </c>
      <c r="AU492" s="5" t="str">
        <f>HYPERLINK("https://creighton-primo.hosted.exlibrisgroup.com/primo-explore/search?tab=default_tab&amp;search_scope=EVERYTHING&amp;vid=01CRU&amp;lang=en_US&amp;offset=0&amp;query=any,contains,991001655579702656","Catalog Record")</f>
        <v>Catalog Record</v>
      </c>
      <c r="AV492" s="5" t="str">
        <f>HYPERLINK("http://www.worldcat.org/oclc/21123166","WorldCat Record")</f>
        <v>WorldCat Record</v>
      </c>
      <c r="AW492" s="2" t="s">
        <v>6147</v>
      </c>
      <c r="AX492" s="2" t="s">
        <v>6148</v>
      </c>
      <c r="AY492" s="2" t="s">
        <v>6149</v>
      </c>
      <c r="AZ492" s="2" t="s">
        <v>6149</v>
      </c>
      <c r="BA492" s="2" t="s">
        <v>6150</v>
      </c>
      <c r="BB492" s="2" t="s">
        <v>20</v>
      </c>
      <c r="BD492" s="2" t="s">
        <v>6151</v>
      </c>
      <c r="BE492" s="2" t="s">
        <v>6152</v>
      </c>
      <c r="BF492" s="2" t="s">
        <v>6153</v>
      </c>
    </row>
    <row r="493" spans="1:58" ht="39.75" customHeight="1" x14ac:dyDescent="0.25">
      <c r="A493" s="7" t="s">
        <v>5</v>
      </c>
      <c r="B493" s="1" t="s">
        <v>0</v>
      </c>
      <c r="C493" s="1" t="s">
        <v>1</v>
      </c>
      <c r="D493" s="1" t="s">
        <v>6154</v>
      </c>
      <c r="E493" s="1" t="s">
        <v>6155</v>
      </c>
      <c r="F493" s="1" t="s">
        <v>6156</v>
      </c>
      <c r="H493" s="2" t="s">
        <v>5</v>
      </c>
      <c r="I493" s="2" t="s">
        <v>6</v>
      </c>
      <c r="J493" s="2" t="s">
        <v>5</v>
      </c>
      <c r="K493" s="2" t="s">
        <v>5</v>
      </c>
      <c r="L493" s="2" t="s">
        <v>7</v>
      </c>
      <c r="M493" s="1" t="s">
        <v>6143</v>
      </c>
      <c r="N493" s="1" t="s">
        <v>6157</v>
      </c>
      <c r="O493" s="2" t="s">
        <v>162</v>
      </c>
      <c r="Q493" s="2" t="s">
        <v>1151</v>
      </c>
      <c r="R493" s="2" t="s">
        <v>1152</v>
      </c>
      <c r="S493" s="1" t="s">
        <v>6158</v>
      </c>
      <c r="T493" s="2" t="s">
        <v>13</v>
      </c>
      <c r="U493" s="3">
        <v>5</v>
      </c>
      <c r="V493" s="3">
        <v>5</v>
      </c>
      <c r="W493" s="4" t="s">
        <v>5465</v>
      </c>
      <c r="X493" s="4" t="s">
        <v>5465</v>
      </c>
      <c r="Y493" s="4" t="s">
        <v>5706</v>
      </c>
      <c r="Z493" s="4" t="s">
        <v>5706</v>
      </c>
      <c r="AA493" s="3">
        <v>295</v>
      </c>
      <c r="AB493" s="3">
        <v>220</v>
      </c>
      <c r="AC493" s="3">
        <v>223</v>
      </c>
      <c r="AD493" s="3">
        <v>3</v>
      </c>
      <c r="AE493" s="9">
        <v>3</v>
      </c>
      <c r="AF493" s="9">
        <v>10</v>
      </c>
      <c r="AG493" s="9">
        <v>10</v>
      </c>
      <c r="AH493" s="3">
        <v>1</v>
      </c>
      <c r="AI493" s="3">
        <v>1</v>
      </c>
      <c r="AJ493" s="3">
        <v>2</v>
      </c>
      <c r="AK493" s="3">
        <v>2</v>
      </c>
      <c r="AL493" s="3">
        <v>6</v>
      </c>
      <c r="AM493" s="3">
        <v>6</v>
      </c>
      <c r="AN493" s="3">
        <v>2</v>
      </c>
      <c r="AO493" s="3">
        <v>2</v>
      </c>
      <c r="AP493" s="3">
        <v>0</v>
      </c>
      <c r="AQ493" s="3">
        <v>0</v>
      </c>
      <c r="AR493" s="2" t="s">
        <v>5</v>
      </c>
      <c r="AS493" s="2" t="s">
        <v>46</v>
      </c>
      <c r="AT493" s="5" t="str">
        <f>HYPERLINK("http://catalog.hathitrust.org/Record/002642060","HathiTrust Record")</f>
        <v>HathiTrust Record</v>
      </c>
      <c r="AU493" s="5" t="str">
        <f>HYPERLINK("https://creighton-primo.hosted.exlibrisgroup.com/primo-explore/search?tab=default_tab&amp;search_scope=EVERYTHING&amp;vid=01CRU&amp;lang=en_US&amp;offset=0&amp;query=any,contains,991002380499702656","Catalog Record")</f>
        <v>Catalog Record</v>
      </c>
      <c r="AV493" s="5" t="str">
        <f>HYPERLINK("http://www.worldcat.org/oclc/328239","WorldCat Record")</f>
        <v>WorldCat Record</v>
      </c>
      <c r="AW493" s="2" t="s">
        <v>6159</v>
      </c>
      <c r="AX493" s="2" t="s">
        <v>6160</v>
      </c>
      <c r="AY493" s="2" t="s">
        <v>6161</v>
      </c>
      <c r="AZ493" s="2" t="s">
        <v>6161</v>
      </c>
      <c r="BA493" s="2" t="s">
        <v>6162</v>
      </c>
      <c r="BB493" s="2" t="s">
        <v>20</v>
      </c>
      <c r="BE493" s="2" t="s">
        <v>6163</v>
      </c>
      <c r="BF493" s="2" t="s">
        <v>6164</v>
      </c>
    </row>
    <row r="494" spans="1:58" ht="39.75" customHeight="1" x14ac:dyDescent="0.25">
      <c r="A494" s="7" t="s">
        <v>5</v>
      </c>
      <c r="B494" s="1" t="s">
        <v>0</v>
      </c>
      <c r="C494" s="1" t="s">
        <v>1</v>
      </c>
      <c r="D494" s="1" t="s">
        <v>6165</v>
      </c>
      <c r="E494" s="1" t="s">
        <v>6166</v>
      </c>
      <c r="F494" s="1" t="s">
        <v>6167</v>
      </c>
      <c r="H494" s="2" t="s">
        <v>5</v>
      </c>
      <c r="I494" s="2" t="s">
        <v>6</v>
      </c>
      <c r="J494" s="2" t="s">
        <v>5</v>
      </c>
      <c r="K494" s="2" t="s">
        <v>5</v>
      </c>
      <c r="L494" s="2" t="s">
        <v>7</v>
      </c>
      <c r="M494" s="1" t="s">
        <v>6168</v>
      </c>
      <c r="N494" s="1" t="s">
        <v>6169</v>
      </c>
      <c r="O494" s="2" t="s">
        <v>261</v>
      </c>
      <c r="Q494" s="2" t="s">
        <v>1151</v>
      </c>
      <c r="R494" s="2" t="s">
        <v>1152</v>
      </c>
      <c r="S494" s="1" t="s">
        <v>6170</v>
      </c>
      <c r="T494" s="2" t="s">
        <v>13</v>
      </c>
      <c r="U494" s="3">
        <v>1</v>
      </c>
      <c r="V494" s="3">
        <v>1</v>
      </c>
      <c r="W494" s="4" t="s">
        <v>6036</v>
      </c>
      <c r="X494" s="4" t="s">
        <v>6036</v>
      </c>
      <c r="Y494" s="4" t="s">
        <v>6036</v>
      </c>
      <c r="Z494" s="4" t="s">
        <v>6036</v>
      </c>
      <c r="AA494" s="3">
        <v>297</v>
      </c>
      <c r="AB494" s="3">
        <v>251</v>
      </c>
      <c r="AC494" s="3">
        <v>253</v>
      </c>
      <c r="AD494" s="3">
        <v>3</v>
      </c>
      <c r="AE494" s="9">
        <v>3</v>
      </c>
      <c r="AF494" s="9">
        <v>13</v>
      </c>
      <c r="AG494" s="9">
        <v>13</v>
      </c>
      <c r="AH494" s="3">
        <v>5</v>
      </c>
      <c r="AI494" s="3">
        <v>5</v>
      </c>
      <c r="AJ494" s="3">
        <v>3</v>
      </c>
      <c r="AK494" s="3">
        <v>3</v>
      </c>
      <c r="AL494" s="3">
        <v>6</v>
      </c>
      <c r="AM494" s="3">
        <v>6</v>
      </c>
      <c r="AN494" s="3">
        <v>2</v>
      </c>
      <c r="AO494" s="3">
        <v>2</v>
      </c>
      <c r="AP494" s="3">
        <v>0</v>
      </c>
      <c r="AQ494" s="3">
        <v>0</v>
      </c>
      <c r="AR494" s="2" t="s">
        <v>5</v>
      </c>
      <c r="AS494" s="2" t="s">
        <v>46</v>
      </c>
      <c r="AT494" s="5" t="str">
        <f>HYPERLINK("http://catalog.hathitrust.org/Record/000160604","HathiTrust Record")</f>
        <v>HathiTrust Record</v>
      </c>
      <c r="AU494" s="5" t="str">
        <f>HYPERLINK("https://creighton-primo.hosted.exlibrisgroup.com/primo-explore/search?tab=default_tab&amp;search_scope=EVERYTHING&amp;vid=01CRU&amp;lang=en_US&amp;offset=0&amp;query=any,contains,991004335109702656","Catalog Record")</f>
        <v>Catalog Record</v>
      </c>
      <c r="AV494" s="5" t="str">
        <f>HYPERLINK("http://www.worldcat.org/oclc/9018739","WorldCat Record")</f>
        <v>WorldCat Record</v>
      </c>
      <c r="AW494" s="2" t="s">
        <v>6171</v>
      </c>
      <c r="AX494" s="2" t="s">
        <v>6172</v>
      </c>
      <c r="AY494" s="2" t="s">
        <v>6173</v>
      </c>
      <c r="AZ494" s="2" t="s">
        <v>6173</v>
      </c>
      <c r="BA494" s="2" t="s">
        <v>6174</v>
      </c>
      <c r="BB494" s="2" t="s">
        <v>20</v>
      </c>
      <c r="BD494" s="2" t="s">
        <v>6175</v>
      </c>
      <c r="BE494" s="2" t="s">
        <v>6176</v>
      </c>
      <c r="BF494" s="2" t="s">
        <v>6177</v>
      </c>
    </row>
    <row r="495" spans="1:58" ht="39.75" customHeight="1" x14ac:dyDescent="0.25">
      <c r="A495" s="7" t="s">
        <v>5</v>
      </c>
      <c r="B495" s="1" t="s">
        <v>0</v>
      </c>
      <c r="C495" s="1" t="s">
        <v>1</v>
      </c>
      <c r="D495" s="1" t="s">
        <v>6178</v>
      </c>
      <c r="E495" s="1" t="s">
        <v>6179</v>
      </c>
      <c r="F495" s="1" t="s">
        <v>6180</v>
      </c>
      <c r="H495" s="2" t="s">
        <v>5</v>
      </c>
      <c r="I495" s="2" t="s">
        <v>6</v>
      </c>
      <c r="J495" s="2" t="s">
        <v>5</v>
      </c>
      <c r="K495" s="2" t="s">
        <v>5</v>
      </c>
      <c r="L495" s="2" t="s">
        <v>7</v>
      </c>
      <c r="M495" s="1" t="s">
        <v>6181</v>
      </c>
      <c r="N495" s="1" t="s">
        <v>6182</v>
      </c>
      <c r="O495" s="2" t="s">
        <v>452</v>
      </c>
      <c r="P495" s="1" t="s">
        <v>6183</v>
      </c>
      <c r="Q495" s="2" t="s">
        <v>1151</v>
      </c>
      <c r="R495" s="2" t="s">
        <v>1152</v>
      </c>
      <c r="S495" s="1" t="s">
        <v>6184</v>
      </c>
      <c r="T495" s="2" t="s">
        <v>13</v>
      </c>
      <c r="U495" s="3">
        <v>1</v>
      </c>
      <c r="V495" s="3">
        <v>1</v>
      </c>
      <c r="W495" s="4" t="s">
        <v>2236</v>
      </c>
      <c r="X495" s="4" t="s">
        <v>2236</v>
      </c>
      <c r="Y495" s="4" t="s">
        <v>2236</v>
      </c>
      <c r="Z495" s="4" t="s">
        <v>2236</v>
      </c>
      <c r="AA495" s="3">
        <v>16</v>
      </c>
      <c r="AB495" s="3">
        <v>14</v>
      </c>
      <c r="AC495" s="3">
        <v>118</v>
      </c>
      <c r="AD495" s="3">
        <v>1</v>
      </c>
      <c r="AE495" s="9">
        <v>1</v>
      </c>
      <c r="AF495" s="9">
        <v>1</v>
      </c>
      <c r="AG495" s="9">
        <v>5</v>
      </c>
      <c r="AH495" s="3">
        <v>1</v>
      </c>
      <c r="AI495" s="3">
        <v>4</v>
      </c>
      <c r="AJ495" s="3">
        <v>0</v>
      </c>
      <c r="AK495" s="3">
        <v>1</v>
      </c>
      <c r="AL495" s="3">
        <v>0</v>
      </c>
      <c r="AM495" s="3">
        <v>2</v>
      </c>
      <c r="AN495" s="3">
        <v>0</v>
      </c>
      <c r="AO495" s="3">
        <v>0</v>
      </c>
      <c r="AP495" s="3">
        <v>0</v>
      </c>
      <c r="AQ495" s="3">
        <v>0</v>
      </c>
      <c r="AR495" s="2" t="s">
        <v>5</v>
      </c>
      <c r="AS495" s="2" t="s">
        <v>5</v>
      </c>
      <c r="AU495" s="5" t="str">
        <f>HYPERLINK("https://creighton-primo.hosted.exlibrisgroup.com/primo-explore/search?tab=default_tab&amp;search_scope=EVERYTHING&amp;vid=01CRU&amp;lang=en_US&amp;offset=0&amp;query=any,contains,991004026019702656","Catalog Record")</f>
        <v>Catalog Record</v>
      </c>
      <c r="AV495" s="5" t="str">
        <f>HYPERLINK("http://www.worldcat.org/oclc/36564210","WorldCat Record")</f>
        <v>WorldCat Record</v>
      </c>
      <c r="AW495" s="2" t="s">
        <v>6185</v>
      </c>
      <c r="AX495" s="2" t="s">
        <v>6186</v>
      </c>
      <c r="AY495" s="2" t="s">
        <v>6187</v>
      </c>
      <c r="AZ495" s="2" t="s">
        <v>6187</v>
      </c>
      <c r="BA495" s="2" t="s">
        <v>6188</v>
      </c>
      <c r="BB495" s="2" t="s">
        <v>20</v>
      </c>
      <c r="BD495" s="2" t="s">
        <v>6189</v>
      </c>
      <c r="BE495" s="2" t="s">
        <v>6190</v>
      </c>
      <c r="BF495" s="2" t="s">
        <v>6191</v>
      </c>
    </row>
    <row r="496" spans="1:58" ht="39.75" customHeight="1" x14ac:dyDescent="0.25">
      <c r="A496" s="7" t="s">
        <v>5</v>
      </c>
      <c r="B496" s="1" t="s">
        <v>0</v>
      </c>
      <c r="C496" s="1" t="s">
        <v>1</v>
      </c>
      <c r="D496" s="1" t="s">
        <v>6192</v>
      </c>
      <c r="E496" s="1" t="s">
        <v>6193</v>
      </c>
      <c r="F496" s="1" t="s">
        <v>6194</v>
      </c>
      <c r="H496" s="2" t="s">
        <v>5</v>
      </c>
      <c r="I496" s="2" t="s">
        <v>6</v>
      </c>
      <c r="J496" s="2" t="s">
        <v>5</v>
      </c>
      <c r="K496" s="2" t="s">
        <v>5</v>
      </c>
      <c r="L496" s="2" t="s">
        <v>7</v>
      </c>
      <c r="M496" s="1" t="s">
        <v>6195</v>
      </c>
      <c r="N496" s="1" t="s">
        <v>6196</v>
      </c>
      <c r="O496" s="2" t="s">
        <v>392</v>
      </c>
      <c r="Q496" s="2" t="s">
        <v>1151</v>
      </c>
      <c r="R496" s="2" t="s">
        <v>1152</v>
      </c>
      <c r="S496" s="1" t="s">
        <v>6197</v>
      </c>
      <c r="T496" s="2" t="s">
        <v>13</v>
      </c>
      <c r="U496" s="3">
        <v>1</v>
      </c>
      <c r="V496" s="3">
        <v>1</v>
      </c>
      <c r="W496" s="4" t="s">
        <v>4493</v>
      </c>
      <c r="X496" s="4" t="s">
        <v>4493</v>
      </c>
      <c r="Y496" s="4" t="s">
        <v>5706</v>
      </c>
      <c r="Z496" s="4" t="s">
        <v>5706</v>
      </c>
      <c r="AA496" s="3">
        <v>291</v>
      </c>
      <c r="AB496" s="3">
        <v>221</v>
      </c>
      <c r="AC496" s="3">
        <v>228</v>
      </c>
      <c r="AD496" s="3">
        <v>2</v>
      </c>
      <c r="AE496" s="9">
        <v>2</v>
      </c>
      <c r="AF496" s="9">
        <v>14</v>
      </c>
      <c r="AG496" s="9">
        <v>14</v>
      </c>
      <c r="AH496" s="3">
        <v>2</v>
      </c>
      <c r="AI496" s="3">
        <v>2</v>
      </c>
      <c r="AJ496" s="3">
        <v>5</v>
      </c>
      <c r="AK496" s="3">
        <v>5</v>
      </c>
      <c r="AL496" s="3">
        <v>8</v>
      </c>
      <c r="AM496" s="3">
        <v>8</v>
      </c>
      <c r="AN496" s="3">
        <v>1</v>
      </c>
      <c r="AO496" s="3">
        <v>1</v>
      </c>
      <c r="AP496" s="3">
        <v>0</v>
      </c>
      <c r="AQ496" s="3">
        <v>0</v>
      </c>
      <c r="AR496" s="2" t="s">
        <v>5</v>
      </c>
      <c r="AS496" s="2" t="s">
        <v>46</v>
      </c>
      <c r="AT496" s="5" t="str">
        <f>HYPERLINK("http://catalog.hathitrust.org/Record/001056359","HathiTrust Record")</f>
        <v>HathiTrust Record</v>
      </c>
      <c r="AU496" s="5" t="str">
        <f>HYPERLINK("https://creighton-primo.hosted.exlibrisgroup.com/primo-explore/search?tab=default_tab&amp;search_scope=EVERYTHING&amp;vid=01CRU&amp;lang=en_US&amp;offset=0&amp;query=any,contains,991003233549702656","Catalog Record")</f>
        <v>Catalog Record</v>
      </c>
      <c r="AV496" s="5" t="str">
        <f>HYPERLINK("http://www.worldcat.org/oclc/757992","WorldCat Record")</f>
        <v>WorldCat Record</v>
      </c>
      <c r="AW496" s="2" t="s">
        <v>6198</v>
      </c>
      <c r="AX496" s="2" t="s">
        <v>6199</v>
      </c>
      <c r="AY496" s="2" t="s">
        <v>6200</v>
      </c>
      <c r="AZ496" s="2" t="s">
        <v>6200</v>
      </c>
      <c r="BA496" s="2" t="s">
        <v>6201</v>
      </c>
      <c r="BB496" s="2" t="s">
        <v>20</v>
      </c>
      <c r="BD496" s="2" t="s">
        <v>6202</v>
      </c>
      <c r="BE496" s="2" t="s">
        <v>6203</v>
      </c>
      <c r="BF496" s="2" t="s">
        <v>6204</v>
      </c>
    </row>
    <row r="497" spans="1:58" ht="39.75" customHeight="1" x14ac:dyDescent="0.25">
      <c r="A497" s="7" t="s">
        <v>5</v>
      </c>
      <c r="B497" s="1" t="s">
        <v>0</v>
      </c>
      <c r="C497" s="1" t="s">
        <v>1</v>
      </c>
      <c r="D497" s="1" t="s">
        <v>6205</v>
      </c>
      <c r="E497" s="1" t="s">
        <v>6206</v>
      </c>
      <c r="F497" s="1" t="s">
        <v>6207</v>
      </c>
      <c r="H497" s="2" t="s">
        <v>5</v>
      </c>
      <c r="I497" s="2" t="s">
        <v>6</v>
      </c>
      <c r="J497" s="2" t="s">
        <v>5</v>
      </c>
      <c r="K497" s="2" t="s">
        <v>5</v>
      </c>
      <c r="L497" s="2" t="s">
        <v>7</v>
      </c>
      <c r="M497" s="1" t="s">
        <v>6208</v>
      </c>
      <c r="N497" s="1" t="s">
        <v>6209</v>
      </c>
      <c r="O497" s="2" t="s">
        <v>162</v>
      </c>
      <c r="P497" s="1" t="s">
        <v>6210</v>
      </c>
      <c r="Q497" s="2" t="s">
        <v>1151</v>
      </c>
      <c r="R497" s="2" t="s">
        <v>1152</v>
      </c>
      <c r="S497" s="1" t="s">
        <v>6211</v>
      </c>
      <c r="T497" s="2" t="s">
        <v>13</v>
      </c>
      <c r="U497" s="3">
        <v>1</v>
      </c>
      <c r="V497" s="3">
        <v>1</v>
      </c>
      <c r="W497" s="4" t="s">
        <v>5518</v>
      </c>
      <c r="X497" s="4" t="s">
        <v>5518</v>
      </c>
      <c r="Y497" s="4" t="s">
        <v>5518</v>
      </c>
      <c r="Z497" s="4" t="s">
        <v>5518</v>
      </c>
      <c r="AA497" s="3">
        <v>91</v>
      </c>
      <c r="AB497" s="3">
        <v>76</v>
      </c>
      <c r="AC497" s="3">
        <v>353</v>
      </c>
      <c r="AD497" s="3">
        <v>1</v>
      </c>
      <c r="AE497" s="9">
        <v>4</v>
      </c>
      <c r="AF497" s="9">
        <v>2</v>
      </c>
      <c r="AG497" s="9">
        <v>16</v>
      </c>
      <c r="AH497" s="3">
        <v>0</v>
      </c>
      <c r="AI497" s="3">
        <v>4</v>
      </c>
      <c r="AJ497" s="3">
        <v>0</v>
      </c>
      <c r="AK497" s="3">
        <v>1</v>
      </c>
      <c r="AL497" s="3">
        <v>2</v>
      </c>
      <c r="AM497" s="3">
        <v>12</v>
      </c>
      <c r="AN497" s="3">
        <v>0</v>
      </c>
      <c r="AO497" s="3">
        <v>3</v>
      </c>
      <c r="AP497" s="3">
        <v>0</v>
      </c>
      <c r="AQ497" s="3">
        <v>0</v>
      </c>
      <c r="AR497" s="2" t="s">
        <v>5</v>
      </c>
      <c r="AS497" s="2" t="s">
        <v>5</v>
      </c>
      <c r="AU497" s="5" t="str">
        <f>HYPERLINK("https://creighton-primo.hosted.exlibrisgroup.com/primo-explore/search?tab=default_tab&amp;search_scope=EVERYTHING&amp;vid=01CRU&amp;lang=en_US&amp;offset=0&amp;query=any,contains,991004508679702656","Catalog Record")</f>
        <v>Catalog Record</v>
      </c>
      <c r="AV497" s="5" t="str">
        <f>HYPERLINK("http://www.worldcat.org/oclc/581622","WorldCat Record")</f>
        <v>WorldCat Record</v>
      </c>
      <c r="AW497" s="2" t="s">
        <v>6212</v>
      </c>
      <c r="AX497" s="2" t="s">
        <v>6213</v>
      </c>
      <c r="AY497" s="2" t="s">
        <v>6214</v>
      </c>
      <c r="AZ497" s="2" t="s">
        <v>6214</v>
      </c>
      <c r="BA497" s="2" t="s">
        <v>6215</v>
      </c>
      <c r="BB497" s="2" t="s">
        <v>20</v>
      </c>
      <c r="BE497" s="2" t="s">
        <v>6216</v>
      </c>
      <c r="BF497" s="2" t="s">
        <v>6217</v>
      </c>
    </row>
    <row r="498" spans="1:58" ht="39.75" customHeight="1" x14ac:dyDescent="0.25">
      <c r="A498" s="7" t="s">
        <v>5</v>
      </c>
      <c r="B498" s="1" t="s">
        <v>0</v>
      </c>
      <c r="C498" s="1" t="s">
        <v>1</v>
      </c>
      <c r="D498" s="1" t="s">
        <v>6218</v>
      </c>
      <c r="E498" s="1" t="s">
        <v>6219</v>
      </c>
      <c r="F498" s="1" t="s">
        <v>6220</v>
      </c>
      <c r="H498" s="2" t="s">
        <v>5</v>
      </c>
      <c r="I498" s="2" t="s">
        <v>6</v>
      </c>
      <c r="J498" s="2" t="s">
        <v>5</v>
      </c>
      <c r="K498" s="2" t="s">
        <v>5</v>
      </c>
      <c r="L498" s="2" t="s">
        <v>7</v>
      </c>
      <c r="M498" s="1" t="s">
        <v>6221</v>
      </c>
      <c r="N498" s="1" t="s">
        <v>6222</v>
      </c>
      <c r="O498" s="2" t="s">
        <v>1418</v>
      </c>
      <c r="Q498" s="2" t="s">
        <v>1151</v>
      </c>
      <c r="R498" s="2" t="s">
        <v>1152</v>
      </c>
      <c r="S498" s="1" t="s">
        <v>6223</v>
      </c>
      <c r="T498" s="2" t="s">
        <v>13</v>
      </c>
      <c r="U498" s="3">
        <v>1</v>
      </c>
      <c r="V498" s="3">
        <v>1</v>
      </c>
      <c r="W498" s="4" t="s">
        <v>5086</v>
      </c>
      <c r="X498" s="4" t="s">
        <v>5086</v>
      </c>
      <c r="Y498" s="4" t="s">
        <v>5086</v>
      </c>
      <c r="Z498" s="4" t="s">
        <v>5086</v>
      </c>
      <c r="AA498" s="3">
        <v>381</v>
      </c>
      <c r="AB498" s="3">
        <v>326</v>
      </c>
      <c r="AC498" s="3">
        <v>328</v>
      </c>
      <c r="AD498" s="3">
        <v>4</v>
      </c>
      <c r="AE498" s="9">
        <v>4</v>
      </c>
      <c r="AF498" s="9">
        <v>19</v>
      </c>
      <c r="AG498" s="9">
        <v>19</v>
      </c>
      <c r="AH498" s="3">
        <v>5</v>
      </c>
      <c r="AI498" s="3">
        <v>5</v>
      </c>
      <c r="AJ498" s="3">
        <v>5</v>
      </c>
      <c r="AK498" s="3">
        <v>5</v>
      </c>
      <c r="AL498" s="3">
        <v>10</v>
      </c>
      <c r="AM498" s="3">
        <v>10</v>
      </c>
      <c r="AN498" s="3">
        <v>3</v>
      </c>
      <c r="AO498" s="3">
        <v>3</v>
      </c>
      <c r="AP498" s="3">
        <v>0</v>
      </c>
      <c r="AQ498" s="3">
        <v>0</v>
      </c>
      <c r="AR498" s="2" t="s">
        <v>5</v>
      </c>
      <c r="AS498" s="2" t="s">
        <v>46</v>
      </c>
      <c r="AT498" s="5" t="str">
        <f>HYPERLINK("http://catalog.hathitrust.org/Record/001049314","HathiTrust Record")</f>
        <v>HathiTrust Record</v>
      </c>
      <c r="AU498" s="5" t="str">
        <f>HYPERLINK("https://creighton-primo.hosted.exlibrisgroup.com/primo-explore/search?tab=default_tab&amp;search_scope=EVERYTHING&amp;vid=01CRU&amp;lang=en_US&amp;offset=0&amp;query=any,contains,991004522639702656","Catalog Record")</f>
        <v>Catalog Record</v>
      </c>
      <c r="AV498" s="5" t="str">
        <f>HYPERLINK("http://www.worldcat.org/oclc/224758","WorldCat Record")</f>
        <v>WorldCat Record</v>
      </c>
      <c r="AW498" s="2" t="s">
        <v>6224</v>
      </c>
      <c r="AX498" s="2" t="s">
        <v>6225</v>
      </c>
      <c r="AY498" s="2" t="s">
        <v>6226</v>
      </c>
      <c r="AZ498" s="2" t="s">
        <v>6226</v>
      </c>
      <c r="BA498" s="2" t="s">
        <v>6227</v>
      </c>
      <c r="BB498" s="2" t="s">
        <v>20</v>
      </c>
      <c r="BE498" s="2" t="s">
        <v>6228</v>
      </c>
      <c r="BF498" s="2" t="s">
        <v>6229</v>
      </c>
    </row>
    <row r="499" spans="1:58" ht="39.75" customHeight="1" x14ac:dyDescent="0.25">
      <c r="A499" s="7" t="s">
        <v>5</v>
      </c>
      <c r="B499" s="1" t="s">
        <v>0</v>
      </c>
      <c r="C499" s="1" t="s">
        <v>1</v>
      </c>
      <c r="D499" s="1" t="s">
        <v>6230</v>
      </c>
      <c r="E499" s="1" t="s">
        <v>6231</v>
      </c>
      <c r="F499" s="1" t="s">
        <v>6232</v>
      </c>
      <c r="H499" s="2" t="s">
        <v>5</v>
      </c>
      <c r="I499" s="2" t="s">
        <v>6</v>
      </c>
      <c r="J499" s="2" t="s">
        <v>5</v>
      </c>
      <c r="K499" s="2" t="s">
        <v>5</v>
      </c>
      <c r="L499" s="2" t="s">
        <v>7</v>
      </c>
      <c r="M499" s="1" t="s">
        <v>6233</v>
      </c>
      <c r="N499" s="1" t="s">
        <v>6234</v>
      </c>
      <c r="O499" s="2" t="s">
        <v>1418</v>
      </c>
      <c r="Q499" s="2" t="s">
        <v>1151</v>
      </c>
      <c r="R499" s="2" t="s">
        <v>1152</v>
      </c>
      <c r="S499" s="1" t="s">
        <v>6235</v>
      </c>
      <c r="T499" s="2" t="s">
        <v>13</v>
      </c>
      <c r="U499" s="3">
        <v>1</v>
      </c>
      <c r="V499" s="3">
        <v>1</v>
      </c>
      <c r="W499" s="4" t="s">
        <v>5032</v>
      </c>
      <c r="X499" s="4" t="s">
        <v>5032</v>
      </c>
      <c r="Y499" s="4" t="s">
        <v>5032</v>
      </c>
      <c r="Z499" s="4" t="s">
        <v>5032</v>
      </c>
      <c r="AA499" s="3">
        <v>320</v>
      </c>
      <c r="AB499" s="3">
        <v>271</v>
      </c>
      <c r="AC499" s="3">
        <v>305</v>
      </c>
      <c r="AD499" s="3">
        <v>5</v>
      </c>
      <c r="AE499" s="9">
        <v>5</v>
      </c>
      <c r="AF499" s="9">
        <v>15</v>
      </c>
      <c r="AG499" s="9">
        <v>16</v>
      </c>
      <c r="AH499" s="3">
        <v>5</v>
      </c>
      <c r="AI499" s="3">
        <v>5</v>
      </c>
      <c r="AJ499" s="3">
        <v>3</v>
      </c>
      <c r="AK499" s="3">
        <v>4</v>
      </c>
      <c r="AL499" s="3">
        <v>7</v>
      </c>
      <c r="AM499" s="3">
        <v>7</v>
      </c>
      <c r="AN499" s="3">
        <v>4</v>
      </c>
      <c r="AO499" s="3">
        <v>4</v>
      </c>
      <c r="AP499" s="3">
        <v>0</v>
      </c>
      <c r="AQ499" s="3">
        <v>0</v>
      </c>
      <c r="AR499" s="2" t="s">
        <v>5</v>
      </c>
      <c r="AS499" s="2" t="s">
        <v>46</v>
      </c>
      <c r="AT499" s="5" t="str">
        <f>HYPERLINK("http://catalog.hathitrust.org/Record/007124019","HathiTrust Record")</f>
        <v>HathiTrust Record</v>
      </c>
      <c r="AU499" s="5" t="str">
        <f>HYPERLINK("https://creighton-primo.hosted.exlibrisgroup.com/primo-explore/search?tab=default_tab&amp;search_scope=EVERYTHING&amp;vid=01CRU&amp;lang=en_US&amp;offset=0&amp;query=any,contains,991004490929702656","Catalog Record")</f>
        <v>Catalog Record</v>
      </c>
      <c r="AV499" s="5" t="str">
        <f>HYPERLINK("http://www.worldcat.org/oclc/11199028","WorldCat Record")</f>
        <v>WorldCat Record</v>
      </c>
      <c r="AW499" s="2" t="s">
        <v>6236</v>
      </c>
      <c r="AX499" s="2" t="s">
        <v>6237</v>
      </c>
      <c r="AY499" s="2" t="s">
        <v>6238</v>
      </c>
      <c r="AZ499" s="2" t="s">
        <v>6238</v>
      </c>
      <c r="BA499" s="2" t="s">
        <v>6239</v>
      </c>
      <c r="BB499" s="2" t="s">
        <v>20</v>
      </c>
      <c r="BE499" s="2" t="s">
        <v>6240</v>
      </c>
      <c r="BF499" s="2" t="s">
        <v>6241</v>
      </c>
    </row>
    <row r="500" spans="1:58" ht="39.75" customHeight="1" x14ac:dyDescent="0.25">
      <c r="A500" s="7" t="s">
        <v>5</v>
      </c>
      <c r="B500" s="1" t="s">
        <v>0</v>
      </c>
      <c r="C500" s="1" t="s">
        <v>1</v>
      </c>
      <c r="D500" s="1" t="s">
        <v>6242</v>
      </c>
      <c r="E500" s="1" t="s">
        <v>6243</v>
      </c>
      <c r="F500" s="1" t="s">
        <v>6244</v>
      </c>
      <c r="H500" s="2" t="s">
        <v>5</v>
      </c>
      <c r="I500" s="2" t="s">
        <v>6</v>
      </c>
      <c r="J500" s="2" t="s">
        <v>5</v>
      </c>
      <c r="K500" s="2" t="s">
        <v>5</v>
      </c>
      <c r="L500" s="2" t="s">
        <v>7</v>
      </c>
      <c r="M500" s="1" t="s">
        <v>6245</v>
      </c>
      <c r="N500" s="1" t="s">
        <v>6246</v>
      </c>
      <c r="O500" s="2" t="s">
        <v>2610</v>
      </c>
      <c r="Q500" s="2" t="s">
        <v>60</v>
      </c>
      <c r="R500" s="2" t="s">
        <v>61</v>
      </c>
      <c r="S500" s="1" t="s">
        <v>6247</v>
      </c>
      <c r="T500" s="2" t="s">
        <v>13</v>
      </c>
      <c r="U500" s="3">
        <v>1</v>
      </c>
      <c r="V500" s="3">
        <v>1</v>
      </c>
      <c r="W500" s="4" t="s">
        <v>6248</v>
      </c>
      <c r="X500" s="4" t="s">
        <v>6248</v>
      </c>
      <c r="Y500" s="4" t="s">
        <v>6249</v>
      </c>
      <c r="Z500" s="4" t="s">
        <v>6249</v>
      </c>
      <c r="AA500" s="3">
        <v>155</v>
      </c>
      <c r="AB500" s="3">
        <v>111</v>
      </c>
      <c r="AC500" s="3">
        <v>111</v>
      </c>
      <c r="AD500" s="3">
        <v>1</v>
      </c>
      <c r="AE500" s="9">
        <v>1</v>
      </c>
      <c r="AF500" s="9">
        <v>2</v>
      </c>
      <c r="AG500" s="9">
        <v>2</v>
      </c>
      <c r="AH500" s="3">
        <v>1</v>
      </c>
      <c r="AI500" s="3">
        <v>1</v>
      </c>
      <c r="AJ500" s="3">
        <v>0</v>
      </c>
      <c r="AK500" s="3">
        <v>0</v>
      </c>
      <c r="AL500" s="3">
        <v>1</v>
      </c>
      <c r="AM500" s="3">
        <v>1</v>
      </c>
      <c r="AN500" s="3">
        <v>0</v>
      </c>
      <c r="AO500" s="3">
        <v>0</v>
      </c>
      <c r="AP500" s="3">
        <v>0</v>
      </c>
      <c r="AQ500" s="3">
        <v>0</v>
      </c>
      <c r="AR500" s="2" t="s">
        <v>5</v>
      </c>
      <c r="AS500" s="2" t="s">
        <v>5</v>
      </c>
      <c r="AU500" s="5" t="str">
        <f>HYPERLINK("https://creighton-primo.hosted.exlibrisgroup.com/primo-explore/search?tab=default_tab&amp;search_scope=EVERYTHING&amp;vid=01CRU&amp;lang=en_US&amp;offset=0&amp;query=any,contains,991001191029702656","Catalog Record")</f>
        <v>Catalog Record</v>
      </c>
      <c r="AV500" s="5" t="str">
        <f>HYPERLINK("http://www.worldcat.org/oclc/17258529","WorldCat Record")</f>
        <v>WorldCat Record</v>
      </c>
      <c r="AW500" s="2" t="s">
        <v>6250</v>
      </c>
      <c r="AX500" s="2" t="s">
        <v>6251</v>
      </c>
      <c r="AY500" s="2" t="s">
        <v>6252</v>
      </c>
      <c r="AZ500" s="2" t="s">
        <v>6252</v>
      </c>
      <c r="BA500" s="2" t="s">
        <v>6253</v>
      </c>
      <c r="BB500" s="2" t="s">
        <v>20</v>
      </c>
      <c r="BD500" s="2" t="s">
        <v>6254</v>
      </c>
      <c r="BE500" s="2" t="s">
        <v>6255</v>
      </c>
      <c r="BF500" s="2" t="s">
        <v>6256</v>
      </c>
    </row>
    <row r="501" spans="1:58" ht="39.75" customHeight="1" x14ac:dyDescent="0.25">
      <c r="A501" s="7" t="s">
        <v>5</v>
      </c>
      <c r="B501" s="1" t="s">
        <v>0</v>
      </c>
      <c r="C501" s="1" t="s">
        <v>1</v>
      </c>
      <c r="D501" s="1" t="s">
        <v>6257</v>
      </c>
      <c r="E501" s="1" t="s">
        <v>6258</v>
      </c>
      <c r="F501" s="1" t="s">
        <v>6259</v>
      </c>
      <c r="H501" s="2" t="s">
        <v>5</v>
      </c>
      <c r="I501" s="2" t="s">
        <v>6</v>
      </c>
      <c r="J501" s="2" t="s">
        <v>5</v>
      </c>
      <c r="K501" s="2" t="s">
        <v>5</v>
      </c>
      <c r="L501" s="2" t="s">
        <v>7</v>
      </c>
      <c r="M501" s="1" t="s">
        <v>6260</v>
      </c>
      <c r="N501" s="1" t="s">
        <v>6261</v>
      </c>
      <c r="O501" s="2" t="s">
        <v>121</v>
      </c>
      <c r="P501" s="1" t="s">
        <v>2908</v>
      </c>
      <c r="Q501" s="2" t="s">
        <v>1151</v>
      </c>
      <c r="R501" s="2" t="s">
        <v>1152</v>
      </c>
      <c r="S501" s="1" t="s">
        <v>6262</v>
      </c>
      <c r="T501" s="2" t="s">
        <v>13</v>
      </c>
      <c r="U501" s="3">
        <v>1</v>
      </c>
      <c r="V501" s="3">
        <v>1</v>
      </c>
      <c r="W501" s="4" t="s">
        <v>6036</v>
      </c>
      <c r="X501" s="4" t="s">
        <v>6036</v>
      </c>
      <c r="Y501" s="4" t="s">
        <v>6036</v>
      </c>
      <c r="Z501" s="4" t="s">
        <v>6036</v>
      </c>
      <c r="AA501" s="3">
        <v>390</v>
      </c>
      <c r="AB501" s="3">
        <v>299</v>
      </c>
      <c r="AC501" s="3">
        <v>399</v>
      </c>
      <c r="AD501" s="3">
        <v>4</v>
      </c>
      <c r="AE501" s="9">
        <v>5</v>
      </c>
      <c r="AF501" s="9">
        <v>18</v>
      </c>
      <c r="AG501" s="9">
        <v>24</v>
      </c>
      <c r="AH501" s="3">
        <v>5</v>
      </c>
      <c r="AI501" s="3">
        <v>7</v>
      </c>
      <c r="AJ501" s="3">
        <v>7</v>
      </c>
      <c r="AK501" s="3">
        <v>7</v>
      </c>
      <c r="AL501" s="3">
        <v>9</v>
      </c>
      <c r="AM501" s="3">
        <v>13</v>
      </c>
      <c r="AN501" s="3">
        <v>3</v>
      </c>
      <c r="AO501" s="3">
        <v>4</v>
      </c>
      <c r="AP501" s="3">
        <v>0</v>
      </c>
      <c r="AQ501" s="3">
        <v>0</v>
      </c>
      <c r="AR501" s="2" t="s">
        <v>5</v>
      </c>
      <c r="AS501" s="2" t="s">
        <v>5</v>
      </c>
      <c r="AU501" s="5" t="str">
        <f>HYPERLINK("https://creighton-primo.hosted.exlibrisgroup.com/primo-explore/search?tab=default_tab&amp;search_scope=EVERYTHING&amp;vid=01CRU&amp;lang=en_US&amp;offset=0&amp;query=any,contains,991004334039702656","Catalog Record")</f>
        <v>Catalog Record</v>
      </c>
      <c r="AV501" s="5" t="str">
        <f>HYPERLINK("http://www.worldcat.org/oclc/181417","WorldCat Record")</f>
        <v>WorldCat Record</v>
      </c>
      <c r="AW501" s="2" t="s">
        <v>6263</v>
      </c>
      <c r="AX501" s="2" t="s">
        <v>6264</v>
      </c>
      <c r="AY501" s="2" t="s">
        <v>6265</v>
      </c>
      <c r="AZ501" s="2" t="s">
        <v>6265</v>
      </c>
      <c r="BA501" s="2" t="s">
        <v>6266</v>
      </c>
      <c r="BB501" s="2" t="s">
        <v>20</v>
      </c>
      <c r="BE501" s="2" t="s">
        <v>6267</v>
      </c>
      <c r="BF501" s="2" t="s">
        <v>6268</v>
      </c>
    </row>
    <row r="502" spans="1:58" ht="39.75" customHeight="1" x14ac:dyDescent="0.25">
      <c r="A502" s="7" t="s">
        <v>5</v>
      </c>
      <c r="B502" s="1" t="s">
        <v>0</v>
      </c>
      <c r="C502" s="1" t="s">
        <v>1</v>
      </c>
      <c r="D502" s="1" t="s">
        <v>6269</v>
      </c>
      <c r="E502" s="1" t="s">
        <v>6270</v>
      </c>
      <c r="F502" s="1" t="s">
        <v>6271</v>
      </c>
      <c r="H502" s="2" t="s">
        <v>5</v>
      </c>
      <c r="I502" s="2" t="s">
        <v>6</v>
      </c>
      <c r="J502" s="2" t="s">
        <v>5</v>
      </c>
      <c r="K502" s="2" t="s">
        <v>5</v>
      </c>
      <c r="L502" s="2" t="s">
        <v>7</v>
      </c>
      <c r="M502" s="1" t="s">
        <v>6272</v>
      </c>
      <c r="N502" s="1" t="s">
        <v>6273</v>
      </c>
      <c r="O502" s="2" t="s">
        <v>6274</v>
      </c>
      <c r="Q502" s="2" t="s">
        <v>60</v>
      </c>
      <c r="R502" s="2" t="s">
        <v>193</v>
      </c>
      <c r="T502" s="2" t="s">
        <v>13</v>
      </c>
      <c r="U502" s="3">
        <v>4</v>
      </c>
      <c r="V502" s="3">
        <v>4</v>
      </c>
      <c r="W502" s="4" t="s">
        <v>5889</v>
      </c>
      <c r="X502" s="4" t="s">
        <v>5889</v>
      </c>
      <c r="Y502" s="4" t="s">
        <v>6275</v>
      </c>
      <c r="Z502" s="4" t="s">
        <v>6275</v>
      </c>
      <c r="AA502" s="3">
        <v>280</v>
      </c>
      <c r="AB502" s="3">
        <v>235</v>
      </c>
      <c r="AC502" s="3">
        <v>245</v>
      </c>
      <c r="AD502" s="3">
        <v>2</v>
      </c>
      <c r="AE502" s="9">
        <v>2</v>
      </c>
      <c r="AF502" s="9">
        <v>11</v>
      </c>
      <c r="AG502" s="9">
        <v>11</v>
      </c>
      <c r="AH502" s="3">
        <v>3</v>
      </c>
      <c r="AI502" s="3">
        <v>3</v>
      </c>
      <c r="AJ502" s="3">
        <v>2</v>
      </c>
      <c r="AK502" s="3">
        <v>2</v>
      </c>
      <c r="AL502" s="3">
        <v>7</v>
      </c>
      <c r="AM502" s="3">
        <v>7</v>
      </c>
      <c r="AN502" s="3">
        <v>1</v>
      </c>
      <c r="AO502" s="3">
        <v>1</v>
      </c>
      <c r="AP502" s="3">
        <v>0</v>
      </c>
      <c r="AQ502" s="3">
        <v>0</v>
      </c>
      <c r="AR502" s="2" t="s">
        <v>5</v>
      </c>
      <c r="AS502" s="2" t="s">
        <v>46</v>
      </c>
      <c r="AT502" s="5" t="str">
        <f>HYPERLINK("http://catalog.hathitrust.org/Record/002718990","HathiTrust Record")</f>
        <v>HathiTrust Record</v>
      </c>
      <c r="AU502" s="5" t="str">
        <f>HYPERLINK("https://creighton-primo.hosted.exlibrisgroup.com/primo-explore/search?tab=default_tab&amp;search_scope=EVERYTHING&amp;vid=01CRU&amp;lang=en_US&amp;offset=0&amp;query=any,contains,991003690119702656","Catalog Record")</f>
        <v>Catalog Record</v>
      </c>
      <c r="AV502" s="5" t="str">
        <f>HYPERLINK("http://www.worldcat.org/oclc/1320485","WorldCat Record")</f>
        <v>WorldCat Record</v>
      </c>
      <c r="AW502" s="2" t="s">
        <v>6276</v>
      </c>
      <c r="AX502" s="2" t="s">
        <v>6277</v>
      </c>
      <c r="AY502" s="2" t="s">
        <v>6278</v>
      </c>
      <c r="AZ502" s="2" t="s">
        <v>6278</v>
      </c>
      <c r="BA502" s="2" t="s">
        <v>6279</v>
      </c>
      <c r="BB502" s="2" t="s">
        <v>20</v>
      </c>
      <c r="BE502" s="2" t="s">
        <v>6280</v>
      </c>
      <c r="BF502" s="2" t="s">
        <v>6281</v>
      </c>
    </row>
    <row r="503" spans="1:58" ht="39.75" customHeight="1" x14ac:dyDescent="0.25">
      <c r="A503" s="7" t="s">
        <v>5</v>
      </c>
      <c r="B503" s="1" t="s">
        <v>0</v>
      </c>
      <c r="C503" s="1" t="s">
        <v>1</v>
      </c>
      <c r="D503" s="1" t="s">
        <v>6282</v>
      </c>
      <c r="E503" s="1" t="s">
        <v>6283</v>
      </c>
      <c r="F503" s="1" t="s">
        <v>6284</v>
      </c>
      <c r="H503" s="2" t="s">
        <v>5</v>
      </c>
      <c r="I503" s="2" t="s">
        <v>6</v>
      </c>
      <c r="J503" s="2" t="s">
        <v>5</v>
      </c>
      <c r="K503" s="2" t="s">
        <v>5</v>
      </c>
      <c r="L503" s="2" t="s">
        <v>7</v>
      </c>
      <c r="M503" s="1" t="s">
        <v>6285</v>
      </c>
      <c r="N503" s="1" t="s">
        <v>1650</v>
      </c>
      <c r="O503" s="2" t="s">
        <v>276</v>
      </c>
      <c r="Q503" s="2" t="s">
        <v>60</v>
      </c>
      <c r="R503" s="2" t="s">
        <v>277</v>
      </c>
      <c r="S503" s="1" t="s">
        <v>6286</v>
      </c>
      <c r="T503" s="2" t="s">
        <v>13</v>
      </c>
      <c r="U503" s="3">
        <v>2</v>
      </c>
      <c r="V503" s="3">
        <v>2</v>
      </c>
      <c r="W503" s="4" t="s">
        <v>6287</v>
      </c>
      <c r="X503" s="4" t="s">
        <v>6287</v>
      </c>
      <c r="Y503" s="4" t="s">
        <v>5333</v>
      </c>
      <c r="Z503" s="4" t="s">
        <v>5333</v>
      </c>
      <c r="AA503" s="3">
        <v>578</v>
      </c>
      <c r="AB503" s="3">
        <v>511</v>
      </c>
      <c r="AC503" s="3">
        <v>534</v>
      </c>
      <c r="AD503" s="3">
        <v>5</v>
      </c>
      <c r="AE503" s="9">
        <v>5</v>
      </c>
      <c r="AF503" s="9">
        <v>26</v>
      </c>
      <c r="AG503" s="9">
        <v>27</v>
      </c>
      <c r="AH503" s="3">
        <v>10</v>
      </c>
      <c r="AI503" s="3">
        <v>11</v>
      </c>
      <c r="AJ503" s="3">
        <v>7</v>
      </c>
      <c r="AK503" s="3">
        <v>7</v>
      </c>
      <c r="AL503" s="3">
        <v>13</v>
      </c>
      <c r="AM503" s="3">
        <v>14</v>
      </c>
      <c r="AN503" s="3">
        <v>4</v>
      </c>
      <c r="AO503" s="3">
        <v>4</v>
      </c>
      <c r="AP503" s="3">
        <v>0</v>
      </c>
      <c r="AQ503" s="3">
        <v>0</v>
      </c>
      <c r="AR503" s="2" t="s">
        <v>5</v>
      </c>
      <c r="AS503" s="2" t="s">
        <v>46</v>
      </c>
      <c r="AT503" s="5" t="str">
        <f>HYPERLINK("http://catalog.hathitrust.org/Record/000025941","HathiTrust Record")</f>
        <v>HathiTrust Record</v>
      </c>
      <c r="AU503" s="5" t="str">
        <f>HYPERLINK("https://creighton-primo.hosted.exlibrisgroup.com/primo-explore/search?tab=default_tab&amp;search_scope=EVERYTHING&amp;vid=01CRU&amp;lang=en_US&amp;offset=0&amp;query=any,contains,991003818329702656","Catalog Record")</f>
        <v>Catalog Record</v>
      </c>
      <c r="AV503" s="5" t="str">
        <f>HYPERLINK("http://www.worldcat.org/oclc/1551543","WorldCat Record")</f>
        <v>WorldCat Record</v>
      </c>
      <c r="AW503" s="2" t="s">
        <v>6288</v>
      </c>
      <c r="AX503" s="2" t="s">
        <v>6289</v>
      </c>
      <c r="AY503" s="2" t="s">
        <v>6290</v>
      </c>
      <c r="AZ503" s="2" t="s">
        <v>6290</v>
      </c>
      <c r="BA503" s="2" t="s">
        <v>6291</v>
      </c>
      <c r="BB503" s="2" t="s">
        <v>20</v>
      </c>
      <c r="BD503" s="2" t="s">
        <v>6292</v>
      </c>
      <c r="BE503" s="2" t="s">
        <v>6293</v>
      </c>
      <c r="BF503" s="2" t="s">
        <v>6294</v>
      </c>
    </row>
    <row r="504" spans="1:58" ht="39.75" customHeight="1" x14ac:dyDescent="0.25">
      <c r="A504" s="7" t="s">
        <v>5</v>
      </c>
      <c r="B504" s="1" t="s">
        <v>0</v>
      </c>
      <c r="C504" s="1" t="s">
        <v>1</v>
      </c>
      <c r="D504" s="1" t="s">
        <v>6295</v>
      </c>
      <c r="E504" s="1" t="s">
        <v>6296</v>
      </c>
      <c r="F504" s="1" t="s">
        <v>6297</v>
      </c>
      <c r="H504" s="2" t="s">
        <v>5</v>
      </c>
      <c r="I504" s="2" t="s">
        <v>6</v>
      </c>
      <c r="J504" s="2" t="s">
        <v>5</v>
      </c>
      <c r="K504" s="2" t="s">
        <v>5</v>
      </c>
      <c r="L504" s="2" t="s">
        <v>7</v>
      </c>
      <c r="M504" s="1" t="s">
        <v>6298</v>
      </c>
      <c r="N504" s="1" t="s">
        <v>6299</v>
      </c>
      <c r="O504" s="2" t="s">
        <v>886</v>
      </c>
      <c r="Q504" s="2" t="s">
        <v>60</v>
      </c>
      <c r="R504" s="2" t="s">
        <v>1123</v>
      </c>
      <c r="T504" s="2" t="s">
        <v>13</v>
      </c>
      <c r="U504" s="3">
        <v>4</v>
      </c>
      <c r="V504" s="3">
        <v>4</v>
      </c>
      <c r="W504" s="4" t="s">
        <v>6287</v>
      </c>
      <c r="X504" s="4" t="s">
        <v>6287</v>
      </c>
      <c r="Y504" s="4" t="s">
        <v>5333</v>
      </c>
      <c r="Z504" s="4" t="s">
        <v>5333</v>
      </c>
      <c r="AA504" s="3">
        <v>101</v>
      </c>
      <c r="AB504" s="3">
        <v>88</v>
      </c>
      <c r="AC504" s="3">
        <v>492</v>
      </c>
      <c r="AD504" s="3">
        <v>1</v>
      </c>
      <c r="AE504" s="9">
        <v>4</v>
      </c>
      <c r="AF504" s="9">
        <v>5</v>
      </c>
      <c r="AG504" s="9">
        <v>24</v>
      </c>
      <c r="AH504" s="3">
        <v>2</v>
      </c>
      <c r="AI504" s="3">
        <v>9</v>
      </c>
      <c r="AJ504" s="3">
        <v>3</v>
      </c>
      <c r="AK504" s="3">
        <v>7</v>
      </c>
      <c r="AL504" s="3">
        <v>3</v>
      </c>
      <c r="AM504" s="3">
        <v>12</v>
      </c>
      <c r="AN504" s="3">
        <v>0</v>
      </c>
      <c r="AO504" s="3">
        <v>3</v>
      </c>
      <c r="AP504" s="3">
        <v>0</v>
      </c>
      <c r="AQ504" s="3">
        <v>0</v>
      </c>
      <c r="AR504" s="2" t="s">
        <v>5</v>
      </c>
      <c r="AS504" s="2" t="s">
        <v>46</v>
      </c>
      <c r="AT504" s="5" t="str">
        <f>HYPERLINK("http://catalog.hathitrust.org/Record/002054642","HathiTrust Record")</f>
        <v>HathiTrust Record</v>
      </c>
      <c r="AU504" s="5" t="str">
        <f>HYPERLINK("https://creighton-primo.hosted.exlibrisgroup.com/primo-explore/search?tab=default_tab&amp;search_scope=EVERYTHING&amp;vid=01CRU&amp;lang=en_US&amp;offset=0&amp;query=any,contains,991003361939702656","Catalog Record")</f>
        <v>Catalog Record</v>
      </c>
      <c r="AV504" s="5" t="str">
        <f>HYPERLINK("http://www.worldcat.org/oclc/897882","WorldCat Record")</f>
        <v>WorldCat Record</v>
      </c>
      <c r="AW504" s="2" t="s">
        <v>6300</v>
      </c>
      <c r="AX504" s="2" t="s">
        <v>6301</v>
      </c>
      <c r="AY504" s="2" t="s">
        <v>6302</v>
      </c>
      <c r="AZ504" s="2" t="s">
        <v>6302</v>
      </c>
      <c r="BA504" s="2" t="s">
        <v>6303</v>
      </c>
      <c r="BB504" s="2" t="s">
        <v>20</v>
      </c>
      <c r="BD504" s="2" t="s">
        <v>6304</v>
      </c>
      <c r="BE504" s="2" t="s">
        <v>6305</v>
      </c>
      <c r="BF504" s="2" t="s">
        <v>6306</v>
      </c>
    </row>
    <row r="505" spans="1:58" ht="39.75" customHeight="1" x14ac:dyDescent="0.25">
      <c r="A505" s="7" t="s">
        <v>5</v>
      </c>
      <c r="B505" s="1" t="s">
        <v>0</v>
      </c>
      <c r="C505" s="1" t="s">
        <v>1</v>
      </c>
      <c r="D505" s="1" t="s">
        <v>6307</v>
      </c>
      <c r="E505" s="1" t="s">
        <v>6308</v>
      </c>
      <c r="F505" s="1" t="s">
        <v>6309</v>
      </c>
      <c r="H505" s="2" t="s">
        <v>5</v>
      </c>
      <c r="I505" s="2" t="s">
        <v>6</v>
      </c>
      <c r="J505" s="2" t="s">
        <v>5</v>
      </c>
      <c r="K505" s="2" t="s">
        <v>5</v>
      </c>
      <c r="L505" s="2" t="s">
        <v>7</v>
      </c>
      <c r="M505" s="1" t="s">
        <v>6310</v>
      </c>
      <c r="N505" s="1" t="s">
        <v>1798</v>
      </c>
      <c r="O505" s="2" t="s">
        <v>791</v>
      </c>
      <c r="Q505" s="2" t="s">
        <v>60</v>
      </c>
      <c r="R505" s="2" t="s">
        <v>277</v>
      </c>
      <c r="S505" s="1" t="s">
        <v>6311</v>
      </c>
      <c r="T505" s="2" t="s">
        <v>13</v>
      </c>
      <c r="U505" s="3">
        <v>3</v>
      </c>
      <c r="V505" s="3">
        <v>3</v>
      </c>
      <c r="W505" s="4" t="s">
        <v>6312</v>
      </c>
      <c r="X505" s="4" t="s">
        <v>6312</v>
      </c>
      <c r="Y505" s="4" t="s">
        <v>5333</v>
      </c>
      <c r="Z505" s="4" t="s">
        <v>5333</v>
      </c>
      <c r="AA505" s="3">
        <v>844</v>
      </c>
      <c r="AB505" s="3">
        <v>760</v>
      </c>
      <c r="AC505" s="3">
        <v>801</v>
      </c>
      <c r="AD505" s="3">
        <v>6</v>
      </c>
      <c r="AE505" s="9">
        <v>6</v>
      </c>
      <c r="AF505" s="9">
        <v>41</v>
      </c>
      <c r="AG505" s="9">
        <v>42</v>
      </c>
      <c r="AH505" s="3">
        <v>17</v>
      </c>
      <c r="AI505" s="3">
        <v>18</v>
      </c>
      <c r="AJ505" s="3">
        <v>9</v>
      </c>
      <c r="AK505" s="3">
        <v>9</v>
      </c>
      <c r="AL505" s="3">
        <v>19</v>
      </c>
      <c r="AM505" s="3">
        <v>20</v>
      </c>
      <c r="AN505" s="3">
        <v>5</v>
      </c>
      <c r="AO505" s="3">
        <v>5</v>
      </c>
      <c r="AP505" s="3">
        <v>0</v>
      </c>
      <c r="AQ505" s="3">
        <v>0</v>
      </c>
      <c r="AR505" s="2" t="s">
        <v>5</v>
      </c>
      <c r="AS505" s="2" t="s">
        <v>5</v>
      </c>
      <c r="AU505" s="5" t="str">
        <f>HYPERLINK("https://creighton-primo.hosted.exlibrisgroup.com/primo-explore/search?tab=default_tab&amp;search_scope=EVERYTHING&amp;vid=01CRU&amp;lang=en_US&amp;offset=0&amp;query=any,contains,991003443329702656","Catalog Record")</f>
        <v>Catalog Record</v>
      </c>
      <c r="AV505" s="5" t="str">
        <f>HYPERLINK("http://www.worldcat.org/oclc/979288","WorldCat Record")</f>
        <v>WorldCat Record</v>
      </c>
      <c r="AW505" s="2" t="s">
        <v>6313</v>
      </c>
      <c r="AX505" s="2" t="s">
        <v>6314</v>
      </c>
      <c r="AY505" s="2" t="s">
        <v>6315</v>
      </c>
      <c r="AZ505" s="2" t="s">
        <v>6315</v>
      </c>
      <c r="BA505" s="2" t="s">
        <v>6316</v>
      </c>
      <c r="BB505" s="2" t="s">
        <v>20</v>
      </c>
      <c r="BD505" s="2" t="s">
        <v>6317</v>
      </c>
      <c r="BE505" s="2" t="s">
        <v>6318</v>
      </c>
      <c r="BF505" s="2" t="s">
        <v>6319</v>
      </c>
    </row>
    <row r="506" spans="1:58" ht="39.75" customHeight="1" x14ac:dyDescent="0.25">
      <c r="A506" s="7" t="s">
        <v>5</v>
      </c>
      <c r="B506" s="1" t="s">
        <v>0</v>
      </c>
      <c r="C506" s="1" t="s">
        <v>1</v>
      </c>
      <c r="D506" s="1" t="s">
        <v>6320</v>
      </c>
      <c r="E506" s="1" t="s">
        <v>6321</v>
      </c>
      <c r="F506" s="1" t="s">
        <v>6322</v>
      </c>
      <c r="H506" s="2" t="s">
        <v>5</v>
      </c>
      <c r="I506" s="2" t="s">
        <v>6</v>
      </c>
      <c r="J506" s="2" t="s">
        <v>5</v>
      </c>
      <c r="K506" s="2" t="s">
        <v>5</v>
      </c>
      <c r="L506" s="2" t="s">
        <v>7</v>
      </c>
      <c r="M506" s="1" t="s">
        <v>6323</v>
      </c>
      <c r="N506" s="1" t="s">
        <v>6324</v>
      </c>
      <c r="O506" s="2" t="s">
        <v>108</v>
      </c>
      <c r="Q506" s="2" t="s">
        <v>60</v>
      </c>
      <c r="R506" s="2" t="s">
        <v>871</v>
      </c>
      <c r="T506" s="2" t="s">
        <v>13</v>
      </c>
      <c r="U506" s="3">
        <v>3</v>
      </c>
      <c r="V506" s="3">
        <v>3</v>
      </c>
      <c r="W506" s="4" t="s">
        <v>6312</v>
      </c>
      <c r="X506" s="4" t="s">
        <v>6312</v>
      </c>
      <c r="Y506" s="4" t="s">
        <v>5333</v>
      </c>
      <c r="Z506" s="4" t="s">
        <v>5333</v>
      </c>
      <c r="AA506" s="3">
        <v>735</v>
      </c>
      <c r="AB506" s="3">
        <v>643</v>
      </c>
      <c r="AC506" s="3">
        <v>650</v>
      </c>
      <c r="AD506" s="3">
        <v>8</v>
      </c>
      <c r="AE506" s="9">
        <v>8</v>
      </c>
      <c r="AF506" s="9">
        <v>23</v>
      </c>
      <c r="AG506" s="9">
        <v>23</v>
      </c>
      <c r="AH506" s="3">
        <v>5</v>
      </c>
      <c r="AI506" s="3">
        <v>5</v>
      </c>
      <c r="AJ506" s="3">
        <v>4</v>
      </c>
      <c r="AK506" s="3">
        <v>4</v>
      </c>
      <c r="AL506" s="3">
        <v>10</v>
      </c>
      <c r="AM506" s="3">
        <v>10</v>
      </c>
      <c r="AN506" s="3">
        <v>7</v>
      </c>
      <c r="AO506" s="3">
        <v>7</v>
      </c>
      <c r="AP506" s="3">
        <v>0</v>
      </c>
      <c r="AQ506" s="3">
        <v>0</v>
      </c>
      <c r="AR506" s="2" t="s">
        <v>5</v>
      </c>
      <c r="AS506" s="2" t="s">
        <v>46</v>
      </c>
      <c r="AT506" s="5" t="str">
        <f>HYPERLINK("http://catalog.hathitrust.org/Record/001049371","HathiTrust Record")</f>
        <v>HathiTrust Record</v>
      </c>
      <c r="AU506" s="5" t="str">
        <f>HYPERLINK("https://creighton-primo.hosted.exlibrisgroup.com/primo-explore/search?tab=default_tab&amp;search_scope=EVERYTHING&amp;vid=01CRU&amp;lang=en_US&amp;offset=0&amp;query=any,contains,991002228799702656","Catalog Record")</f>
        <v>Catalog Record</v>
      </c>
      <c r="AV506" s="5" t="str">
        <f>HYPERLINK("http://www.worldcat.org/oclc/293084","WorldCat Record")</f>
        <v>WorldCat Record</v>
      </c>
      <c r="AW506" s="2" t="s">
        <v>6325</v>
      </c>
      <c r="AX506" s="2" t="s">
        <v>6326</v>
      </c>
      <c r="AY506" s="2" t="s">
        <v>6327</v>
      </c>
      <c r="AZ506" s="2" t="s">
        <v>6327</v>
      </c>
      <c r="BA506" s="2" t="s">
        <v>6328</v>
      </c>
      <c r="BB506" s="2" t="s">
        <v>20</v>
      </c>
      <c r="BD506" s="2" t="s">
        <v>6329</v>
      </c>
      <c r="BE506" s="2" t="s">
        <v>6330</v>
      </c>
      <c r="BF506" s="2" t="s">
        <v>6331</v>
      </c>
    </row>
    <row r="507" spans="1:58" ht="39.75" customHeight="1" x14ac:dyDescent="0.25">
      <c r="A507" s="7" t="s">
        <v>5</v>
      </c>
      <c r="B507" s="1" t="s">
        <v>0</v>
      </c>
      <c r="C507" s="1" t="s">
        <v>1</v>
      </c>
      <c r="D507" s="1" t="s">
        <v>6332</v>
      </c>
      <c r="E507" s="1" t="s">
        <v>6333</v>
      </c>
      <c r="F507" s="1" t="s">
        <v>6334</v>
      </c>
      <c r="H507" s="2" t="s">
        <v>5</v>
      </c>
      <c r="I507" s="2" t="s">
        <v>6</v>
      </c>
      <c r="J507" s="2" t="s">
        <v>5</v>
      </c>
      <c r="K507" s="2" t="s">
        <v>5</v>
      </c>
      <c r="L507" s="2" t="s">
        <v>7</v>
      </c>
      <c r="M507" s="1" t="s">
        <v>6335</v>
      </c>
      <c r="N507" s="1" t="s">
        <v>6336</v>
      </c>
      <c r="O507" s="2" t="s">
        <v>91</v>
      </c>
      <c r="Q507" s="2" t="s">
        <v>60</v>
      </c>
      <c r="R507" s="2" t="s">
        <v>61</v>
      </c>
      <c r="S507" s="1" t="s">
        <v>6337</v>
      </c>
      <c r="T507" s="2" t="s">
        <v>13</v>
      </c>
      <c r="U507" s="3">
        <v>2</v>
      </c>
      <c r="V507" s="3">
        <v>2</v>
      </c>
      <c r="W507" s="4" t="s">
        <v>93</v>
      </c>
      <c r="X507" s="4" t="s">
        <v>93</v>
      </c>
      <c r="Y507" s="4" t="s">
        <v>6338</v>
      </c>
      <c r="Z507" s="4" t="s">
        <v>6338</v>
      </c>
      <c r="AA507" s="3">
        <v>413</v>
      </c>
      <c r="AB507" s="3">
        <v>369</v>
      </c>
      <c r="AC507" s="3">
        <v>533</v>
      </c>
      <c r="AD507" s="3">
        <v>3</v>
      </c>
      <c r="AE507" s="9">
        <v>5</v>
      </c>
      <c r="AF507" s="9">
        <v>23</v>
      </c>
      <c r="AG507" s="9">
        <v>28</v>
      </c>
      <c r="AH507" s="3">
        <v>10</v>
      </c>
      <c r="AI507" s="3">
        <v>11</v>
      </c>
      <c r="AJ507" s="3">
        <v>5</v>
      </c>
      <c r="AK507" s="3">
        <v>5</v>
      </c>
      <c r="AL507" s="3">
        <v>13</v>
      </c>
      <c r="AM507" s="3">
        <v>15</v>
      </c>
      <c r="AN507" s="3">
        <v>2</v>
      </c>
      <c r="AO507" s="3">
        <v>4</v>
      </c>
      <c r="AP507" s="3">
        <v>0</v>
      </c>
      <c r="AQ507" s="3">
        <v>0</v>
      </c>
      <c r="AR507" s="2" t="s">
        <v>5</v>
      </c>
      <c r="AS507" s="2" t="s">
        <v>46</v>
      </c>
      <c r="AT507" s="5" t="str">
        <f>HYPERLINK("http://catalog.hathitrust.org/Record/002858067","HathiTrust Record")</f>
        <v>HathiTrust Record</v>
      </c>
      <c r="AU507" s="5" t="str">
        <f>HYPERLINK("https://creighton-primo.hosted.exlibrisgroup.com/primo-explore/search?tab=default_tab&amp;search_scope=EVERYTHING&amp;vid=01CRU&amp;lang=en_US&amp;offset=0&amp;query=any,contains,991002218779702656","Catalog Record")</f>
        <v>Catalog Record</v>
      </c>
      <c r="AV507" s="5" t="str">
        <f>HYPERLINK("http://www.worldcat.org/oclc/28584427","WorldCat Record")</f>
        <v>WorldCat Record</v>
      </c>
      <c r="AW507" s="2" t="s">
        <v>6339</v>
      </c>
      <c r="AX507" s="2" t="s">
        <v>6340</v>
      </c>
      <c r="AY507" s="2" t="s">
        <v>6341</v>
      </c>
      <c r="AZ507" s="2" t="s">
        <v>6341</v>
      </c>
      <c r="BA507" s="2" t="s">
        <v>6342</v>
      </c>
      <c r="BB507" s="2" t="s">
        <v>20</v>
      </c>
      <c r="BD507" s="2" t="s">
        <v>6343</v>
      </c>
      <c r="BE507" s="2" t="s">
        <v>6344</v>
      </c>
      <c r="BF507" s="2" t="s">
        <v>6345</v>
      </c>
    </row>
    <row r="508" spans="1:58" ht="39.75" customHeight="1" x14ac:dyDescent="0.25">
      <c r="A508" s="7" t="s">
        <v>5</v>
      </c>
      <c r="B508" s="1" t="s">
        <v>0</v>
      </c>
      <c r="C508" s="1" t="s">
        <v>1</v>
      </c>
      <c r="D508" s="1" t="s">
        <v>6346</v>
      </c>
      <c r="E508" s="1" t="s">
        <v>6347</v>
      </c>
      <c r="F508" s="1" t="s">
        <v>6348</v>
      </c>
      <c r="H508" s="2" t="s">
        <v>5</v>
      </c>
      <c r="I508" s="2" t="s">
        <v>6</v>
      </c>
      <c r="J508" s="2" t="s">
        <v>5</v>
      </c>
      <c r="K508" s="2" t="s">
        <v>5</v>
      </c>
      <c r="L508" s="2" t="s">
        <v>7</v>
      </c>
      <c r="M508" s="1" t="s">
        <v>6349</v>
      </c>
      <c r="N508" s="1" t="s">
        <v>6350</v>
      </c>
      <c r="O508" s="2" t="s">
        <v>736</v>
      </c>
      <c r="P508" s="1" t="s">
        <v>2908</v>
      </c>
      <c r="Q508" s="2" t="s">
        <v>1151</v>
      </c>
      <c r="R508" s="2" t="s">
        <v>1152</v>
      </c>
      <c r="S508" s="1" t="s">
        <v>6351</v>
      </c>
      <c r="T508" s="2" t="s">
        <v>13</v>
      </c>
      <c r="U508" s="3">
        <v>1</v>
      </c>
      <c r="V508" s="3">
        <v>1</v>
      </c>
      <c r="W508" s="4" t="s">
        <v>4676</v>
      </c>
      <c r="X508" s="4" t="s">
        <v>4676</v>
      </c>
      <c r="Y508" s="4" t="s">
        <v>4676</v>
      </c>
      <c r="Z508" s="4" t="s">
        <v>4676</v>
      </c>
      <c r="AA508" s="3">
        <v>183</v>
      </c>
      <c r="AB508" s="3">
        <v>130</v>
      </c>
      <c r="AC508" s="3">
        <v>133</v>
      </c>
      <c r="AD508" s="3">
        <v>2</v>
      </c>
      <c r="AE508" s="9">
        <v>2</v>
      </c>
      <c r="AF508" s="9">
        <v>5</v>
      </c>
      <c r="AG508" s="9">
        <v>5</v>
      </c>
      <c r="AH508" s="3">
        <v>2</v>
      </c>
      <c r="AI508" s="3">
        <v>2</v>
      </c>
      <c r="AJ508" s="3">
        <v>2</v>
      </c>
      <c r="AK508" s="3">
        <v>2</v>
      </c>
      <c r="AL508" s="3">
        <v>1</v>
      </c>
      <c r="AM508" s="3">
        <v>1</v>
      </c>
      <c r="AN508" s="3">
        <v>1</v>
      </c>
      <c r="AO508" s="3">
        <v>1</v>
      </c>
      <c r="AP508" s="3">
        <v>0</v>
      </c>
      <c r="AQ508" s="3">
        <v>0</v>
      </c>
      <c r="AR508" s="2" t="s">
        <v>5</v>
      </c>
      <c r="AS508" s="2" t="s">
        <v>46</v>
      </c>
      <c r="AT508" s="5" t="str">
        <f>HYPERLINK("http://catalog.hathitrust.org/Record/002465553","HathiTrust Record")</f>
        <v>HathiTrust Record</v>
      </c>
      <c r="AU508" s="5" t="str">
        <f>HYPERLINK("https://creighton-primo.hosted.exlibrisgroup.com/primo-explore/search?tab=default_tab&amp;search_scope=EVERYTHING&amp;vid=01CRU&amp;lang=en_US&amp;offset=0&amp;query=any,contains,991004271019702656","Catalog Record")</f>
        <v>Catalog Record</v>
      </c>
      <c r="AV508" s="5" t="str">
        <f>HYPERLINK("http://www.worldcat.org/oclc/24804278","WorldCat Record")</f>
        <v>WorldCat Record</v>
      </c>
      <c r="AW508" s="2" t="s">
        <v>6352</v>
      </c>
      <c r="AX508" s="2" t="s">
        <v>6353</v>
      </c>
      <c r="AY508" s="2" t="s">
        <v>6354</v>
      </c>
      <c r="AZ508" s="2" t="s">
        <v>6354</v>
      </c>
      <c r="BA508" s="2" t="s">
        <v>6355</v>
      </c>
      <c r="BB508" s="2" t="s">
        <v>20</v>
      </c>
      <c r="BD508" s="2" t="s">
        <v>6356</v>
      </c>
      <c r="BE508" s="2" t="s">
        <v>6357</v>
      </c>
      <c r="BF508" s="2" t="s">
        <v>6358</v>
      </c>
    </row>
    <row r="509" spans="1:58" ht="39.75" customHeight="1" x14ac:dyDescent="0.25">
      <c r="A509" s="7" t="s">
        <v>5</v>
      </c>
      <c r="B509" s="1" t="s">
        <v>0</v>
      </c>
      <c r="C509" s="1" t="s">
        <v>1</v>
      </c>
      <c r="D509" s="1" t="s">
        <v>6359</v>
      </c>
      <c r="E509" s="1" t="s">
        <v>6360</v>
      </c>
      <c r="F509" s="1" t="s">
        <v>6361</v>
      </c>
      <c r="H509" s="2" t="s">
        <v>5</v>
      </c>
      <c r="I509" s="2" t="s">
        <v>6</v>
      </c>
      <c r="J509" s="2" t="s">
        <v>5</v>
      </c>
      <c r="K509" s="2" t="s">
        <v>5</v>
      </c>
      <c r="L509" s="2" t="s">
        <v>7</v>
      </c>
      <c r="M509" s="1" t="s">
        <v>6362</v>
      </c>
      <c r="N509" s="1" t="s">
        <v>6363</v>
      </c>
      <c r="O509" s="2" t="s">
        <v>108</v>
      </c>
      <c r="Q509" s="2" t="s">
        <v>1151</v>
      </c>
      <c r="R509" s="2" t="s">
        <v>61</v>
      </c>
      <c r="S509" s="1" t="s">
        <v>6364</v>
      </c>
      <c r="T509" s="2" t="s">
        <v>13</v>
      </c>
      <c r="U509" s="3">
        <v>2</v>
      </c>
      <c r="V509" s="3">
        <v>2</v>
      </c>
      <c r="W509" s="4" t="s">
        <v>3793</v>
      </c>
      <c r="X509" s="4" t="s">
        <v>3793</v>
      </c>
      <c r="Y509" s="4" t="s">
        <v>5361</v>
      </c>
      <c r="Z509" s="4" t="s">
        <v>5361</v>
      </c>
      <c r="AA509" s="3">
        <v>91</v>
      </c>
      <c r="AB509" s="3">
        <v>75</v>
      </c>
      <c r="AC509" s="3">
        <v>280</v>
      </c>
      <c r="AD509" s="3">
        <v>2</v>
      </c>
      <c r="AE509" s="9">
        <v>3</v>
      </c>
      <c r="AF509" s="9">
        <v>6</v>
      </c>
      <c r="AG509" s="9">
        <v>16</v>
      </c>
      <c r="AH509" s="3">
        <v>0</v>
      </c>
      <c r="AI509" s="3">
        <v>4</v>
      </c>
      <c r="AJ509" s="3">
        <v>1</v>
      </c>
      <c r="AK509" s="3">
        <v>5</v>
      </c>
      <c r="AL509" s="3">
        <v>4</v>
      </c>
      <c r="AM509" s="3">
        <v>10</v>
      </c>
      <c r="AN509" s="3">
        <v>1</v>
      </c>
      <c r="AO509" s="3">
        <v>2</v>
      </c>
      <c r="AP509" s="3">
        <v>0</v>
      </c>
      <c r="AQ509" s="3">
        <v>0</v>
      </c>
      <c r="AR509" s="2" t="s">
        <v>5</v>
      </c>
      <c r="AS509" s="2" t="s">
        <v>5</v>
      </c>
      <c r="AU509" s="5" t="str">
        <f>HYPERLINK("https://creighton-primo.hosted.exlibrisgroup.com/primo-explore/search?tab=default_tab&amp;search_scope=EVERYTHING&amp;vid=01CRU&amp;lang=en_US&amp;offset=0&amp;query=any,contains,991003297079702656","Catalog Record")</f>
        <v>Catalog Record</v>
      </c>
      <c r="AV509" s="5" t="str">
        <f>HYPERLINK("http://www.worldcat.org/oclc/820059","WorldCat Record")</f>
        <v>WorldCat Record</v>
      </c>
      <c r="AW509" s="2" t="s">
        <v>6365</v>
      </c>
      <c r="AX509" s="2" t="s">
        <v>6366</v>
      </c>
      <c r="AY509" s="2" t="s">
        <v>6367</v>
      </c>
      <c r="AZ509" s="2" t="s">
        <v>6367</v>
      </c>
      <c r="BA509" s="2" t="s">
        <v>6368</v>
      </c>
      <c r="BB509" s="2" t="s">
        <v>20</v>
      </c>
      <c r="BD509" s="2" t="s">
        <v>6369</v>
      </c>
      <c r="BE509" s="2" t="s">
        <v>6370</v>
      </c>
      <c r="BF509" s="2" t="s">
        <v>6371</v>
      </c>
    </row>
    <row r="510" spans="1:58" ht="39.75" customHeight="1" x14ac:dyDescent="0.25">
      <c r="A510" s="7" t="s">
        <v>5</v>
      </c>
      <c r="B510" s="1" t="s">
        <v>0</v>
      </c>
      <c r="C510" s="1" t="s">
        <v>1</v>
      </c>
      <c r="D510" s="1" t="s">
        <v>6372</v>
      </c>
      <c r="E510" s="1" t="s">
        <v>6373</v>
      </c>
      <c r="F510" s="1" t="s">
        <v>6374</v>
      </c>
      <c r="H510" s="2" t="s">
        <v>5</v>
      </c>
      <c r="I510" s="2" t="s">
        <v>6</v>
      </c>
      <c r="J510" s="2" t="s">
        <v>5</v>
      </c>
      <c r="K510" s="2" t="s">
        <v>5</v>
      </c>
      <c r="L510" s="2" t="s">
        <v>7</v>
      </c>
      <c r="M510" s="1" t="s">
        <v>6375</v>
      </c>
      <c r="N510" s="1" t="s">
        <v>6376</v>
      </c>
      <c r="O510" s="2" t="s">
        <v>4298</v>
      </c>
      <c r="Q510" s="2" t="s">
        <v>60</v>
      </c>
      <c r="R510" s="2" t="s">
        <v>277</v>
      </c>
      <c r="T510" s="2" t="s">
        <v>13</v>
      </c>
      <c r="U510" s="3">
        <v>11</v>
      </c>
      <c r="V510" s="3">
        <v>11</v>
      </c>
      <c r="W510" s="4" t="s">
        <v>6377</v>
      </c>
      <c r="X510" s="4" t="s">
        <v>6377</v>
      </c>
      <c r="Y510" s="4" t="s">
        <v>5333</v>
      </c>
      <c r="Z510" s="4" t="s">
        <v>5333</v>
      </c>
      <c r="AA510" s="3">
        <v>282</v>
      </c>
      <c r="AB510" s="3">
        <v>221</v>
      </c>
      <c r="AC510" s="3">
        <v>347</v>
      </c>
      <c r="AD510" s="3">
        <v>2</v>
      </c>
      <c r="AE510" s="9">
        <v>4</v>
      </c>
      <c r="AF510" s="9">
        <v>15</v>
      </c>
      <c r="AG510" s="9">
        <v>22</v>
      </c>
      <c r="AH510" s="3">
        <v>5</v>
      </c>
      <c r="AI510" s="3">
        <v>6</v>
      </c>
      <c r="AJ510" s="3">
        <v>2</v>
      </c>
      <c r="AK510" s="3">
        <v>5</v>
      </c>
      <c r="AL510" s="3">
        <v>11</v>
      </c>
      <c r="AM510" s="3">
        <v>13</v>
      </c>
      <c r="AN510" s="3">
        <v>1</v>
      </c>
      <c r="AO510" s="3">
        <v>3</v>
      </c>
      <c r="AP510" s="3">
        <v>0</v>
      </c>
      <c r="AQ510" s="3">
        <v>0</v>
      </c>
      <c r="AR510" s="2" t="s">
        <v>46</v>
      </c>
      <c r="AS510" s="2" t="s">
        <v>5</v>
      </c>
      <c r="AT510" s="5" t="str">
        <f>HYPERLINK("http://catalog.hathitrust.org/Record/100769412","HathiTrust Record")</f>
        <v>HathiTrust Record</v>
      </c>
      <c r="AU510" s="5" t="str">
        <f>HYPERLINK("https://creighton-primo.hosted.exlibrisgroup.com/primo-explore/search?tab=default_tab&amp;search_scope=EVERYTHING&amp;vid=01CRU&amp;lang=en_US&amp;offset=0&amp;query=any,contains,991004403969702656","Catalog Record")</f>
        <v>Catalog Record</v>
      </c>
      <c r="AV510" s="5" t="str">
        <f>HYPERLINK("http://www.worldcat.org/oclc/3312699","WorldCat Record")</f>
        <v>WorldCat Record</v>
      </c>
      <c r="AW510" s="2" t="s">
        <v>6378</v>
      </c>
      <c r="AX510" s="2" t="s">
        <v>6379</v>
      </c>
      <c r="AY510" s="2" t="s">
        <v>6380</v>
      </c>
      <c r="AZ510" s="2" t="s">
        <v>6380</v>
      </c>
      <c r="BA510" s="2" t="s">
        <v>6381</v>
      </c>
      <c r="BB510" s="2" t="s">
        <v>20</v>
      </c>
      <c r="BE510" s="2" t="s">
        <v>6382</v>
      </c>
      <c r="BF510" s="2" t="s">
        <v>6383</v>
      </c>
    </row>
    <row r="511" spans="1:58" ht="39.75" customHeight="1" x14ac:dyDescent="0.25">
      <c r="A511" s="7" t="s">
        <v>5</v>
      </c>
      <c r="B511" s="1" t="s">
        <v>0</v>
      </c>
      <c r="C511" s="1" t="s">
        <v>1</v>
      </c>
      <c r="D511" s="1" t="s">
        <v>6384</v>
      </c>
      <c r="E511" s="1" t="s">
        <v>6385</v>
      </c>
      <c r="F511" s="1" t="s">
        <v>6386</v>
      </c>
      <c r="H511" s="2" t="s">
        <v>5</v>
      </c>
      <c r="I511" s="2" t="s">
        <v>6</v>
      </c>
      <c r="J511" s="2" t="s">
        <v>5</v>
      </c>
      <c r="K511" s="2" t="s">
        <v>5</v>
      </c>
      <c r="L511" s="2" t="s">
        <v>7</v>
      </c>
      <c r="M511" s="1" t="s">
        <v>6387</v>
      </c>
      <c r="N511" s="1" t="s">
        <v>6388</v>
      </c>
      <c r="O511" s="2" t="s">
        <v>42</v>
      </c>
      <c r="P511" s="1" t="s">
        <v>5939</v>
      </c>
      <c r="Q511" s="2" t="s">
        <v>1151</v>
      </c>
      <c r="R511" s="2" t="s">
        <v>5863</v>
      </c>
      <c r="S511" s="1" t="s">
        <v>6389</v>
      </c>
      <c r="T511" s="2" t="s">
        <v>13</v>
      </c>
      <c r="U511" s="3">
        <v>2</v>
      </c>
      <c r="V511" s="3">
        <v>2</v>
      </c>
      <c r="W511" s="4" t="s">
        <v>3793</v>
      </c>
      <c r="X511" s="4" t="s">
        <v>3793</v>
      </c>
      <c r="Y511" s="4" t="s">
        <v>5361</v>
      </c>
      <c r="Z511" s="4" t="s">
        <v>5361</v>
      </c>
      <c r="AA511" s="3">
        <v>15</v>
      </c>
      <c r="AB511" s="3">
        <v>7</v>
      </c>
      <c r="AC511" s="3">
        <v>103</v>
      </c>
      <c r="AD511" s="3">
        <v>1</v>
      </c>
      <c r="AE511" s="9">
        <v>1</v>
      </c>
      <c r="AF511" s="9">
        <v>0</v>
      </c>
      <c r="AG511" s="9">
        <v>5</v>
      </c>
      <c r="AH511" s="3">
        <v>0</v>
      </c>
      <c r="AI511" s="3">
        <v>1</v>
      </c>
      <c r="AJ511" s="3">
        <v>0</v>
      </c>
      <c r="AK511" s="3">
        <v>3</v>
      </c>
      <c r="AL511" s="3">
        <v>0</v>
      </c>
      <c r="AM511" s="3">
        <v>4</v>
      </c>
      <c r="AN511" s="3">
        <v>0</v>
      </c>
      <c r="AO511" s="3">
        <v>0</v>
      </c>
      <c r="AP511" s="3">
        <v>0</v>
      </c>
      <c r="AQ511" s="3">
        <v>0</v>
      </c>
      <c r="AR511" s="2" t="s">
        <v>5</v>
      </c>
      <c r="AS511" s="2" t="s">
        <v>5</v>
      </c>
      <c r="AU511" s="5" t="str">
        <f>HYPERLINK("https://creighton-primo.hosted.exlibrisgroup.com/primo-explore/search?tab=default_tab&amp;search_scope=EVERYTHING&amp;vid=01CRU&amp;lang=en_US&amp;offset=0&amp;query=any,contains,991002251009702656","Catalog Record")</f>
        <v>Catalog Record</v>
      </c>
      <c r="AV511" s="5" t="str">
        <f>HYPERLINK("http://www.worldcat.org/oclc/29123582","WorldCat Record")</f>
        <v>WorldCat Record</v>
      </c>
      <c r="AW511" s="2" t="s">
        <v>6390</v>
      </c>
      <c r="AX511" s="2" t="s">
        <v>6391</v>
      </c>
      <c r="AY511" s="2" t="s">
        <v>6392</v>
      </c>
      <c r="AZ511" s="2" t="s">
        <v>6392</v>
      </c>
      <c r="BA511" s="2" t="s">
        <v>6393</v>
      </c>
      <c r="BB511" s="2" t="s">
        <v>20</v>
      </c>
      <c r="BD511" s="2" t="s">
        <v>6394</v>
      </c>
      <c r="BE511" s="2" t="s">
        <v>6395</v>
      </c>
      <c r="BF511" s="2" t="s">
        <v>6396</v>
      </c>
    </row>
    <row r="512" spans="1:58" ht="39.75" customHeight="1" x14ac:dyDescent="0.25">
      <c r="A512" s="7" t="s">
        <v>5</v>
      </c>
      <c r="B512" s="1" t="s">
        <v>0</v>
      </c>
      <c r="C512" s="1" t="s">
        <v>1</v>
      </c>
      <c r="D512" s="1" t="s">
        <v>6397</v>
      </c>
      <c r="E512" s="1" t="s">
        <v>6398</v>
      </c>
      <c r="F512" s="1" t="s">
        <v>6399</v>
      </c>
      <c r="G512" s="2" t="s">
        <v>2107</v>
      </c>
      <c r="H512" s="2" t="s">
        <v>46</v>
      </c>
      <c r="I512" s="2" t="s">
        <v>6</v>
      </c>
      <c r="J512" s="2" t="s">
        <v>5</v>
      </c>
      <c r="K512" s="2" t="s">
        <v>5</v>
      </c>
      <c r="L512" s="2" t="s">
        <v>7</v>
      </c>
      <c r="M512" s="1" t="s">
        <v>6400</v>
      </c>
      <c r="N512" s="1" t="s">
        <v>6401</v>
      </c>
      <c r="O512" s="2" t="s">
        <v>480</v>
      </c>
      <c r="Q512" s="2" t="s">
        <v>1151</v>
      </c>
      <c r="R512" s="2" t="s">
        <v>1152</v>
      </c>
      <c r="S512" s="1" t="s">
        <v>6402</v>
      </c>
      <c r="T512" s="2" t="s">
        <v>13</v>
      </c>
      <c r="U512" s="3">
        <v>1</v>
      </c>
      <c r="V512" s="3">
        <v>2</v>
      </c>
      <c r="W512" s="4" t="s">
        <v>5086</v>
      </c>
      <c r="X512" s="4" t="s">
        <v>5086</v>
      </c>
      <c r="Y512" s="4" t="s">
        <v>5086</v>
      </c>
      <c r="Z512" s="4" t="s">
        <v>5086</v>
      </c>
      <c r="AA512" s="3">
        <v>213</v>
      </c>
      <c r="AB512" s="3">
        <v>180</v>
      </c>
      <c r="AC512" s="3">
        <v>182</v>
      </c>
      <c r="AD512" s="3">
        <v>2</v>
      </c>
      <c r="AE512" s="9">
        <v>2</v>
      </c>
      <c r="AF512" s="9">
        <v>13</v>
      </c>
      <c r="AG512" s="9">
        <v>13</v>
      </c>
      <c r="AH512" s="3">
        <v>4</v>
      </c>
      <c r="AI512" s="3">
        <v>4</v>
      </c>
      <c r="AJ512" s="3">
        <v>2</v>
      </c>
      <c r="AK512" s="3">
        <v>2</v>
      </c>
      <c r="AL512" s="3">
        <v>9</v>
      </c>
      <c r="AM512" s="3">
        <v>9</v>
      </c>
      <c r="AN512" s="3">
        <v>1</v>
      </c>
      <c r="AO512" s="3">
        <v>1</v>
      </c>
      <c r="AP512" s="3">
        <v>0</v>
      </c>
      <c r="AQ512" s="3">
        <v>0</v>
      </c>
      <c r="AR512" s="2" t="s">
        <v>5</v>
      </c>
      <c r="AS512" s="2" t="s">
        <v>46</v>
      </c>
      <c r="AT512" s="5" t="str">
        <f>HYPERLINK("http://catalog.hathitrust.org/Record/001037037","HathiTrust Record")</f>
        <v>HathiTrust Record</v>
      </c>
      <c r="AU512" s="5" t="str">
        <f>HYPERLINK("https://creighton-primo.hosted.exlibrisgroup.com/primo-explore/search?tab=default_tab&amp;search_scope=EVERYTHING&amp;vid=01CRU&amp;lang=en_US&amp;offset=0&amp;query=any,contains,991004523799702656","Catalog Record")</f>
        <v>Catalog Record</v>
      </c>
      <c r="AV512" s="5" t="str">
        <f>HYPERLINK("http://www.worldcat.org/oclc/734074","WorldCat Record")</f>
        <v>WorldCat Record</v>
      </c>
      <c r="AW512" s="2" t="s">
        <v>6403</v>
      </c>
      <c r="AX512" s="2" t="s">
        <v>6404</v>
      </c>
      <c r="AY512" s="2" t="s">
        <v>6405</v>
      </c>
      <c r="AZ512" s="2" t="s">
        <v>6405</v>
      </c>
      <c r="BA512" s="2" t="s">
        <v>6406</v>
      </c>
      <c r="BB512" s="2" t="s">
        <v>20</v>
      </c>
      <c r="BE512" s="2" t="s">
        <v>6407</v>
      </c>
      <c r="BF512" s="2" t="s">
        <v>6408</v>
      </c>
    </row>
    <row r="513" spans="1:58" ht="39.75" customHeight="1" x14ac:dyDescent="0.25">
      <c r="A513" s="7" t="s">
        <v>5</v>
      </c>
      <c r="B513" s="1" t="s">
        <v>0</v>
      </c>
      <c r="C513" s="1" t="s">
        <v>1</v>
      </c>
      <c r="D513" s="1" t="s">
        <v>6397</v>
      </c>
      <c r="E513" s="1" t="s">
        <v>6398</v>
      </c>
      <c r="F513" s="1" t="s">
        <v>6399</v>
      </c>
      <c r="G513" s="2" t="s">
        <v>2083</v>
      </c>
      <c r="H513" s="2" t="s">
        <v>46</v>
      </c>
      <c r="I513" s="2" t="s">
        <v>6</v>
      </c>
      <c r="J513" s="2" t="s">
        <v>5</v>
      </c>
      <c r="K513" s="2" t="s">
        <v>5</v>
      </c>
      <c r="L513" s="2" t="s">
        <v>7</v>
      </c>
      <c r="M513" s="1" t="s">
        <v>6400</v>
      </c>
      <c r="N513" s="1" t="s">
        <v>6401</v>
      </c>
      <c r="O513" s="2" t="s">
        <v>480</v>
      </c>
      <c r="Q513" s="2" t="s">
        <v>1151</v>
      </c>
      <c r="R513" s="2" t="s">
        <v>1152</v>
      </c>
      <c r="S513" s="1" t="s">
        <v>6402</v>
      </c>
      <c r="T513" s="2" t="s">
        <v>13</v>
      </c>
      <c r="U513" s="3">
        <v>1</v>
      </c>
      <c r="V513" s="3">
        <v>2</v>
      </c>
      <c r="W513" s="4" t="s">
        <v>5086</v>
      </c>
      <c r="X513" s="4" t="s">
        <v>5086</v>
      </c>
      <c r="Y513" s="4" t="s">
        <v>5086</v>
      </c>
      <c r="Z513" s="4" t="s">
        <v>5086</v>
      </c>
      <c r="AA513" s="3">
        <v>213</v>
      </c>
      <c r="AB513" s="3">
        <v>180</v>
      </c>
      <c r="AC513" s="3">
        <v>182</v>
      </c>
      <c r="AD513" s="3">
        <v>2</v>
      </c>
      <c r="AE513" s="9">
        <v>2</v>
      </c>
      <c r="AF513" s="9">
        <v>13</v>
      </c>
      <c r="AG513" s="9">
        <v>13</v>
      </c>
      <c r="AH513" s="3">
        <v>4</v>
      </c>
      <c r="AI513" s="3">
        <v>4</v>
      </c>
      <c r="AJ513" s="3">
        <v>2</v>
      </c>
      <c r="AK513" s="3">
        <v>2</v>
      </c>
      <c r="AL513" s="3">
        <v>9</v>
      </c>
      <c r="AM513" s="3">
        <v>9</v>
      </c>
      <c r="AN513" s="3">
        <v>1</v>
      </c>
      <c r="AO513" s="3">
        <v>1</v>
      </c>
      <c r="AP513" s="3">
        <v>0</v>
      </c>
      <c r="AQ513" s="3">
        <v>0</v>
      </c>
      <c r="AR513" s="2" t="s">
        <v>5</v>
      </c>
      <c r="AS513" s="2" t="s">
        <v>46</v>
      </c>
      <c r="AT513" s="5" t="str">
        <f>HYPERLINK("http://catalog.hathitrust.org/Record/001037037","HathiTrust Record")</f>
        <v>HathiTrust Record</v>
      </c>
      <c r="AU513" s="5" t="str">
        <f>HYPERLINK("https://creighton-primo.hosted.exlibrisgroup.com/primo-explore/search?tab=default_tab&amp;search_scope=EVERYTHING&amp;vid=01CRU&amp;lang=en_US&amp;offset=0&amp;query=any,contains,991004523799702656","Catalog Record")</f>
        <v>Catalog Record</v>
      </c>
      <c r="AV513" s="5" t="str">
        <f>HYPERLINK("http://www.worldcat.org/oclc/734074","WorldCat Record")</f>
        <v>WorldCat Record</v>
      </c>
      <c r="AW513" s="2" t="s">
        <v>6403</v>
      </c>
      <c r="AX513" s="2" t="s">
        <v>6404</v>
      </c>
      <c r="AY513" s="2" t="s">
        <v>6405</v>
      </c>
      <c r="AZ513" s="2" t="s">
        <v>6405</v>
      </c>
      <c r="BA513" s="2" t="s">
        <v>6406</v>
      </c>
      <c r="BB513" s="2" t="s">
        <v>20</v>
      </c>
      <c r="BE513" s="2" t="s">
        <v>6409</v>
      </c>
      <c r="BF513" s="2" t="s">
        <v>6410</v>
      </c>
    </row>
    <row r="514" spans="1:58" ht="39.75" customHeight="1" x14ac:dyDescent="0.25">
      <c r="A514" s="7" t="s">
        <v>5</v>
      </c>
      <c r="B514" s="1" t="s">
        <v>0</v>
      </c>
      <c r="C514" s="1" t="s">
        <v>1</v>
      </c>
      <c r="D514" s="1" t="s">
        <v>6411</v>
      </c>
      <c r="E514" s="1" t="s">
        <v>6412</v>
      </c>
      <c r="F514" s="1" t="s">
        <v>6413</v>
      </c>
      <c r="H514" s="2" t="s">
        <v>5</v>
      </c>
      <c r="I514" s="2" t="s">
        <v>6</v>
      </c>
      <c r="J514" s="2" t="s">
        <v>5</v>
      </c>
      <c r="K514" s="2" t="s">
        <v>5</v>
      </c>
      <c r="L514" s="2" t="s">
        <v>7</v>
      </c>
      <c r="M514" s="1" t="s">
        <v>6414</v>
      </c>
      <c r="N514" s="1" t="s">
        <v>6415</v>
      </c>
      <c r="O514" s="2" t="s">
        <v>248</v>
      </c>
      <c r="Q514" s="2" t="s">
        <v>1151</v>
      </c>
      <c r="R514" s="2" t="s">
        <v>1152</v>
      </c>
      <c r="S514" s="1" t="s">
        <v>6416</v>
      </c>
      <c r="T514" s="2" t="s">
        <v>13</v>
      </c>
      <c r="U514" s="3">
        <v>0</v>
      </c>
      <c r="V514" s="3">
        <v>0</v>
      </c>
      <c r="W514" s="4" t="s">
        <v>6417</v>
      </c>
      <c r="X514" s="4" t="s">
        <v>6417</v>
      </c>
      <c r="Y514" s="4" t="s">
        <v>5706</v>
      </c>
      <c r="Z514" s="4" t="s">
        <v>5706</v>
      </c>
      <c r="AA514" s="3">
        <v>260</v>
      </c>
      <c r="AB514" s="3">
        <v>218</v>
      </c>
      <c r="AC514" s="3">
        <v>221</v>
      </c>
      <c r="AD514" s="3">
        <v>1</v>
      </c>
      <c r="AE514" s="9">
        <v>1</v>
      </c>
      <c r="AF514" s="9">
        <v>9</v>
      </c>
      <c r="AG514" s="9">
        <v>9</v>
      </c>
      <c r="AH514" s="3">
        <v>3</v>
      </c>
      <c r="AI514" s="3">
        <v>3</v>
      </c>
      <c r="AJ514" s="3">
        <v>4</v>
      </c>
      <c r="AK514" s="3">
        <v>4</v>
      </c>
      <c r="AL514" s="3">
        <v>5</v>
      </c>
      <c r="AM514" s="3">
        <v>5</v>
      </c>
      <c r="AN514" s="3">
        <v>0</v>
      </c>
      <c r="AO514" s="3">
        <v>0</v>
      </c>
      <c r="AP514" s="3">
        <v>0</v>
      </c>
      <c r="AQ514" s="3">
        <v>0</v>
      </c>
      <c r="AR514" s="2" t="s">
        <v>5</v>
      </c>
      <c r="AS514" s="2" t="s">
        <v>46</v>
      </c>
      <c r="AT514" s="5" t="str">
        <f>HYPERLINK("http://catalog.hathitrust.org/Record/001049403","HathiTrust Record")</f>
        <v>HathiTrust Record</v>
      </c>
      <c r="AU514" s="5" t="str">
        <f>HYPERLINK("https://creighton-primo.hosted.exlibrisgroup.com/primo-explore/search?tab=default_tab&amp;search_scope=EVERYTHING&amp;vid=01CRU&amp;lang=en_US&amp;offset=0&amp;query=any,contains,991003876239702656","Catalog Record")</f>
        <v>Catalog Record</v>
      </c>
      <c r="AV514" s="5" t="str">
        <f>HYPERLINK("http://www.worldcat.org/oclc/386115","WorldCat Record")</f>
        <v>WorldCat Record</v>
      </c>
      <c r="AW514" s="2" t="s">
        <v>6418</v>
      </c>
      <c r="AX514" s="2" t="s">
        <v>6419</v>
      </c>
      <c r="AY514" s="2" t="s">
        <v>6420</v>
      </c>
      <c r="AZ514" s="2" t="s">
        <v>6420</v>
      </c>
      <c r="BA514" s="2" t="s">
        <v>6421</v>
      </c>
      <c r="BB514" s="2" t="s">
        <v>20</v>
      </c>
      <c r="BE514" s="2" t="s">
        <v>6422</v>
      </c>
      <c r="BF514" s="2" t="s">
        <v>6423</v>
      </c>
    </row>
    <row r="515" spans="1:58" ht="39.75" customHeight="1" x14ac:dyDescent="0.25">
      <c r="A515" s="7" t="s">
        <v>5</v>
      </c>
      <c r="B515" s="1" t="s">
        <v>0</v>
      </c>
      <c r="C515" s="1" t="s">
        <v>1</v>
      </c>
      <c r="D515" s="1" t="s">
        <v>6424</v>
      </c>
      <c r="E515" s="1" t="s">
        <v>6425</v>
      </c>
      <c r="F515" s="1" t="s">
        <v>6426</v>
      </c>
      <c r="H515" s="2" t="s">
        <v>5</v>
      </c>
      <c r="I515" s="2" t="s">
        <v>6</v>
      </c>
      <c r="J515" s="2" t="s">
        <v>5</v>
      </c>
      <c r="K515" s="2" t="s">
        <v>5</v>
      </c>
      <c r="L515" s="2" t="s">
        <v>7</v>
      </c>
      <c r="N515" s="1" t="s">
        <v>6427</v>
      </c>
      <c r="O515" s="2" t="s">
        <v>3817</v>
      </c>
      <c r="P515" s="1" t="s">
        <v>6428</v>
      </c>
      <c r="Q515" s="2" t="s">
        <v>1151</v>
      </c>
      <c r="R515" s="2" t="s">
        <v>12</v>
      </c>
      <c r="S515" s="1" t="s">
        <v>5589</v>
      </c>
      <c r="T515" s="2" t="s">
        <v>13</v>
      </c>
      <c r="U515" s="3">
        <v>1</v>
      </c>
      <c r="V515" s="3">
        <v>1</v>
      </c>
      <c r="W515" s="4" t="s">
        <v>6429</v>
      </c>
      <c r="X515" s="4" t="s">
        <v>6429</v>
      </c>
      <c r="Y515" s="4" t="s">
        <v>6430</v>
      </c>
      <c r="Z515" s="4" t="s">
        <v>6430</v>
      </c>
      <c r="AA515" s="3">
        <v>77</v>
      </c>
      <c r="AB515" s="3">
        <v>61</v>
      </c>
      <c r="AC515" s="3">
        <v>84</v>
      </c>
      <c r="AD515" s="3">
        <v>1</v>
      </c>
      <c r="AE515" s="9">
        <v>1</v>
      </c>
      <c r="AF515" s="9">
        <v>3</v>
      </c>
      <c r="AG515" s="9">
        <v>3</v>
      </c>
      <c r="AH515" s="3">
        <v>1</v>
      </c>
      <c r="AI515" s="3">
        <v>1</v>
      </c>
      <c r="AJ515" s="3">
        <v>0</v>
      </c>
      <c r="AK515" s="3">
        <v>0</v>
      </c>
      <c r="AL515" s="3">
        <v>2</v>
      </c>
      <c r="AM515" s="3">
        <v>2</v>
      </c>
      <c r="AN515" s="3">
        <v>0</v>
      </c>
      <c r="AO515" s="3">
        <v>0</v>
      </c>
      <c r="AP515" s="3">
        <v>0</v>
      </c>
      <c r="AQ515" s="3">
        <v>0</v>
      </c>
      <c r="AR515" s="2" t="s">
        <v>5</v>
      </c>
      <c r="AS515" s="2" t="s">
        <v>5</v>
      </c>
      <c r="AU515" s="5" t="str">
        <f>HYPERLINK("https://creighton-primo.hosted.exlibrisgroup.com/primo-explore/search?tab=default_tab&amp;search_scope=EVERYTHING&amp;vid=01CRU&amp;lang=en_US&amp;offset=0&amp;query=any,contains,991002776459702656","Catalog Record")</f>
        <v>Catalog Record</v>
      </c>
      <c r="AV515" s="5" t="str">
        <f>HYPERLINK("http://www.worldcat.org/oclc/39654614","WorldCat Record")</f>
        <v>WorldCat Record</v>
      </c>
      <c r="AW515" s="2" t="s">
        <v>6431</v>
      </c>
      <c r="AX515" s="2" t="s">
        <v>6432</v>
      </c>
      <c r="AY515" s="2" t="s">
        <v>6433</v>
      </c>
      <c r="AZ515" s="2" t="s">
        <v>6433</v>
      </c>
      <c r="BA515" s="2" t="s">
        <v>6434</v>
      </c>
      <c r="BB515" s="2" t="s">
        <v>20</v>
      </c>
      <c r="BD515" s="2" t="s">
        <v>6435</v>
      </c>
      <c r="BE515" s="2" t="s">
        <v>6436</v>
      </c>
      <c r="BF515" s="2" t="s">
        <v>6437</v>
      </c>
    </row>
    <row r="516" spans="1:58" ht="39.75" customHeight="1" x14ac:dyDescent="0.25">
      <c r="A516" s="7" t="s">
        <v>5</v>
      </c>
      <c r="B516" s="1" t="s">
        <v>0</v>
      </c>
      <c r="C516" s="1" t="s">
        <v>1</v>
      </c>
      <c r="D516" s="1" t="s">
        <v>6438</v>
      </c>
      <c r="E516" s="1" t="s">
        <v>6439</v>
      </c>
      <c r="F516" s="1" t="s">
        <v>6440</v>
      </c>
      <c r="H516" s="2" t="s">
        <v>5</v>
      </c>
      <c r="I516" s="2" t="s">
        <v>6</v>
      </c>
      <c r="J516" s="2" t="s">
        <v>5</v>
      </c>
      <c r="K516" s="2" t="s">
        <v>5</v>
      </c>
      <c r="L516" s="2" t="s">
        <v>7</v>
      </c>
      <c r="M516" s="1" t="s">
        <v>6441</v>
      </c>
      <c r="N516" s="1" t="s">
        <v>6442</v>
      </c>
      <c r="O516" s="2" t="s">
        <v>708</v>
      </c>
      <c r="Q516" s="2" t="s">
        <v>1151</v>
      </c>
      <c r="R516" s="2" t="s">
        <v>1152</v>
      </c>
      <c r="S516" s="1" t="s">
        <v>6443</v>
      </c>
      <c r="T516" s="2" t="s">
        <v>13</v>
      </c>
      <c r="U516" s="3">
        <v>1</v>
      </c>
      <c r="V516" s="3">
        <v>1</v>
      </c>
      <c r="W516" s="4" t="s">
        <v>5071</v>
      </c>
      <c r="X516" s="4" t="s">
        <v>5071</v>
      </c>
      <c r="Y516" s="4" t="s">
        <v>5071</v>
      </c>
      <c r="Z516" s="4" t="s">
        <v>5071</v>
      </c>
      <c r="AA516" s="3">
        <v>125</v>
      </c>
      <c r="AB516" s="3">
        <v>85</v>
      </c>
      <c r="AC516" s="3">
        <v>93</v>
      </c>
      <c r="AD516" s="3">
        <v>1</v>
      </c>
      <c r="AE516" s="9">
        <v>1</v>
      </c>
      <c r="AF516" s="9">
        <v>2</v>
      </c>
      <c r="AG516" s="9">
        <v>2</v>
      </c>
      <c r="AH516" s="3">
        <v>0</v>
      </c>
      <c r="AI516" s="3">
        <v>0</v>
      </c>
      <c r="AJ516" s="3">
        <v>1</v>
      </c>
      <c r="AK516" s="3">
        <v>1</v>
      </c>
      <c r="AL516" s="3">
        <v>1</v>
      </c>
      <c r="AM516" s="3">
        <v>1</v>
      </c>
      <c r="AN516" s="3">
        <v>0</v>
      </c>
      <c r="AO516" s="3">
        <v>0</v>
      </c>
      <c r="AP516" s="3">
        <v>0</v>
      </c>
      <c r="AQ516" s="3">
        <v>0</v>
      </c>
      <c r="AR516" s="2" t="s">
        <v>5</v>
      </c>
      <c r="AS516" s="2" t="s">
        <v>5</v>
      </c>
      <c r="AU516" s="5" t="str">
        <f>HYPERLINK("https://creighton-primo.hosted.exlibrisgroup.com/primo-explore/search?tab=default_tab&amp;search_scope=EVERYTHING&amp;vid=01CRU&amp;lang=en_US&amp;offset=0&amp;query=any,contains,991004336079702656","Catalog Record")</f>
        <v>Catalog Record</v>
      </c>
      <c r="AV516" s="5" t="str">
        <f>HYPERLINK("http://www.worldcat.org/oclc/17758952","WorldCat Record")</f>
        <v>WorldCat Record</v>
      </c>
      <c r="AW516" s="2" t="s">
        <v>6444</v>
      </c>
      <c r="AX516" s="2" t="s">
        <v>6445</v>
      </c>
      <c r="AY516" s="2" t="s">
        <v>6446</v>
      </c>
      <c r="AZ516" s="2" t="s">
        <v>6446</v>
      </c>
      <c r="BA516" s="2" t="s">
        <v>6447</v>
      </c>
      <c r="BB516" s="2" t="s">
        <v>20</v>
      </c>
      <c r="BD516" s="2" t="s">
        <v>6448</v>
      </c>
      <c r="BE516" s="2" t="s">
        <v>6449</v>
      </c>
      <c r="BF516" s="2" t="s">
        <v>6450</v>
      </c>
    </row>
    <row r="517" spans="1:58" ht="39.75" customHeight="1" x14ac:dyDescent="0.25">
      <c r="A517" s="7" t="s">
        <v>5</v>
      </c>
      <c r="B517" s="1" t="s">
        <v>0</v>
      </c>
      <c r="C517" s="1" t="s">
        <v>1</v>
      </c>
      <c r="D517" s="1" t="s">
        <v>6451</v>
      </c>
      <c r="E517" s="1" t="s">
        <v>6452</v>
      </c>
      <c r="F517" s="1" t="s">
        <v>6453</v>
      </c>
      <c r="H517" s="2" t="s">
        <v>5</v>
      </c>
      <c r="I517" s="2" t="s">
        <v>6</v>
      </c>
      <c r="J517" s="2" t="s">
        <v>5</v>
      </c>
      <c r="K517" s="2" t="s">
        <v>5</v>
      </c>
      <c r="L517" s="2" t="s">
        <v>7</v>
      </c>
      <c r="N517" s="1" t="s">
        <v>6454</v>
      </c>
      <c r="O517" s="2" t="s">
        <v>6455</v>
      </c>
      <c r="Q517" s="2" t="s">
        <v>1151</v>
      </c>
      <c r="R517" s="2" t="s">
        <v>1152</v>
      </c>
      <c r="T517" s="2" t="s">
        <v>13</v>
      </c>
      <c r="U517" s="3">
        <v>0</v>
      </c>
      <c r="V517" s="3">
        <v>0</v>
      </c>
      <c r="W517" s="4" t="s">
        <v>6456</v>
      </c>
      <c r="X517" s="4" t="s">
        <v>6456</v>
      </c>
      <c r="Y517" s="4" t="s">
        <v>4720</v>
      </c>
      <c r="Z517" s="4" t="s">
        <v>4720</v>
      </c>
      <c r="AA517" s="3">
        <v>42</v>
      </c>
      <c r="AB517" s="3">
        <v>31</v>
      </c>
      <c r="AC517" s="3">
        <v>46</v>
      </c>
      <c r="AD517" s="3">
        <v>1</v>
      </c>
      <c r="AE517" s="9">
        <v>1</v>
      </c>
      <c r="AF517" s="9">
        <v>0</v>
      </c>
      <c r="AG517" s="9">
        <v>0</v>
      </c>
      <c r="AH517" s="3">
        <v>0</v>
      </c>
      <c r="AI517" s="3">
        <v>0</v>
      </c>
      <c r="AJ517" s="3">
        <v>0</v>
      </c>
      <c r="AK517" s="3">
        <v>0</v>
      </c>
      <c r="AL517" s="3">
        <v>0</v>
      </c>
      <c r="AM517" s="3">
        <v>0</v>
      </c>
      <c r="AN517" s="3">
        <v>0</v>
      </c>
      <c r="AO517" s="3">
        <v>0</v>
      </c>
      <c r="AP517" s="3">
        <v>0</v>
      </c>
      <c r="AQ517" s="3">
        <v>0</v>
      </c>
      <c r="AR517" s="2" t="s">
        <v>46</v>
      </c>
      <c r="AS517" s="2" t="s">
        <v>5</v>
      </c>
      <c r="AT517" s="5" t="str">
        <f>HYPERLINK("http://catalog.hathitrust.org/Record/001880837","HathiTrust Record")</f>
        <v>HathiTrust Record</v>
      </c>
      <c r="AU517" s="5" t="str">
        <f>HYPERLINK("https://creighton-primo.hosted.exlibrisgroup.com/primo-explore/search?tab=default_tab&amp;search_scope=EVERYTHING&amp;vid=01CRU&amp;lang=en_US&amp;offset=0&amp;query=any,contains,991004908609702656","Catalog Record")</f>
        <v>Catalog Record</v>
      </c>
      <c r="AV517" s="5" t="str">
        <f>HYPERLINK("http://www.worldcat.org/oclc/5972585","WorldCat Record")</f>
        <v>WorldCat Record</v>
      </c>
      <c r="AW517" s="2" t="s">
        <v>6457</v>
      </c>
      <c r="AX517" s="2" t="s">
        <v>6458</v>
      </c>
      <c r="AY517" s="2" t="s">
        <v>6459</v>
      </c>
      <c r="AZ517" s="2" t="s">
        <v>6459</v>
      </c>
      <c r="BA517" s="2" t="s">
        <v>6460</v>
      </c>
      <c r="BB517" s="2" t="s">
        <v>20</v>
      </c>
      <c r="BE517" s="2" t="s">
        <v>6461</v>
      </c>
      <c r="BF517" s="2" t="s">
        <v>6462</v>
      </c>
    </row>
    <row r="518" spans="1:58" ht="39.75" customHeight="1" x14ac:dyDescent="0.25">
      <c r="A518" s="7" t="s">
        <v>5</v>
      </c>
      <c r="B518" s="1" t="s">
        <v>0</v>
      </c>
      <c r="C518" s="1" t="s">
        <v>1</v>
      </c>
      <c r="D518" s="1" t="s">
        <v>6463</v>
      </c>
      <c r="E518" s="1" t="s">
        <v>6464</v>
      </c>
      <c r="F518" s="1" t="s">
        <v>6465</v>
      </c>
      <c r="G518" s="2" t="s">
        <v>4198</v>
      </c>
      <c r="H518" s="2" t="s">
        <v>5</v>
      </c>
      <c r="I518" s="2" t="s">
        <v>6</v>
      </c>
      <c r="J518" s="2" t="s">
        <v>5</v>
      </c>
      <c r="K518" s="2" t="s">
        <v>5</v>
      </c>
      <c r="L518" s="2" t="s">
        <v>7</v>
      </c>
      <c r="M518" s="1" t="s">
        <v>6466</v>
      </c>
      <c r="N518" s="1" t="s">
        <v>6467</v>
      </c>
      <c r="O518" s="2" t="s">
        <v>2329</v>
      </c>
      <c r="Q518" s="2" t="s">
        <v>1151</v>
      </c>
      <c r="R518" s="2" t="s">
        <v>234</v>
      </c>
      <c r="S518" s="1" t="s">
        <v>6468</v>
      </c>
      <c r="T518" s="2" t="s">
        <v>13</v>
      </c>
      <c r="U518" s="3">
        <v>0</v>
      </c>
      <c r="V518" s="3">
        <v>0</v>
      </c>
      <c r="W518" s="4" t="s">
        <v>6469</v>
      </c>
      <c r="X518" s="4" t="s">
        <v>6469</v>
      </c>
      <c r="Y518" s="4" t="s">
        <v>5706</v>
      </c>
      <c r="Z518" s="4" t="s">
        <v>5706</v>
      </c>
      <c r="AA518" s="3">
        <v>110</v>
      </c>
      <c r="AB518" s="3">
        <v>87</v>
      </c>
      <c r="AC518" s="3">
        <v>88</v>
      </c>
      <c r="AD518" s="3">
        <v>2</v>
      </c>
      <c r="AE518" s="9">
        <v>2</v>
      </c>
      <c r="AF518" s="9">
        <v>4</v>
      </c>
      <c r="AG518" s="9">
        <v>4</v>
      </c>
      <c r="AH518" s="3">
        <v>2</v>
      </c>
      <c r="AI518" s="3">
        <v>2</v>
      </c>
      <c r="AJ518" s="3">
        <v>2</v>
      </c>
      <c r="AK518" s="3">
        <v>2</v>
      </c>
      <c r="AL518" s="3">
        <v>2</v>
      </c>
      <c r="AM518" s="3">
        <v>2</v>
      </c>
      <c r="AN518" s="3">
        <v>1</v>
      </c>
      <c r="AO518" s="3">
        <v>1</v>
      </c>
      <c r="AP518" s="3">
        <v>0</v>
      </c>
      <c r="AQ518" s="3">
        <v>0</v>
      </c>
      <c r="AR518" s="2" t="s">
        <v>5</v>
      </c>
      <c r="AS518" s="2" t="s">
        <v>46</v>
      </c>
      <c r="AT518" s="5" t="str">
        <f>HYPERLINK("http://catalog.hathitrust.org/Record/003291464","HathiTrust Record")</f>
        <v>HathiTrust Record</v>
      </c>
      <c r="AU518" s="5" t="str">
        <f>HYPERLINK("https://creighton-primo.hosted.exlibrisgroup.com/primo-explore/search?tab=default_tab&amp;search_scope=EVERYTHING&amp;vid=01CRU&amp;lang=en_US&amp;offset=0&amp;query=any,contains,991003614929702656","Catalog Record")</f>
        <v>Catalog Record</v>
      </c>
      <c r="AV518" s="5" t="str">
        <f>HYPERLINK("http://www.worldcat.org/oclc/1198322","WorldCat Record")</f>
        <v>WorldCat Record</v>
      </c>
      <c r="AW518" s="2" t="s">
        <v>6470</v>
      </c>
      <c r="AX518" s="2" t="s">
        <v>6471</v>
      </c>
      <c r="AY518" s="2" t="s">
        <v>6472</v>
      </c>
      <c r="AZ518" s="2" t="s">
        <v>6472</v>
      </c>
      <c r="BA518" s="2" t="s">
        <v>6473</v>
      </c>
      <c r="BB518" s="2" t="s">
        <v>20</v>
      </c>
      <c r="BE518" s="2" t="s">
        <v>6474</v>
      </c>
      <c r="BF518" s="2" t="s">
        <v>6475</v>
      </c>
    </row>
    <row r="519" spans="1:58" ht="39.75" customHeight="1" x14ac:dyDescent="0.25">
      <c r="A519" s="7" t="s">
        <v>5</v>
      </c>
      <c r="B519" s="1" t="s">
        <v>0</v>
      </c>
      <c r="C519" s="1" t="s">
        <v>1</v>
      </c>
      <c r="D519" s="1" t="s">
        <v>6476</v>
      </c>
      <c r="E519" s="1" t="s">
        <v>6477</v>
      </c>
      <c r="F519" s="1" t="s">
        <v>6478</v>
      </c>
      <c r="G519" s="2" t="s">
        <v>73</v>
      </c>
      <c r="H519" s="2" t="s">
        <v>46</v>
      </c>
      <c r="I519" s="2" t="s">
        <v>6</v>
      </c>
      <c r="J519" s="2" t="s">
        <v>5</v>
      </c>
      <c r="K519" s="2" t="s">
        <v>5</v>
      </c>
      <c r="L519" s="2" t="s">
        <v>7</v>
      </c>
      <c r="M519" s="1" t="s">
        <v>6479</v>
      </c>
      <c r="N519" s="1" t="s">
        <v>6480</v>
      </c>
      <c r="O519" s="2" t="s">
        <v>480</v>
      </c>
      <c r="Q519" s="2" t="s">
        <v>60</v>
      </c>
      <c r="R519" s="2" t="s">
        <v>5211</v>
      </c>
      <c r="T519" s="2" t="s">
        <v>13</v>
      </c>
      <c r="U519" s="3">
        <v>0</v>
      </c>
      <c r="V519" s="3">
        <v>7</v>
      </c>
      <c r="X519" s="4" t="s">
        <v>5164</v>
      </c>
      <c r="Y519" s="4" t="s">
        <v>5706</v>
      </c>
      <c r="Z519" s="4" t="s">
        <v>5706</v>
      </c>
      <c r="AA519" s="3">
        <v>614</v>
      </c>
      <c r="AB519" s="3">
        <v>585</v>
      </c>
      <c r="AC519" s="3">
        <v>585</v>
      </c>
      <c r="AD519" s="3">
        <v>4</v>
      </c>
      <c r="AE519" s="9">
        <v>4</v>
      </c>
      <c r="AF519" s="9">
        <v>20</v>
      </c>
      <c r="AG519" s="9">
        <v>20</v>
      </c>
      <c r="AH519" s="3">
        <v>6</v>
      </c>
      <c r="AI519" s="3">
        <v>6</v>
      </c>
      <c r="AJ519" s="3">
        <v>6</v>
      </c>
      <c r="AK519" s="3">
        <v>6</v>
      </c>
      <c r="AL519" s="3">
        <v>9</v>
      </c>
      <c r="AM519" s="3">
        <v>9</v>
      </c>
      <c r="AN519" s="3">
        <v>3</v>
      </c>
      <c r="AO519" s="3">
        <v>3</v>
      </c>
      <c r="AP519" s="3">
        <v>0</v>
      </c>
      <c r="AQ519" s="3">
        <v>0</v>
      </c>
      <c r="AR519" s="2" t="s">
        <v>5</v>
      </c>
      <c r="AS519" s="2" t="s">
        <v>5</v>
      </c>
      <c r="AU519" s="5" t="str">
        <f>HYPERLINK("https://creighton-primo.hosted.exlibrisgroup.com/primo-explore/search?tab=default_tab&amp;search_scope=EVERYTHING&amp;vid=01CRU&amp;lang=en_US&amp;offset=0&amp;query=any,contains,991001397859702656","Catalog Record")</f>
        <v>Catalog Record</v>
      </c>
      <c r="AV519" s="5" t="str">
        <f>HYPERLINK("http://www.worldcat.org/oclc/228643","WorldCat Record")</f>
        <v>WorldCat Record</v>
      </c>
      <c r="AW519" s="2" t="s">
        <v>6481</v>
      </c>
      <c r="AX519" s="2" t="s">
        <v>6482</v>
      </c>
      <c r="AY519" s="2" t="s">
        <v>6483</v>
      </c>
      <c r="AZ519" s="2" t="s">
        <v>6483</v>
      </c>
      <c r="BA519" s="2" t="s">
        <v>6484</v>
      </c>
      <c r="BB519" s="2" t="s">
        <v>20</v>
      </c>
      <c r="BE519" s="2" t="s">
        <v>6485</v>
      </c>
      <c r="BF519" s="2" t="s">
        <v>6486</v>
      </c>
    </row>
    <row r="520" spans="1:58" ht="39.75" customHeight="1" x14ac:dyDescent="0.25">
      <c r="A520" s="7" t="s">
        <v>5</v>
      </c>
      <c r="B520" s="1" t="s">
        <v>0</v>
      </c>
      <c r="C520" s="1" t="s">
        <v>1</v>
      </c>
      <c r="D520" s="1" t="s">
        <v>6476</v>
      </c>
      <c r="E520" s="1" t="s">
        <v>6477</v>
      </c>
      <c r="F520" s="1" t="s">
        <v>6478</v>
      </c>
      <c r="G520" s="2" t="s">
        <v>101</v>
      </c>
      <c r="H520" s="2" t="s">
        <v>46</v>
      </c>
      <c r="I520" s="2" t="s">
        <v>6</v>
      </c>
      <c r="J520" s="2" t="s">
        <v>5</v>
      </c>
      <c r="K520" s="2" t="s">
        <v>5</v>
      </c>
      <c r="L520" s="2" t="s">
        <v>7</v>
      </c>
      <c r="M520" s="1" t="s">
        <v>6479</v>
      </c>
      <c r="N520" s="1" t="s">
        <v>6480</v>
      </c>
      <c r="O520" s="2" t="s">
        <v>480</v>
      </c>
      <c r="Q520" s="2" t="s">
        <v>60</v>
      </c>
      <c r="R520" s="2" t="s">
        <v>5211</v>
      </c>
      <c r="T520" s="2" t="s">
        <v>13</v>
      </c>
      <c r="U520" s="3">
        <v>7</v>
      </c>
      <c r="V520" s="3">
        <v>7</v>
      </c>
      <c r="W520" s="4" t="s">
        <v>5164</v>
      </c>
      <c r="X520" s="4" t="s">
        <v>5164</v>
      </c>
      <c r="Y520" s="4" t="s">
        <v>5706</v>
      </c>
      <c r="Z520" s="4" t="s">
        <v>5706</v>
      </c>
      <c r="AA520" s="3">
        <v>614</v>
      </c>
      <c r="AB520" s="3">
        <v>585</v>
      </c>
      <c r="AC520" s="3">
        <v>585</v>
      </c>
      <c r="AD520" s="3">
        <v>4</v>
      </c>
      <c r="AE520" s="9">
        <v>4</v>
      </c>
      <c r="AF520" s="9">
        <v>20</v>
      </c>
      <c r="AG520" s="9">
        <v>20</v>
      </c>
      <c r="AH520" s="3">
        <v>6</v>
      </c>
      <c r="AI520" s="3">
        <v>6</v>
      </c>
      <c r="AJ520" s="3">
        <v>6</v>
      </c>
      <c r="AK520" s="3">
        <v>6</v>
      </c>
      <c r="AL520" s="3">
        <v>9</v>
      </c>
      <c r="AM520" s="3">
        <v>9</v>
      </c>
      <c r="AN520" s="3">
        <v>3</v>
      </c>
      <c r="AO520" s="3">
        <v>3</v>
      </c>
      <c r="AP520" s="3">
        <v>0</v>
      </c>
      <c r="AQ520" s="3">
        <v>0</v>
      </c>
      <c r="AR520" s="2" t="s">
        <v>5</v>
      </c>
      <c r="AS520" s="2" t="s">
        <v>5</v>
      </c>
      <c r="AU520" s="5" t="str">
        <f>HYPERLINK("https://creighton-primo.hosted.exlibrisgroup.com/primo-explore/search?tab=default_tab&amp;search_scope=EVERYTHING&amp;vid=01CRU&amp;lang=en_US&amp;offset=0&amp;query=any,contains,991001397859702656","Catalog Record")</f>
        <v>Catalog Record</v>
      </c>
      <c r="AV520" s="5" t="str">
        <f>HYPERLINK("http://www.worldcat.org/oclc/228643","WorldCat Record")</f>
        <v>WorldCat Record</v>
      </c>
      <c r="AW520" s="2" t="s">
        <v>6481</v>
      </c>
      <c r="AX520" s="2" t="s">
        <v>6482</v>
      </c>
      <c r="AY520" s="2" t="s">
        <v>6483</v>
      </c>
      <c r="AZ520" s="2" t="s">
        <v>6483</v>
      </c>
      <c r="BA520" s="2" t="s">
        <v>6484</v>
      </c>
      <c r="BB520" s="2" t="s">
        <v>20</v>
      </c>
      <c r="BE520" s="2" t="s">
        <v>6487</v>
      </c>
      <c r="BF520" s="2" t="s">
        <v>6488</v>
      </c>
    </row>
    <row r="521" spans="1:58" ht="39.75" customHeight="1" x14ac:dyDescent="0.25">
      <c r="A521" s="7" t="s">
        <v>5</v>
      </c>
      <c r="B521" s="1" t="s">
        <v>0</v>
      </c>
      <c r="C521" s="1" t="s">
        <v>1</v>
      </c>
      <c r="D521" s="1" t="s">
        <v>6489</v>
      </c>
      <c r="E521" s="1" t="s">
        <v>6490</v>
      </c>
      <c r="F521" s="1" t="s">
        <v>6491</v>
      </c>
      <c r="G521" s="2" t="s">
        <v>73</v>
      </c>
      <c r="H521" s="2" t="s">
        <v>46</v>
      </c>
      <c r="I521" s="2" t="s">
        <v>6</v>
      </c>
      <c r="J521" s="2" t="s">
        <v>5</v>
      </c>
      <c r="K521" s="2" t="s">
        <v>5</v>
      </c>
      <c r="L521" s="2" t="s">
        <v>7</v>
      </c>
      <c r="M521" s="1" t="s">
        <v>6492</v>
      </c>
      <c r="N521" s="1" t="s">
        <v>6493</v>
      </c>
      <c r="O521" s="2" t="s">
        <v>524</v>
      </c>
      <c r="P521" s="1" t="s">
        <v>6494</v>
      </c>
      <c r="Q521" s="2" t="s">
        <v>1151</v>
      </c>
      <c r="R521" s="2" t="s">
        <v>61</v>
      </c>
      <c r="T521" s="2" t="s">
        <v>13</v>
      </c>
      <c r="U521" s="3">
        <v>0</v>
      </c>
      <c r="V521" s="3">
        <v>1</v>
      </c>
      <c r="X521" s="4" t="s">
        <v>6495</v>
      </c>
      <c r="Y521" s="4" t="s">
        <v>5706</v>
      </c>
      <c r="Z521" s="4" t="s">
        <v>5706</v>
      </c>
      <c r="AA521" s="3">
        <v>791</v>
      </c>
      <c r="AB521" s="3">
        <v>754</v>
      </c>
      <c r="AC521" s="3">
        <v>940</v>
      </c>
      <c r="AD521" s="3">
        <v>10</v>
      </c>
      <c r="AE521" s="9">
        <v>10</v>
      </c>
      <c r="AF521" s="9">
        <v>38</v>
      </c>
      <c r="AG521" s="9">
        <v>45</v>
      </c>
      <c r="AH521" s="3">
        <v>16</v>
      </c>
      <c r="AI521" s="3">
        <v>20</v>
      </c>
      <c r="AJ521" s="3">
        <v>8</v>
      </c>
      <c r="AK521" s="3">
        <v>8</v>
      </c>
      <c r="AL521" s="3">
        <v>13</v>
      </c>
      <c r="AM521" s="3">
        <v>18</v>
      </c>
      <c r="AN521" s="3">
        <v>8</v>
      </c>
      <c r="AO521" s="3">
        <v>8</v>
      </c>
      <c r="AP521" s="3">
        <v>0</v>
      </c>
      <c r="AQ521" s="3">
        <v>0</v>
      </c>
      <c r="AR521" s="2" t="s">
        <v>5</v>
      </c>
      <c r="AS521" s="2" t="s">
        <v>46</v>
      </c>
      <c r="AT521" s="5" t="str">
        <f>HYPERLINK("http://catalog.hathitrust.org/Record/007923727","HathiTrust Record")</f>
        <v>HathiTrust Record</v>
      </c>
      <c r="AU521" s="5" t="str">
        <f>HYPERLINK("https://creighton-primo.hosted.exlibrisgroup.com/primo-explore/search?tab=default_tab&amp;search_scope=EVERYTHING&amp;vid=01CRU&amp;lang=en_US&amp;offset=0&amp;query=any,contains,991002219939702656","Catalog Record")</f>
        <v>Catalog Record</v>
      </c>
      <c r="AV521" s="5" t="str">
        <f>HYPERLINK("http://www.worldcat.org/oclc/289808","WorldCat Record")</f>
        <v>WorldCat Record</v>
      </c>
      <c r="AW521" s="2" t="s">
        <v>6496</v>
      </c>
      <c r="AX521" s="2" t="s">
        <v>6497</v>
      </c>
      <c r="AY521" s="2" t="s">
        <v>6498</v>
      </c>
      <c r="AZ521" s="2" t="s">
        <v>6498</v>
      </c>
      <c r="BA521" s="2" t="s">
        <v>6499</v>
      </c>
      <c r="BB521" s="2" t="s">
        <v>20</v>
      </c>
      <c r="BE521" s="2" t="s">
        <v>6500</v>
      </c>
      <c r="BF521" s="2" t="s">
        <v>6501</v>
      </c>
    </row>
    <row r="522" spans="1:58" ht="39.75" customHeight="1" x14ac:dyDescent="0.25">
      <c r="A522" s="7" t="s">
        <v>5</v>
      </c>
      <c r="B522" s="1" t="s">
        <v>0</v>
      </c>
      <c r="C522" s="1" t="s">
        <v>1</v>
      </c>
      <c r="D522" s="1" t="s">
        <v>6489</v>
      </c>
      <c r="E522" s="1" t="s">
        <v>6490</v>
      </c>
      <c r="F522" s="1" t="s">
        <v>6491</v>
      </c>
      <c r="G522" s="2" t="s">
        <v>101</v>
      </c>
      <c r="H522" s="2" t="s">
        <v>46</v>
      </c>
      <c r="I522" s="2" t="s">
        <v>6</v>
      </c>
      <c r="J522" s="2" t="s">
        <v>5</v>
      </c>
      <c r="K522" s="2" t="s">
        <v>5</v>
      </c>
      <c r="L522" s="2" t="s">
        <v>7</v>
      </c>
      <c r="M522" s="1" t="s">
        <v>6492</v>
      </c>
      <c r="N522" s="1" t="s">
        <v>6493</v>
      </c>
      <c r="O522" s="2" t="s">
        <v>524</v>
      </c>
      <c r="P522" s="1" t="s">
        <v>6494</v>
      </c>
      <c r="Q522" s="2" t="s">
        <v>1151</v>
      </c>
      <c r="R522" s="2" t="s">
        <v>61</v>
      </c>
      <c r="T522" s="2" t="s">
        <v>13</v>
      </c>
      <c r="U522" s="3">
        <v>1</v>
      </c>
      <c r="V522" s="3">
        <v>1</v>
      </c>
      <c r="W522" s="4" t="s">
        <v>6495</v>
      </c>
      <c r="X522" s="4" t="s">
        <v>6495</v>
      </c>
      <c r="Y522" s="4" t="s">
        <v>5706</v>
      </c>
      <c r="Z522" s="4" t="s">
        <v>5706</v>
      </c>
      <c r="AA522" s="3">
        <v>791</v>
      </c>
      <c r="AB522" s="3">
        <v>754</v>
      </c>
      <c r="AC522" s="3">
        <v>940</v>
      </c>
      <c r="AD522" s="3">
        <v>10</v>
      </c>
      <c r="AE522" s="9">
        <v>10</v>
      </c>
      <c r="AF522" s="9">
        <v>38</v>
      </c>
      <c r="AG522" s="9">
        <v>45</v>
      </c>
      <c r="AH522" s="3">
        <v>16</v>
      </c>
      <c r="AI522" s="3">
        <v>20</v>
      </c>
      <c r="AJ522" s="3">
        <v>8</v>
      </c>
      <c r="AK522" s="3">
        <v>8</v>
      </c>
      <c r="AL522" s="3">
        <v>13</v>
      </c>
      <c r="AM522" s="3">
        <v>18</v>
      </c>
      <c r="AN522" s="3">
        <v>8</v>
      </c>
      <c r="AO522" s="3">
        <v>8</v>
      </c>
      <c r="AP522" s="3">
        <v>0</v>
      </c>
      <c r="AQ522" s="3">
        <v>0</v>
      </c>
      <c r="AR522" s="2" t="s">
        <v>5</v>
      </c>
      <c r="AS522" s="2" t="s">
        <v>46</v>
      </c>
      <c r="AT522" s="5" t="str">
        <f>HYPERLINK("http://catalog.hathitrust.org/Record/007923727","HathiTrust Record")</f>
        <v>HathiTrust Record</v>
      </c>
      <c r="AU522" s="5" t="str">
        <f>HYPERLINK("https://creighton-primo.hosted.exlibrisgroup.com/primo-explore/search?tab=default_tab&amp;search_scope=EVERYTHING&amp;vid=01CRU&amp;lang=en_US&amp;offset=0&amp;query=any,contains,991002219939702656","Catalog Record")</f>
        <v>Catalog Record</v>
      </c>
      <c r="AV522" s="5" t="str">
        <f>HYPERLINK("http://www.worldcat.org/oclc/289808","WorldCat Record")</f>
        <v>WorldCat Record</v>
      </c>
      <c r="AW522" s="2" t="s">
        <v>6496</v>
      </c>
      <c r="AX522" s="2" t="s">
        <v>6497</v>
      </c>
      <c r="AY522" s="2" t="s">
        <v>6498</v>
      </c>
      <c r="AZ522" s="2" t="s">
        <v>6498</v>
      </c>
      <c r="BA522" s="2" t="s">
        <v>6499</v>
      </c>
      <c r="BB522" s="2" t="s">
        <v>20</v>
      </c>
      <c r="BE522" s="2" t="s">
        <v>6502</v>
      </c>
      <c r="BF522" s="2" t="s">
        <v>6503</v>
      </c>
    </row>
    <row r="523" spans="1:58" ht="39.75" customHeight="1" x14ac:dyDescent="0.25">
      <c r="A523" s="7" t="s">
        <v>5</v>
      </c>
      <c r="B523" s="1" t="s">
        <v>0</v>
      </c>
      <c r="C523" s="1" t="s">
        <v>1</v>
      </c>
      <c r="D523" s="1" t="s">
        <v>6504</v>
      </c>
      <c r="E523" s="1" t="s">
        <v>6505</v>
      </c>
      <c r="F523" s="1" t="s">
        <v>6506</v>
      </c>
      <c r="G523" s="2" t="s">
        <v>4198</v>
      </c>
      <c r="H523" s="2" t="s">
        <v>46</v>
      </c>
      <c r="I523" s="2" t="s">
        <v>6</v>
      </c>
      <c r="J523" s="2" t="s">
        <v>5</v>
      </c>
      <c r="K523" s="2" t="s">
        <v>5</v>
      </c>
      <c r="L523" s="2" t="s">
        <v>7</v>
      </c>
      <c r="M523" s="1" t="s">
        <v>6507</v>
      </c>
      <c r="N523" s="1" t="s">
        <v>6508</v>
      </c>
      <c r="O523" s="2" t="s">
        <v>307</v>
      </c>
      <c r="Q523" s="2" t="s">
        <v>1151</v>
      </c>
      <c r="R523" s="2" t="s">
        <v>1152</v>
      </c>
      <c r="S523" s="1" t="s">
        <v>6509</v>
      </c>
      <c r="T523" s="2" t="s">
        <v>13</v>
      </c>
      <c r="U523" s="3">
        <v>0</v>
      </c>
      <c r="V523" s="3">
        <v>1</v>
      </c>
      <c r="X523" s="4" t="s">
        <v>5262</v>
      </c>
      <c r="Y523" s="4" t="s">
        <v>5706</v>
      </c>
      <c r="Z523" s="4" t="s">
        <v>5706</v>
      </c>
      <c r="AA523" s="3">
        <v>299</v>
      </c>
      <c r="AB523" s="3">
        <v>271</v>
      </c>
      <c r="AC523" s="3">
        <v>344</v>
      </c>
      <c r="AD523" s="3">
        <v>5</v>
      </c>
      <c r="AE523" s="9">
        <v>6</v>
      </c>
      <c r="AF523" s="9">
        <v>18</v>
      </c>
      <c r="AG523" s="9">
        <v>20</v>
      </c>
      <c r="AH523" s="3">
        <v>5</v>
      </c>
      <c r="AI523" s="3">
        <v>5</v>
      </c>
      <c r="AJ523" s="3">
        <v>5</v>
      </c>
      <c r="AK523" s="3">
        <v>5</v>
      </c>
      <c r="AL523" s="3">
        <v>9</v>
      </c>
      <c r="AM523" s="3">
        <v>10</v>
      </c>
      <c r="AN523" s="3">
        <v>4</v>
      </c>
      <c r="AO523" s="3">
        <v>5</v>
      </c>
      <c r="AP523" s="3">
        <v>0</v>
      </c>
      <c r="AQ523" s="3">
        <v>0</v>
      </c>
      <c r="AR523" s="2" t="s">
        <v>5</v>
      </c>
      <c r="AS523" s="2" t="s">
        <v>46</v>
      </c>
      <c r="AT523" s="5" t="str">
        <f>HYPERLINK("http://catalog.hathitrust.org/Record/000276479","HathiTrust Record")</f>
        <v>HathiTrust Record</v>
      </c>
      <c r="AU523" s="5" t="str">
        <f>HYPERLINK("https://creighton-primo.hosted.exlibrisgroup.com/primo-explore/search?tab=default_tab&amp;search_scope=EVERYTHING&amp;vid=01CRU&amp;lang=en_US&amp;offset=0&amp;query=any,contains,991004070659702656","Catalog Record")</f>
        <v>Catalog Record</v>
      </c>
      <c r="AV523" s="5" t="str">
        <f>HYPERLINK("http://www.worldcat.org/oclc/2299658","WorldCat Record")</f>
        <v>WorldCat Record</v>
      </c>
      <c r="AW523" s="2" t="s">
        <v>6510</v>
      </c>
      <c r="AX523" s="2" t="s">
        <v>6511</v>
      </c>
      <c r="AY523" s="2" t="s">
        <v>6512</v>
      </c>
      <c r="AZ523" s="2" t="s">
        <v>6512</v>
      </c>
      <c r="BA523" s="2" t="s">
        <v>6513</v>
      </c>
      <c r="BB523" s="2" t="s">
        <v>20</v>
      </c>
      <c r="BE523" s="2" t="s">
        <v>6514</v>
      </c>
      <c r="BF523" s="2" t="s">
        <v>6515</v>
      </c>
    </row>
    <row r="524" spans="1:58" ht="39.75" customHeight="1" x14ac:dyDescent="0.25">
      <c r="A524" s="7" t="s">
        <v>5</v>
      </c>
      <c r="B524" s="1" t="s">
        <v>0</v>
      </c>
      <c r="C524" s="1" t="s">
        <v>1</v>
      </c>
      <c r="D524" s="1" t="s">
        <v>6504</v>
      </c>
      <c r="E524" s="1" t="s">
        <v>6505</v>
      </c>
      <c r="F524" s="1" t="s">
        <v>6506</v>
      </c>
      <c r="G524" s="2" t="s">
        <v>4021</v>
      </c>
      <c r="H524" s="2" t="s">
        <v>46</v>
      </c>
      <c r="I524" s="2" t="s">
        <v>6</v>
      </c>
      <c r="J524" s="2" t="s">
        <v>5</v>
      </c>
      <c r="K524" s="2" t="s">
        <v>5</v>
      </c>
      <c r="L524" s="2" t="s">
        <v>7</v>
      </c>
      <c r="M524" s="1" t="s">
        <v>6507</v>
      </c>
      <c r="N524" s="1" t="s">
        <v>6508</v>
      </c>
      <c r="O524" s="2" t="s">
        <v>307</v>
      </c>
      <c r="Q524" s="2" t="s">
        <v>1151</v>
      </c>
      <c r="R524" s="2" t="s">
        <v>1152</v>
      </c>
      <c r="S524" s="1" t="s">
        <v>6509</v>
      </c>
      <c r="T524" s="2" t="s">
        <v>13</v>
      </c>
      <c r="U524" s="3">
        <v>0</v>
      </c>
      <c r="V524" s="3">
        <v>1</v>
      </c>
      <c r="X524" s="4" t="s">
        <v>5262</v>
      </c>
      <c r="Y524" s="4" t="s">
        <v>5706</v>
      </c>
      <c r="Z524" s="4" t="s">
        <v>5706</v>
      </c>
      <c r="AA524" s="3">
        <v>299</v>
      </c>
      <c r="AB524" s="3">
        <v>271</v>
      </c>
      <c r="AC524" s="3">
        <v>344</v>
      </c>
      <c r="AD524" s="3">
        <v>5</v>
      </c>
      <c r="AE524" s="9">
        <v>6</v>
      </c>
      <c r="AF524" s="9">
        <v>18</v>
      </c>
      <c r="AG524" s="9">
        <v>20</v>
      </c>
      <c r="AH524" s="3">
        <v>5</v>
      </c>
      <c r="AI524" s="3">
        <v>5</v>
      </c>
      <c r="AJ524" s="3">
        <v>5</v>
      </c>
      <c r="AK524" s="3">
        <v>5</v>
      </c>
      <c r="AL524" s="3">
        <v>9</v>
      </c>
      <c r="AM524" s="3">
        <v>10</v>
      </c>
      <c r="AN524" s="3">
        <v>4</v>
      </c>
      <c r="AO524" s="3">
        <v>5</v>
      </c>
      <c r="AP524" s="3">
        <v>0</v>
      </c>
      <c r="AQ524" s="3">
        <v>0</v>
      </c>
      <c r="AR524" s="2" t="s">
        <v>5</v>
      </c>
      <c r="AS524" s="2" t="s">
        <v>46</v>
      </c>
      <c r="AT524" s="5" t="str">
        <f>HYPERLINK("http://catalog.hathitrust.org/Record/000276479","HathiTrust Record")</f>
        <v>HathiTrust Record</v>
      </c>
      <c r="AU524" s="5" t="str">
        <f>HYPERLINK("https://creighton-primo.hosted.exlibrisgroup.com/primo-explore/search?tab=default_tab&amp;search_scope=EVERYTHING&amp;vid=01CRU&amp;lang=en_US&amp;offset=0&amp;query=any,contains,991004070659702656","Catalog Record")</f>
        <v>Catalog Record</v>
      </c>
      <c r="AV524" s="5" t="str">
        <f>HYPERLINK("http://www.worldcat.org/oclc/2299658","WorldCat Record")</f>
        <v>WorldCat Record</v>
      </c>
      <c r="AW524" s="2" t="s">
        <v>6510</v>
      </c>
      <c r="AX524" s="2" t="s">
        <v>6511</v>
      </c>
      <c r="AY524" s="2" t="s">
        <v>6512</v>
      </c>
      <c r="AZ524" s="2" t="s">
        <v>6512</v>
      </c>
      <c r="BA524" s="2" t="s">
        <v>6513</v>
      </c>
      <c r="BB524" s="2" t="s">
        <v>20</v>
      </c>
      <c r="BE524" s="2" t="s">
        <v>6516</v>
      </c>
      <c r="BF524" s="2" t="s">
        <v>6517</v>
      </c>
    </row>
    <row r="525" spans="1:58" ht="39.75" customHeight="1" x14ac:dyDescent="0.25">
      <c r="A525" s="7" t="s">
        <v>5</v>
      </c>
      <c r="B525" s="1" t="s">
        <v>0</v>
      </c>
      <c r="C525" s="1" t="s">
        <v>1</v>
      </c>
      <c r="D525" s="1" t="s">
        <v>6504</v>
      </c>
      <c r="E525" s="1" t="s">
        <v>6505</v>
      </c>
      <c r="F525" s="1" t="s">
        <v>6506</v>
      </c>
      <c r="G525" s="2" t="s">
        <v>101</v>
      </c>
      <c r="H525" s="2" t="s">
        <v>46</v>
      </c>
      <c r="I525" s="2" t="s">
        <v>6</v>
      </c>
      <c r="J525" s="2" t="s">
        <v>5</v>
      </c>
      <c r="K525" s="2" t="s">
        <v>5</v>
      </c>
      <c r="L525" s="2" t="s">
        <v>7</v>
      </c>
      <c r="M525" s="1" t="s">
        <v>6507</v>
      </c>
      <c r="N525" s="1" t="s">
        <v>6508</v>
      </c>
      <c r="O525" s="2" t="s">
        <v>307</v>
      </c>
      <c r="Q525" s="2" t="s">
        <v>1151</v>
      </c>
      <c r="R525" s="2" t="s">
        <v>1152</v>
      </c>
      <c r="S525" s="1" t="s">
        <v>6509</v>
      </c>
      <c r="T525" s="2" t="s">
        <v>13</v>
      </c>
      <c r="U525" s="3">
        <v>1</v>
      </c>
      <c r="V525" s="3">
        <v>1</v>
      </c>
      <c r="W525" s="4" t="s">
        <v>5262</v>
      </c>
      <c r="X525" s="4" t="s">
        <v>5262</v>
      </c>
      <c r="Y525" s="4" t="s">
        <v>5706</v>
      </c>
      <c r="Z525" s="4" t="s">
        <v>5706</v>
      </c>
      <c r="AA525" s="3">
        <v>299</v>
      </c>
      <c r="AB525" s="3">
        <v>271</v>
      </c>
      <c r="AC525" s="3">
        <v>344</v>
      </c>
      <c r="AD525" s="3">
        <v>5</v>
      </c>
      <c r="AE525" s="9">
        <v>6</v>
      </c>
      <c r="AF525" s="9">
        <v>18</v>
      </c>
      <c r="AG525" s="9">
        <v>20</v>
      </c>
      <c r="AH525" s="3">
        <v>5</v>
      </c>
      <c r="AI525" s="3">
        <v>5</v>
      </c>
      <c r="AJ525" s="3">
        <v>5</v>
      </c>
      <c r="AK525" s="3">
        <v>5</v>
      </c>
      <c r="AL525" s="3">
        <v>9</v>
      </c>
      <c r="AM525" s="3">
        <v>10</v>
      </c>
      <c r="AN525" s="3">
        <v>4</v>
      </c>
      <c r="AO525" s="3">
        <v>5</v>
      </c>
      <c r="AP525" s="3">
        <v>0</v>
      </c>
      <c r="AQ525" s="3">
        <v>0</v>
      </c>
      <c r="AR525" s="2" t="s">
        <v>5</v>
      </c>
      <c r="AS525" s="2" t="s">
        <v>46</v>
      </c>
      <c r="AT525" s="5" t="str">
        <f>HYPERLINK("http://catalog.hathitrust.org/Record/000276479","HathiTrust Record")</f>
        <v>HathiTrust Record</v>
      </c>
      <c r="AU525" s="5" t="str">
        <f>HYPERLINK("https://creighton-primo.hosted.exlibrisgroup.com/primo-explore/search?tab=default_tab&amp;search_scope=EVERYTHING&amp;vid=01CRU&amp;lang=en_US&amp;offset=0&amp;query=any,contains,991004070659702656","Catalog Record")</f>
        <v>Catalog Record</v>
      </c>
      <c r="AV525" s="5" t="str">
        <f>HYPERLINK("http://www.worldcat.org/oclc/2299658","WorldCat Record")</f>
        <v>WorldCat Record</v>
      </c>
      <c r="AW525" s="2" t="s">
        <v>6510</v>
      </c>
      <c r="AX525" s="2" t="s">
        <v>6511</v>
      </c>
      <c r="AY525" s="2" t="s">
        <v>6512</v>
      </c>
      <c r="AZ525" s="2" t="s">
        <v>6512</v>
      </c>
      <c r="BA525" s="2" t="s">
        <v>6513</v>
      </c>
      <c r="BB525" s="2" t="s">
        <v>20</v>
      </c>
      <c r="BE525" s="2" t="s">
        <v>6518</v>
      </c>
      <c r="BF525" s="2" t="s">
        <v>6519</v>
      </c>
    </row>
    <row r="526" spans="1:58" ht="39.75" customHeight="1" x14ac:dyDescent="0.25">
      <c r="A526" s="7" t="s">
        <v>5</v>
      </c>
      <c r="B526" s="1" t="s">
        <v>0</v>
      </c>
      <c r="C526" s="1" t="s">
        <v>1</v>
      </c>
      <c r="D526" s="1" t="s">
        <v>6504</v>
      </c>
      <c r="E526" s="1" t="s">
        <v>6505</v>
      </c>
      <c r="F526" s="1" t="s">
        <v>6506</v>
      </c>
      <c r="G526" s="2" t="s">
        <v>73</v>
      </c>
      <c r="H526" s="2" t="s">
        <v>46</v>
      </c>
      <c r="I526" s="2" t="s">
        <v>6</v>
      </c>
      <c r="J526" s="2" t="s">
        <v>5</v>
      </c>
      <c r="K526" s="2" t="s">
        <v>5</v>
      </c>
      <c r="L526" s="2" t="s">
        <v>7</v>
      </c>
      <c r="M526" s="1" t="s">
        <v>6507</v>
      </c>
      <c r="N526" s="1" t="s">
        <v>6508</v>
      </c>
      <c r="O526" s="2" t="s">
        <v>307</v>
      </c>
      <c r="Q526" s="2" t="s">
        <v>1151</v>
      </c>
      <c r="R526" s="2" t="s">
        <v>1152</v>
      </c>
      <c r="S526" s="1" t="s">
        <v>6509</v>
      </c>
      <c r="T526" s="2" t="s">
        <v>13</v>
      </c>
      <c r="U526" s="3">
        <v>0</v>
      </c>
      <c r="V526" s="3">
        <v>1</v>
      </c>
      <c r="X526" s="4" t="s">
        <v>5262</v>
      </c>
      <c r="Y526" s="4" t="s">
        <v>5706</v>
      </c>
      <c r="Z526" s="4" t="s">
        <v>5706</v>
      </c>
      <c r="AA526" s="3">
        <v>299</v>
      </c>
      <c r="AB526" s="3">
        <v>271</v>
      </c>
      <c r="AC526" s="3">
        <v>344</v>
      </c>
      <c r="AD526" s="3">
        <v>5</v>
      </c>
      <c r="AE526" s="9">
        <v>6</v>
      </c>
      <c r="AF526" s="9">
        <v>18</v>
      </c>
      <c r="AG526" s="9">
        <v>20</v>
      </c>
      <c r="AH526" s="3">
        <v>5</v>
      </c>
      <c r="AI526" s="3">
        <v>5</v>
      </c>
      <c r="AJ526" s="3">
        <v>5</v>
      </c>
      <c r="AK526" s="3">
        <v>5</v>
      </c>
      <c r="AL526" s="3">
        <v>9</v>
      </c>
      <c r="AM526" s="3">
        <v>10</v>
      </c>
      <c r="AN526" s="3">
        <v>4</v>
      </c>
      <c r="AO526" s="3">
        <v>5</v>
      </c>
      <c r="AP526" s="3">
        <v>0</v>
      </c>
      <c r="AQ526" s="3">
        <v>0</v>
      </c>
      <c r="AR526" s="2" t="s">
        <v>5</v>
      </c>
      <c r="AS526" s="2" t="s">
        <v>46</v>
      </c>
      <c r="AT526" s="5" t="str">
        <f>HYPERLINK("http://catalog.hathitrust.org/Record/000276479","HathiTrust Record")</f>
        <v>HathiTrust Record</v>
      </c>
      <c r="AU526" s="5" t="str">
        <f>HYPERLINK("https://creighton-primo.hosted.exlibrisgroup.com/primo-explore/search?tab=default_tab&amp;search_scope=EVERYTHING&amp;vid=01CRU&amp;lang=en_US&amp;offset=0&amp;query=any,contains,991004070659702656","Catalog Record")</f>
        <v>Catalog Record</v>
      </c>
      <c r="AV526" s="5" t="str">
        <f>HYPERLINK("http://www.worldcat.org/oclc/2299658","WorldCat Record")</f>
        <v>WorldCat Record</v>
      </c>
      <c r="AW526" s="2" t="s">
        <v>6510</v>
      </c>
      <c r="AX526" s="2" t="s">
        <v>6511</v>
      </c>
      <c r="AY526" s="2" t="s">
        <v>6512</v>
      </c>
      <c r="AZ526" s="2" t="s">
        <v>6512</v>
      </c>
      <c r="BA526" s="2" t="s">
        <v>6513</v>
      </c>
      <c r="BB526" s="2" t="s">
        <v>20</v>
      </c>
      <c r="BE526" s="2" t="s">
        <v>6520</v>
      </c>
      <c r="BF526" s="2" t="s">
        <v>6521</v>
      </c>
    </row>
    <row r="527" spans="1:58" ht="39.75" customHeight="1" x14ac:dyDescent="0.25">
      <c r="A527" s="7" t="s">
        <v>5</v>
      </c>
      <c r="B527" s="1" t="s">
        <v>0</v>
      </c>
      <c r="C527" s="1" t="s">
        <v>1</v>
      </c>
      <c r="D527" s="1" t="s">
        <v>6522</v>
      </c>
      <c r="E527" s="1" t="s">
        <v>6523</v>
      </c>
      <c r="F527" s="1" t="s">
        <v>6524</v>
      </c>
      <c r="H527" s="2" t="s">
        <v>5</v>
      </c>
      <c r="I527" s="2" t="s">
        <v>6</v>
      </c>
      <c r="J527" s="2" t="s">
        <v>5</v>
      </c>
      <c r="K527" s="2" t="s">
        <v>5</v>
      </c>
      <c r="L527" s="2" t="s">
        <v>7</v>
      </c>
      <c r="M527" s="1" t="s">
        <v>6525</v>
      </c>
      <c r="N527" s="1" t="s">
        <v>6526</v>
      </c>
      <c r="O527" s="2" t="s">
        <v>1418</v>
      </c>
      <c r="P527" s="1" t="s">
        <v>6527</v>
      </c>
      <c r="Q527" s="2" t="s">
        <v>1151</v>
      </c>
      <c r="R527" s="2" t="s">
        <v>61</v>
      </c>
      <c r="T527" s="2" t="s">
        <v>13</v>
      </c>
      <c r="U527" s="3">
        <v>3</v>
      </c>
      <c r="V527" s="3">
        <v>3</v>
      </c>
      <c r="W527" s="4" t="s">
        <v>6528</v>
      </c>
      <c r="X527" s="4" t="s">
        <v>6528</v>
      </c>
      <c r="Y527" s="4" t="s">
        <v>5333</v>
      </c>
      <c r="Z527" s="4" t="s">
        <v>5333</v>
      </c>
      <c r="AA527" s="3">
        <v>285</v>
      </c>
      <c r="AB527" s="3">
        <v>251</v>
      </c>
      <c r="AC527" s="3">
        <v>397</v>
      </c>
      <c r="AD527" s="3">
        <v>1</v>
      </c>
      <c r="AE527" s="9">
        <v>2</v>
      </c>
      <c r="AF527" s="9">
        <v>7</v>
      </c>
      <c r="AG527" s="9">
        <v>13</v>
      </c>
      <c r="AH527" s="3">
        <v>1</v>
      </c>
      <c r="AI527" s="3">
        <v>4</v>
      </c>
      <c r="AJ527" s="3">
        <v>3</v>
      </c>
      <c r="AK527" s="3">
        <v>4</v>
      </c>
      <c r="AL527" s="3">
        <v>7</v>
      </c>
      <c r="AM527" s="3">
        <v>11</v>
      </c>
      <c r="AN527" s="3">
        <v>0</v>
      </c>
      <c r="AO527" s="3">
        <v>1</v>
      </c>
      <c r="AP527" s="3">
        <v>0</v>
      </c>
      <c r="AQ527" s="3">
        <v>0</v>
      </c>
      <c r="AR527" s="2" t="s">
        <v>5</v>
      </c>
      <c r="AS527" s="2" t="s">
        <v>46</v>
      </c>
      <c r="AT527" s="5" t="str">
        <f>HYPERLINK("http://catalog.hathitrust.org/Record/001048534","HathiTrust Record")</f>
        <v>HathiTrust Record</v>
      </c>
      <c r="AU527" s="5" t="str">
        <f>HYPERLINK("https://creighton-primo.hosted.exlibrisgroup.com/primo-explore/search?tab=default_tab&amp;search_scope=EVERYTHING&amp;vid=01CRU&amp;lang=en_US&amp;offset=0&amp;query=any,contains,991003479869702656","Catalog Record")</f>
        <v>Catalog Record</v>
      </c>
      <c r="AV527" s="5" t="str">
        <f>HYPERLINK("http://www.worldcat.org/oclc/1026678","WorldCat Record")</f>
        <v>WorldCat Record</v>
      </c>
      <c r="AW527" s="2" t="s">
        <v>6529</v>
      </c>
      <c r="AX527" s="2" t="s">
        <v>6530</v>
      </c>
      <c r="AY527" s="2" t="s">
        <v>6531</v>
      </c>
      <c r="AZ527" s="2" t="s">
        <v>6531</v>
      </c>
      <c r="BA527" s="2" t="s">
        <v>6532</v>
      </c>
      <c r="BB527" s="2" t="s">
        <v>20</v>
      </c>
      <c r="BE527" s="2" t="s">
        <v>6533</v>
      </c>
      <c r="BF527" s="2" t="s">
        <v>6534</v>
      </c>
    </row>
    <row r="528" spans="1:58" ht="39.75" customHeight="1" x14ac:dyDescent="0.25">
      <c r="A528" s="7" t="s">
        <v>5</v>
      </c>
      <c r="B528" s="1" t="s">
        <v>0</v>
      </c>
      <c r="C528" s="1" t="s">
        <v>1</v>
      </c>
      <c r="D528" s="1" t="s">
        <v>6535</v>
      </c>
      <c r="E528" s="1" t="s">
        <v>6536</v>
      </c>
      <c r="F528" s="1" t="s">
        <v>6537</v>
      </c>
      <c r="H528" s="2" t="s">
        <v>5</v>
      </c>
      <c r="I528" s="2" t="s">
        <v>6</v>
      </c>
      <c r="J528" s="2" t="s">
        <v>5</v>
      </c>
      <c r="K528" s="2" t="s">
        <v>5</v>
      </c>
      <c r="L528" s="2" t="s">
        <v>7</v>
      </c>
      <c r="M528" s="1" t="s">
        <v>6538</v>
      </c>
      <c r="N528" s="1" t="s">
        <v>6539</v>
      </c>
      <c r="O528" s="2" t="s">
        <v>6540</v>
      </c>
      <c r="Q528" s="2" t="s">
        <v>60</v>
      </c>
      <c r="R528" s="2" t="s">
        <v>234</v>
      </c>
      <c r="S528" s="1" t="s">
        <v>6541</v>
      </c>
      <c r="T528" s="2" t="s">
        <v>13</v>
      </c>
      <c r="U528" s="3">
        <v>2</v>
      </c>
      <c r="V528" s="3">
        <v>2</v>
      </c>
      <c r="W528" s="4" t="s">
        <v>6542</v>
      </c>
      <c r="X528" s="4" t="s">
        <v>6542</v>
      </c>
      <c r="Y528" s="4" t="s">
        <v>5706</v>
      </c>
      <c r="Z528" s="4" t="s">
        <v>5706</v>
      </c>
      <c r="AA528" s="3">
        <v>72</v>
      </c>
      <c r="AB528" s="3">
        <v>65</v>
      </c>
      <c r="AC528" s="3">
        <v>65</v>
      </c>
      <c r="AD528" s="3">
        <v>1</v>
      </c>
      <c r="AE528" s="9">
        <v>1</v>
      </c>
      <c r="AF528" s="9">
        <v>4</v>
      </c>
      <c r="AG528" s="9">
        <v>4</v>
      </c>
      <c r="AH528" s="3">
        <v>2</v>
      </c>
      <c r="AI528" s="3">
        <v>2</v>
      </c>
      <c r="AJ528" s="3">
        <v>1</v>
      </c>
      <c r="AK528" s="3">
        <v>1</v>
      </c>
      <c r="AL528" s="3">
        <v>2</v>
      </c>
      <c r="AM528" s="3">
        <v>2</v>
      </c>
      <c r="AN528" s="3">
        <v>0</v>
      </c>
      <c r="AO528" s="3">
        <v>0</v>
      </c>
      <c r="AP528" s="3">
        <v>0</v>
      </c>
      <c r="AQ528" s="3">
        <v>0</v>
      </c>
      <c r="AR528" s="2" t="s">
        <v>5</v>
      </c>
      <c r="AS528" s="2" t="s">
        <v>46</v>
      </c>
      <c r="AT528" s="5" t="str">
        <f>HYPERLINK("http://catalog.hathitrust.org/Record/006138350","HathiTrust Record")</f>
        <v>HathiTrust Record</v>
      </c>
      <c r="AU528" s="5" t="str">
        <f>HYPERLINK("https://creighton-primo.hosted.exlibrisgroup.com/primo-explore/search?tab=default_tab&amp;search_scope=EVERYTHING&amp;vid=01CRU&amp;lang=en_US&amp;offset=0&amp;query=any,contains,991003996559702656","Catalog Record")</f>
        <v>Catalog Record</v>
      </c>
      <c r="AV528" s="5" t="str">
        <f>HYPERLINK("http://www.worldcat.org/oclc/2062811","WorldCat Record")</f>
        <v>WorldCat Record</v>
      </c>
      <c r="AW528" s="2" t="s">
        <v>6543</v>
      </c>
      <c r="AX528" s="2" t="s">
        <v>6544</v>
      </c>
      <c r="AY528" s="2" t="s">
        <v>6545</v>
      </c>
      <c r="AZ528" s="2" t="s">
        <v>6545</v>
      </c>
      <c r="BA528" s="2" t="s">
        <v>6546</v>
      </c>
      <c r="BB528" s="2" t="s">
        <v>20</v>
      </c>
      <c r="BE528" s="2" t="s">
        <v>6547</v>
      </c>
      <c r="BF528" s="2" t="s">
        <v>6548</v>
      </c>
    </row>
    <row r="529" spans="1:58" ht="39.75" customHeight="1" x14ac:dyDescent="0.25">
      <c r="A529" s="7" t="s">
        <v>5</v>
      </c>
      <c r="B529" s="1" t="s">
        <v>0</v>
      </c>
      <c r="C529" s="1" t="s">
        <v>1</v>
      </c>
      <c r="D529" s="1" t="s">
        <v>6549</v>
      </c>
      <c r="E529" s="1" t="s">
        <v>6550</v>
      </c>
      <c r="F529" s="1" t="s">
        <v>6551</v>
      </c>
      <c r="H529" s="2" t="s">
        <v>5</v>
      </c>
      <c r="I529" s="2" t="s">
        <v>6</v>
      </c>
      <c r="J529" s="2" t="s">
        <v>5</v>
      </c>
      <c r="K529" s="2" t="s">
        <v>5</v>
      </c>
      <c r="L529" s="2" t="s">
        <v>7</v>
      </c>
      <c r="M529" s="1" t="s">
        <v>6552</v>
      </c>
      <c r="N529" s="1" t="s">
        <v>6553</v>
      </c>
      <c r="O529" s="2" t="s">
        <v>6554</v>
      </c>
      <c r="Q529" s="2" t="s">
        <v>1151</v>
      </c>
      <c r="R529" s="2" t="s">
        <v>1152</v>
      </c>
      <c r="S529" s="1" t="s">
        <v>6555</v>
      </c>
      <c r="T529" s="2" t="s">
        <v>13</v>
      </c>
      <c r="U529" s="3">
        <v>5</v>
      </c>
      <c r="V529" s="3">
        <v>5</v>
      </c>
      <c r="W529" s="4" t="s">
        <v>5262</v>
      </c>
      <c r="X529" s="4" t="s">
        <v>5262</v>
      </c>
      <c r="Y529" s="4" t="s">
        <v>6556</v>
      </c>
      <c r="Z529" s="4" t="s">
        <v>6556</v>
      </c>
      <c r="AA529" s="3">
        <v>102</v>
      </c>
      <c r="AB529" s="3">
        <v>84</v>
      </c>
      <c r="AC529" s="3">
        <v>91</v>
      </c>
      <c r="AD529" s="3">
        <v>1</v>
      </c>
      <c r="AE529" s="9">
        <v>1</v>
      </c>
      <c r="AF529" s="9">
        <v>2</v>
      </c>
      <c r="AG529" s="9">
        <v>2</v>
      </c>
      <c r="AH529" s="3">
        <v>0</v>
      </c>
      <c r="AI529" s="3">
        <v>0</v>
      </c>
      <c r="AJ529" s="3">
        <v>0</v>
      </c>
      <c r="AK529" s="3">
        <v>0</v>
      </c>
      <c r="AL529" s="3">
        <v>2</v>
      </c>
      <c r="AM529" s="3">
        <v>2</v>
      </c>
      <c r="AN529" s="3">
        <v>0</v>
      </c>
      <c r="AO529" s="3">
        <v>0</v>
      </c>
      <c r="AP529" s="3">
        <v>0</v>
      </c>
      <c r="AQ529" s="3">
        <v>0</v>
      </c>
      <c r="AR529" s="2" t="s">
        <v>46</v>
      </c>
      <c r="AS529" s="2" t="s">
        <v>5</v>
      </c>
      <c r="AT529" s="5" t="str">
        <f>HYPERLINK("http://catalog.hathitrust.org/Record/006543572","HathiTrust Record")</f>
        <v>HathiTrust Record</v>
      </c>
      <c r="AU529" s="5" t="str">
        <f>HYPERLINK("https://creighton-primo.hosted.exlibrisgroup.com/primo-explore/search?tab=default_tab&amp;search_scope=EVERYTHING&amp;vid=01CRU&amp;lang=en_US&amp;offset=0&amp;query=any,contains,991004379339702656","Catalog Record")</f>
        <v>Catalog Record</v>
      </c>
      <c r="AV529" s="5" t="str">
        <f>HYPERLINK("http://www.worldcat.org/oclc/3212968","WorldCat Record")</f>
        <v>WorldCat Record</v>
      </c>
      <c r="AW529" s="2" t="s">
        <v>6557</v>
      </c>
      <c r="AX529" s="2" t="s">
        <v>6558</v>
      </c>
      <c r="AY529" s="2" t="s">
        <v>6559</v>
      </c>
      <c r="AZ529" s="2" t="s">
        <v>6559</v>
      </c>
      <c r="BA529" s="2" t="s">
        <v>6560</v>
      </c>
      <c r="BB529" s="2" t="s">
        <v>20</v>
      </c>
      <c r="BE529" s="2" t="s">
        <v>6561</v>
      </c>
      <c r="BF529" s="2" t="s">
        <v>6562</v>
      </c>
    </row>
    <row r="530" spans="1:58" ht="39.75" customHeight="1" x14ac:dyDescent="0.25">
      <c r="A530" s="7" t="s">
        <v>5</v>
      </c>
      <c r="B530" s="1" t="s">
        <v>0</v>
      </c>
      <c r="C530" s="1" t="s">
        <v>1</v>
      </c>
      <c r="D530" s="1" t="s">
        <v>6563</v>
      </c>
      <c r="E530" s="1" t="s">
        <v>6564</v>
      </c>
      <c r="F530" s="1" t="s">
        <v>6565</v>
      </c>
      <c r="H530" s="2" t="s">
        <v>5</v>
      </c>
      <c r="I530" s="2" t="s">
        <v>6</v>
      </c>
      <c r="J530" s="2" t="s">
        <v>5</v>
      </c>
      <c r="K530" s="2" t="s">
        <v>5</v>
      </c>
      <c r="L530" s="2" t="s">
        <v>7</v>
      </c>
      <c r="M530" s="1" t="s">
        <v>6566</v>
      </c>
      <c r="N530" s="1" t="s">
        <v>6567</v>
      </c>
      <c r="O530" s="2" t="s">
        <v>108</v>
      </c>
      <c r="Q530" s="2" t="s">
        <v>11</v>
      </c>
      <c r="R530" s="2" t="s">
        <v>28</v>
      </c>
      <c r="S530" s="1" t="s">
        <v>6568</v>
      </c>
      <c r="T530" s="2" t="s">
        <v>13</v>
      </c>
      <c r="U530" s="3">
        <v>1</v>
      </c>
      <c r="V530" s="3">
        <v>1</v>
      </c>
      <c r="W530" s="4" t="s">
        <v>6569</v>
      </c>
      <c r="X530" s="4" t="s">
        <v>6569</v>
      </c>
      <c r="Y530" s="4" t="s">
        <v>3266</v>
      </c>
      <c r="Z530" s="4" t="s">
        <v>3266</v>
      </c>
      <c r="AA530" s="3">
        <v>140</v>
      </c>
      <c r="AB530" s="3">
        <v>93</v>
      </c>
      <c r="AC530" s="3">
        <v>95</v>
      </c>
      <c r="AD530" s="3">
        <v>1</v>
      </c>
      <c r="AE530" s="9">
        <v>1</v>
      </c>
      <c r="AF530" s="9">
        <v>6</v>
      </c>
      <c r="AG530" s="9">
        <v>6</v>
      </c>
      <c r="AH530" s="3">
        <v>0</v>
      </c>
      <c r="AI530" s="3">
        <v>0</v>
      </c>
      <c r="AJ530" s="3">
        <v>3</v>
      </c>
      <c r="AK530" s="3">
        <v>3</v>
      </c>
      <c r="AL530" s="3">
        <v>4</v>
      </c>
      <c r="AM530" s="3">
        <v>4</v>
      </c>
      <c r="AN530" s="3">
        <v>0</v>
      </c>
      <c r="AO530" s="3">
        <v>0</v>
      </c>
      <c r="AP530" s="3">
        <v>0</v>
      </c>
      <c r="AQ530" s="3">
        <v>0</v>
      </c>
      <c r="AR530" s="2" t="s">
        <v>5</v>
      </c>
      <c r="AS530" s="2" t="s">
        <v>46</v>
      </c>
      <c r="AT530" s="5" t="str">
        <f>HYPERLINK("http://catalog.hathitrust.org/Record/001048134","HathiTrust Record")</f>
        <v>HathiTrust Record</v>
      </c>
      <c r="AU530" s="5" t="str">
        <f>HYPERLINK("https://creighton-primo.hosted.exlibrisgroup.com/primo-explore/search?tab=default_tab&amp;search_scope=EVERYTHING&amp;vid=01CRU&amp;lang=en_US&amp;offset=0&amp;query=any,contains,991002955049702656","Catalog Record")</f>
        <v>Catalog Record</v>
      </c>
      <c r="AV530" s="5" t="str">
        <f>HYPERLINK("http://www.worldcat.org/oclc/541632","WorldCat Record")</f>
        <v>WorldCat Record</v>
      </c>
      <c r="AW530" s="2" t="s">
        <v>6570</v>
      </c>
      <c r="AX530" s="2" t="s">
        <v>6571</v>
      </c>
      <c r="AY530" s="2" t="s">
        <v>6572</v>
      </c>
      <c r="AZ530" s="2" t="s">
        <v>6572</v>
      </c>
      <c r="BA530" s="2" t="s">
        <v>6573</v>
      </c>
      <c r="BB530" s="2" t="s">
        <v>20</v>
      </c>
      <c r="BE530" s="2" t="s">
        <v>6574</v>
      </c>
      <c r="BF530" s="2" t="s">
        <v>6575</v>
      </c>
    </row>
    <row r="531" spans="1:58" ht="39.75" customHeight="1" x14ac:dyDescent="0.25">
      <c r="A531" s="7" t="s">
        <v>5</v>
      </c>
      <c r="B531" s="1" t="s">
        <v>0</v>
      </c>
      <c r="C531" s="1" t="s">
        <v>1</v>
      </c>
      <c r="D531" s="1" t="s">
        <v>6576</v>
      </c>
      <c r="E531" s="1" t="s">
        <v>6577</v>
      </c>
      <c r="F531" s="1" t="s">
        <v>6578</v>
      </c>
      <c r="H531" s="2" t="s">
        <v>5</v>
      </c>
      <c r="I531" s="2" t="s">
        <v>6</v>
      </c>
      <c r="J531" s="2" t="s">
        <v>5</v>
      </c>
      <c r="K531" s="2" t="s">
        <v>5</v>
      </c>
      <c r="L531" s="2" t="s">
        <v>7</v>
      </c>
      <c r="N531" s="1" t="s">
        <v>6579</v>
      </c>
      <c r="O531" s="2" t="s">
        <v>3941</v>
      </c>
      <c r="P531" s="1" t="s">
        <v>6580</v>
      </c>
      <c r="Q531" s="2" t="s">
        <v>1151</v>
      </c>
      <c r="R531" s="2" t="s">
        <v>5403</v>
      </c>
      <c r="T531" s="2" t="s">
        <v>13</v>
      </c>
      <c r="U531" s="3">
        <v>1</v>
      </c>
      <c r="V531" s="3">
        <v>1</v>
      </c>
      <c r="W531" s="4" t="s">
        <v>6581</v>
      </c>
      <c r="X531" s="4" t="s">
        <v>6581</v>
      </c>
      <c r="Y531" s="4" t="s">
        <v>6582</v>
      </c>
      <c r="Z531" s="4" t="s">
        <v>6582</v>
      </c>
      <c r="AA531" s="3">
        <v>6</v>
      </c>
      <c r="AB531" s="3">
        <v>5</v>
      </c>
      <c r="AC531" s="3">
        <v>20</v>
      </c>
      <c r="AD531" s="3">
        <v>1</v>
      </c>
      <c r="AE531" s="9">
        <v>1</v>
      </c>
      <c r="AF531" s="9">
        <v>0</v>
      </c>
      <c r="AG531" s="9">
        <v>0</v>
      </c>
      <c r="AH531" s="3">
        <v>0</v>
      </c>
      <c r="AI531" s="3">
        <v>0</v>
      </c>
      <c r="AJ531" s="3">
        <v>0</v>
      </c>
      <c r="AK531" s="3">
        <v>0</v>
      </c>
      <c r="AL531" s="3">
        <v>0</v>
      </c>
      <c r="AM531" s="3">
        <v>0</v>
      </c>
      <c r="AN531" s="3">
        <v>0</v>
      </c>
      <c r="AO531" s="3">
        <v>0</v>
      </c>
      <c r="AP531" s="3">
        <v>0</v>
      </c>
      <c r="AQ531" s="3">
        <v>0</v>
      </c>
      <c r="AR531" s="2" t="s">
        <v>5</v>
      </c>
      <c r="AS531" s="2" t="s">
        <v>5</v>
      </c>
      <c r="AU531" s="5" t="str">
        <f>HYPERLINK("https://creighton-primo.hosted.exlibrisgroup.com/primo-explore/search?tab=default_tab&amp;search_scope=EVERYTHING&amp;vid=01CRU&amp;lang=en_US&amp;offset=0&amp;query=any,contains,991004079589702656","Catalog Record")</f>
        <v>Catalog Record</v>
      </c>
      <c r="AV531" s="5" t="str">
        <f>HYPERLINK("http://www.worldcat.org/oclc/52099201","WorldCat Record")</f>
        <v>WorldCat Record</v>
      </c>
      <c r="AW531" s="2" t="s">
        <v>6583</v>
      </c>
      <c r="AX531" s="2" t="s">
        <v>6584</v>
      </c>
      <c r="AY531" s="2" t="s">
        <v>6585</v>
      </c>
      <c r="AZ531" s="2" t="s">
        <v>6585</v>
      </c>
      <c r="BA531" s="2" t="s">
        <v>6586</v>
      </c>
      <c r="BB531" s="2" t="s">
        <v>20</v>
      </c>
      <c r="BD531" s="2" t="s">
        <v>6587</v>
      </c>
      <c r="BE531" s="2" t="s">
        <v>6588</v>
      </c>
      <c r="BF531" s="2" t="s">
        <v>6589</v>
      </c>
    </row>
    <row r="532" spans="1:58" ht="39.75" customHeight="1" x14ac:dyDescent="0.25">
      <c r="A532" s="7" t="s">
        <v>5</v>
      </c>
      <c r="B532" s="1" t="s">
        <v>0</v>
      </c>
      <c r="C532" s="1" t="s">
        <v>1</v>
      </c>
      <c r="D532" s="1" t="s">
        <v>6590</v>
      </c>
      <c r="E532" s="1" t="s">
        <v>6591</v>
      </c>
      <c r="F532" s="1" t="s">
        <v>6592</v>
      </c>
      <c r="G532" s="2" t="s">
        <v>2083</v>
      </c>
      <c r="H532" s="2" t="s">
        <v>46</v>
      </c>
      <c r="I532" s="2" t="s">
        <v>6</v>
      </c>
      <c r="J532" s="2" t="s">
        <v>5</v>
      </c>
      <c r="K532" s="2" t="s">
        <v>5</v>
      </c>
      <c r="L532" s="2" t="s">
        <v>7</v>
      </c>
      <c r="N532" s="1" t="s">
        <v>6593</v>
      </c>
      <c r="O532" s="2" t="s">
        <v>1273</v>
      </c>
      <c r="P532" s="1" t="s">
        <v>5911</v>
      </c>
      <c r="Q532" s="2" t="s">
        <v>1151</v>
      </c>
      <c r="R532" s="2" t="s">
        <v>6594</v>
      </c>
      <c r="S532" s="1" t="s">
        <v>6595</v>
      </c>
      <c r="T532" s="2" t="s">
        <v>13</v>
      </c>
      <c r="U532" s="3">
        <v>4</v>
      </c>
      <c r="V532" s="3">
        <v>11</v>
      </c>
      <c r="W532" s="4" t="s">
        <v>6596</v>
      </c>
      <c r="X532" s="4" t="s">
        <v>6528</v>
      </c>
      <c r="Y532" s="4" t="s">
        <v>6597</v>
      </c>
      <c r="Z532" s="4" t="s">
        <v>6597</v>
      </c>
      <c r="AA532" s="3">
        <v>95</v>
      </c>
      <c r="AB532" s="3">
        <v>75</v>
      </c>
      <c r="AC532" s="3">
        <v>75</v>
      </c>
      <c r="AD532" s="3">
        <v>2</v>
      </c>
      <c r="AE532" s="9">
        <v>2</v>
      </c>
      <c r="AF532" s="9">
        <v>3</v>
      </c>
      <c r="AG532" s="9">
        <v>3</v>
      </c>
      <c r="AH532" s="3">
        <v>1</v>
      </c>
      <c r="AI532" s="3">
        <v>1</v>
      </c>
      <c r="AJ532" s="3">
        <v>1</v>
      </c>
      <c r="AK532" s="3">
        <v>1</v>
      </c>
      <c r="AL532" s="3">
        <v>1</v>
      </c>
      <c r="AM532" s="3">
        <v>1</v>
      </c>
      <c r="AN532" s="3">
        <v>1</v>
      </c>
      <c r="AO532" s="3">
        <v>1</v>
      </c>
      <c r="AP532" s="3">
        <v>0</v>
      </c>
      <c r="AQ532" s="3">
        <v>0</v>
      </c>
      <c r="AR532" s="2" t="s">
        <v>5</v>
      </c>
      <c r="AS532" s="2" t="s">
        <v>5</v>
      </c>
      <c r="AU532" s="5" t="str">
        <f>HYPERLINK("https://creighton-primo.hosted.exlibrisgroup.com/primo-explore/search?tab=default_tab&amp;search_scope=EVERYTHING&amp;vid=01CRU&amp;lang=en_US&amp;offset=0&amp;query=any,contains,991000904839702656","Catalog Record")</f>
        <v>Catalog Record</v>
      </c>
      <c r="AV532" s="5" t="str">
        <f>HYPERLINK("http://www.worldcat.org/oclc/14089655","WorldCat Record")</f>
        <v>WorldCat Record</v>
      </c>
      <c r="AW532" s="2" t="s">
        <v>6598</v>
      </c>
      <c r="AX532" s="2" t="s">
        <v>6599</v>
      </c>
      <c r="AY532" s="2" t="s">
        <v>6600</v>
      </c>
      <c r="AZ532" s="2" t="s">
        <v>6600</v>
      </c>
      <c r="BA532" s="2" t="s">
        <v>6601</v>
      </c>
      <c r="BB532" s="2" t="s">
        <v>20</v>
      </c>
      <c r="BD532" s="2" t="s">
        <v>6602</v>
      </c>
      <c r="BE532" s="2" t="s">
        <v>6603</v>
      </c>
      <c r="BF532" s="2" t="s">
        <v>6604</v>
      </c>
    </row>
    <row r="533" spans="1:58" ht="39.75" customHeight="1" x14ac:dyDescent="0.25">
      <c r="A533" s="7" t="s">
        <v>5</v>
      </c>
      <c r="B533" s="1" t="s">
        <v>0</v>
      </c>
      <c r="C533" s="1" t="s">
        <v>1</v>
      </c>
      <c r="D533" s="1" t="s">
        <v>6590</v>
      </c>
      <c r="E533" s="1" t="s">
        <v>6591</v>
      </c>
      <c r="F533" s="1" t="s">
        <v>6592</v>
      </c>
      <c r="G533" s="2" t="s">
        <v>2107</v>
      </c>
      <c r="H533" s="2" t="s">
        <v>46</v>
      </c>
      <c r="I533" s="2" t="s">
        <v>6</v>
      </c>
      <c r="J533" s="2" t="s">
        <v>5</v>
      </c>
      <c r="K533" s="2" t="s">
        <v>5</v>
      </c>
      <c r="L533" s="2" t="s">
        <v>7</v>
      </c>
      <c r="N533" s="1" t="s">
        <v>6593</v>
      </c>
      <c r="O533" s="2" t="s">
        <v>1273</v>
      </c>
      <c r="P533" s="1" t="s">
        <v>5911</v>
      </c>
      <c r="Q533" s="2" t="s">
        <v>1151</v>
      </c>
      <c r="R533" s="2" t="s">
        <v>6594</v>
      </c>
      <c r="S533" s="1" t="s">
        <v>6595</v>
      </c>
      <c r="T533" s="2" t="s">
        <v>13</v>
      </c>
      <c r="U533" s="3">
        <v>7</v>
      </c>
      <c r="V533" s="3">
        <v>11</v>
      </c>
      <c r="W533" s="4" t="s">
        <v>6528</v>
      </c>
      <c r="X533" s="4" t="s">
        <v>6528</v>
      </c>
      <c r="Y533" s="4" t="s">
        <v>6597</v>
      </c>
      <c r="Z533" s="4" t="s">
        <v>6597</v>
      </c>
      <c r="AA533" s="3">
        <v>95</v>
      </c>
      <c r="AB533" s="3">
        <v>75</v>
      </c>
      <c r="AC533" s="3">
        <v>75</v>
      </c>
      <c r="AD533" s="3">
        <v>2</v>
      </c>
      <c r="AE533" s="9">
        <v>2</v>
      </c>
      <c r="AF533" s="9">
        <v>3</v>
      </c>
      <c r="AG533" s="9">
        <v>3</v>
      </c>
      <c r="AH533" s="3">
        <v>1</v>
      </c>
      <c r="AI533" s="3">
        <v>1</v>
      </c>
      <c r="AJ533" s="3">
        <v>1</v>
      </c>
      <c r="AK533" s="3">
        <v>1</v>
      </c>
      <c r="AL533" s="3">
        <v>1</v>
      </c>
      <c r="AM533" s="3">
        <v>1</v>
      </c>
      <c r="AN533" s="3">
        <v>1</v>
      </c>
      <c r="AO533" s="3">
        <v>1</v>
      </c>
      <c r="AP533" s="3">
        <v>0</v>
      </c>
      <c r="AQ533" s="3">
        <v>0</v>
      </c>
      <c r="AR533" s="2" t="s">
        <v>5</v>
      </c>
      <c r="AS533" s="2" t="s">
        <v>5</v>
      </c>
      <c r="AU533" s="5" t="str">
        <f>HYPERLINK("https://creighton-primo.hosted.exlibrisgroup.com/primo-explore/search?tab=default_tab&amp;search_scope=EVERYTHING&amp;vid=01CRU&amp;lang=en_US&amp;offset=0&amp;query=any,contains,991000904839702656","Catalog Record")</f>
        <v>Catalog Record</v>
      </c>
      <c r="AV533" s="5" t="str">
        <f>HYPERLINK("http://www.worldcat.org/oclc/14089655","WorldCat Record")</f>
        <v>WorldCat Record</v>
      </c>
      <c r="AW533" s="2" t="s">
        <v>6598</v>
      </c>
      <c r="AX533" s="2" t="s">
        <v>6599</v>
      </c>
      <c r="AY533" s="2" t="s">
        <v>6600</v>
      </c>
      <c r="AZ533" s="2" t="s">
        <v>6600</v>
      </c>
      <c r="BA533" s="2" t="s">
        <v>6601</v>
      </c>
      <c r="BB533" s="2" t="s">
        <v>20</v>
      </c>
      <c r="BD533" s="2" t="s">
        <v>6602</v>
      </c>
      <c r="BE533" s="2" t="s">
        <v>6605</v>
      </c>
      <c r="BF533" s="2" t="s">
        <v>6606</v>
      </c>
    </row>
    <row r="534" spans="1:58" ht="39.75" customHeight="1" x14ac:dyDescent="0.25">
      <c r="A534" s="7" t="s">
        <v>5</v>
      </c>
      <c r="B534" s="1" t="s">
        <v>0</v>
      </c>
      <c r="C534" s="1" t="s">
        <v>1</v>
      </c>
      <c r="D534" s="1" t="s">
        <v>6607</v>
      </c>
      <c r="E534" s="1" t="s">
        <v>6608</v>
      </c>
      <c r="F534" s="1" t="s">
        <v>6609</v>
      </c>
      <c r="H534" s="2" t="s">
        <v>5</v>
      </c>
      <c r="I534" s="2" t="s">
        <v>6</v>
      </c>
      <c r="J534" s="2" t="s">
        <v>5</v>
      </c>
      <c r="K534" s="2" t="s">
        <v>5</v>
      </c>
      <c r="L534" s="2" t="s">
        <v>7</v>
      </c>
      <c r="N534" s="1" t="s">
        <v>6610</v>
      </c>
      <c r="O534" s="2" t="s">
        <v>6611</v>
      </c>
      <c r="P534" s="1" t="s">
        <v>6612</v>
      </c>
      <c r="Q534" s="2" t="s">
        <v>1151</v>
      </c>
      <c r="R534" s="2" t="s">
        <v>1152</v>
      </c>
      <c r="S534" s="1" t="s">
        <v>6613</v>
      </c>
      <c r="T534" s="2" t="s">
        <v>13</v>
      </c>
      <c r="U534" s="3">
        <v>2</v>
      </c>
      <c r="V534" s="3">
        <v>2</v>
      </c>
      <c r="W534" s="4" t="s">
        <v>5590</v>
      </c>
      <c r="X534" s="4" t="s">
        <v>5590</v>
      </c>
      <c r="Y534" s="4" t="s">
        <v>956</v>
      </c>
      <c r="Z534" s="4" t="s">
        <v>956</v>
      </c>
      <c r="AA534" s="3">
        <v>4</v>
      </c>
      <c r="AB534" s="3">
        <v>4</v>
      </c>
      <c r="AC534" s="3">
        <v>163</v>
      </c>
      <c r="AD534" s="3">
        <v>1</v>
      </c>
      <c r="AE534" s="9">
        <v>3</v>
      </c>
      <c r="AF534" s="9">
        <v>0</v>
      </c>
      <c r="AG534" s="9">
        <v>7</v>
      </c>
      <c r="AH534" s="3">
        <v>0</v>
      </c>
      <c r="AI534" s="3">
        <v>2</v>
      </c>
      <c r="AJ534" s="3">
        <v>0</v>
      </c>
      <c r="AK534" s="3">
        <v>2</v>
      </c>
      <c r="AL534" s="3">
        <v>0</v>
      </c>
      <c r="AM534" s="3">
        <v>3</v>
      </c>
      <c r="AN534" s="3">
        <v>0</v>
      </c>
      <c r="AO534" s="3">
        <v>2</v>
      </c>
      <c r="AP534" s="3">
        <v>0</v>
      </c>
      <c r="AQ534" s="3">
        <v>0</v>
      </c>
      <c r="AR534" s="2" t="s">
        <v>5</v>
      </c>
      <c r="AS534" s="2" t="s">
        <v>5</v>
      </c>
      <c r="AU534" s="5" t="str">
        <f>HYPERLINK("https://creighton-primo.hosted.exlibrisgroup.com/primo-explore/search?tab=default_tab&amp;search_scope=EVERYTHING&amp;vid=01CRU&amp;lang=en_US&amp;offset=0&amp;query=any,contains,991003484009702656","Catalog Record")</f>
        <v>Catalog Record</v>
      </c>
      <c r="AV534" s="5" t="str">
        <f>HYPERLINK("http://www.worldcat.org/oclc/42806762","WorldCat Record")</f>
        <v>WorldCat Record</v>
      </c>
      <c r="AW534" s="2" t="s">
        <v>6614</v>
      </c>
      <c r="AX534" s="2" t="s">
        <v>6615</v>
      </c>
      <c r="AY534" s="2" t="s">
        <v>6616</v>
      </c>
      <c r="AZ534" s="2" t="s">
        <v>6616</v>
      </c>
      <c r="BA534" s="2" t="s">
        <v>6617</v>
      </c>
      <c r="BB534" s="2" t="s">
        <v>20</v>
      </c>
      <c r="BE534" s="2" t="s">
        <v>6618</v>
      </c>
      <c r="BF534" s="2" t="s">
        <v>6619</v>
      </c>
    </row>
    <row r="535" spans="1:58" ht="39.75" customHeight="1" x14ac:dyDescent="0.25">
      <c r="A535" s="7" t="s">
        <v>5</v>
      </c>
      <c r="B535" s="1" t="s">
        <v>0</v>
      </c>
      <c r="C535" s="1" t="s">
        <v>1</v>
      </c>
      <c r="D535" s="1" t="s">
        <v>6620</v>
      </c>
      <c r="E535" s="1" t="s">
        <v>6621</v>
      </c>
      <c r="F535" s="1" t="s">
        <v>6622</v>
      </c>
      <c r="H535" s="2" t="s">
        <v>5</v>
      </c>
      <c r="I535" s="2" t="s">
        <v>6</v>
      </c>
      <c r="J535" s="2" t="s">
        <v>5</v>
      </c>
      <c r="K535" s="2" t="s">
        <v>5</v>
      </c>
      <c r="L535" s="2" t="s">
        <v>7</v>
      </c>
      <c r="N535" s="1" t="s">
        <v>6623</v>
      </c>
      <c r="O535" s="2" t="s">
        <v>2859</v>
      </c>
      <c r="P535" s="1" t="s">
        <v>6624</v>
      </c>
      <c r="Q535" s="2" t="s">
        <v>1151</v>
      </c>
      <c r="R535" s="2" t="s">
        <v>5403</v>
      </c>
      <c r="S535" s="1" t="s">
        <v>6625</v>
      </c>
      <c r="T535" s="2" t="s">
        <v>13</v>
      </c>
      <c r="U535" s="3">
        <v>2</v>
      </c>
      <c r="V535" s="3">
        <v>2</v>
      </c>
      <c r="W535" s="4" t="s">
        <v>5590</v>
      </c>
      <c r="X535" s="4" t="s">
        <v>5590</v>
      </c>
      <c r="Y535" s="4" t="s">
        <v>5591</v>
      </c>
      <c r="Z535" s="4" t="s">
        <v>5591</v>
      </c>
      <c r="AA535" s="3">
        <v>7</v>
      </c>
      <c r="AB535" s="3">
        <v>6</v>
      </c>
      <c r="AC535" s="3">
        <v>447</v>
      </c>
      <c r="AD535" s="3">
        <v>1</v>
      </c>
      <c r="AE535" s="9">
        <v>4</v>
      </c>
      <c r="AF535" s="9">
        <v>0</v>
      </c>
      <c r="AG535" s="9">
        <v>20</v>
      </c>
      <c r="AH535" s="3">
        <v>0</v>
      </c>
      <c r="AI535" s="3">
        <v>9</v>
      </c>
      <c r="AJ535" s="3">
        <v>0</v>
      </c>
      <c r="AK535" s="3">
        <v>2</v>
      </c>
      <c r="AL535" s="3">
        <v>0</v>
      </c>
      <c r="AM535" s="3">
        <v>11</v>
      </c>
      <c r="AN535" s="3">
        <v>0</v>
      </c>
      <c r="AO535" s="3">
        <v>3</v>
      </c>
      <c r="AP535" s="3">
        <v>0</v>
      </c>
      <c r="AQ535" s="3">
        <v>0</v>
      </c>
      <c r="AR535" s="2" t="s">
        <v>5</v>
      </c>
      <c r="AS535" s="2" t="s">
        <v>5</v>
      </c>
      <c r="AU535" s="5" t="str">
        <f>HYPERLINK("https://creighton-primo.hosted.exlibrisgroup.com/primo-explore/search?tab=default_tab&amp;search_scope=EVERYTHING&amp;vid=01CRU&amp;lang=en_US&amp;offset=0&amp;query=any,contains,991003521259702656","Catalog Record")</f>
        <v>Catalog Record</v>
      </c>
      <c r="AV535" s="5" t="str">
        <f>HYPERLINK("http://www.worldcat.org/oclc/21729307","WorldCat Record")</f>
        <v>WorldCat Record</v>
      </c>
      <c r="AW535" s="2" t="s">
        <v>6626</v>
      </c>
      <c r="AX535" s="2" t="s">
        <v>6627</v>
      </c>
      <c r="AY535" s="2" t="s">
        <v>6628</v>
      </c>
      <c r="AZ535" s="2" t="s">
        <v>6628</v>
      </c>
      <c r="BA535" s="2" t="s">
        <v>6629</v>
      </c>
      <c r="BB535" s="2" t="s">
        <v>20</v>
      </c>
      <c r="BD535" s="2" t="s">
        <v>6630</v>
      </c>
      <c r="BE535" s="2" t="s">
        <v>6631</v>
      </c>
      <c r="BF535" s="2" t="s">
        <v>6632</v>
      </c>
    </row>
    <row r="536" spans="1:58" ht="39.75" customHeight="1" x14ac:dyDescent="0.25">
      <c r="A536" s="7" t="s">
        <v>5</v>
      </c>
      <c r="B536" s="1" t="s">
        <v>0</v>
      </c>
      <c r="C536" s="1" t="s">
        <v>1</v>
      </c>
      <c r="D536" s="1" t="s">
        <v>6633</v>
      </c>
      <c r="E536" s="1" t="s">
        <v>6634</v>
      </c>
      <c r="F536" s="1" t="s">
        <v>6635</v>
      </c>
      <c r="H536" s="2" t="s">
        <v>5</v>
      </c>
      <c r="I536" s="2" t="s">
        <v>6</v>
      </c>
      <c r="J536" s="2" t="s">
        <v>5</v>
      </c>
      <c r="K536" s="2" t="s">
        <v>5</v>
      </c>
      <c r="L536" s="2" t="s">
        <v>7</v>
      </c>
      <c r="N536" s="1" t="s">
        <v>6636</v>
      </c>
      <c r="O536" s="2" t="s">
        <v>6611</v>
      </c>
      <c r="Q536" s="2" t="s">
        <v>1151</v>
      </c>
      <c r="R536" s="2" t="s">
        <v>1152</v>
      </c>
      <c r="S536" s="1" t="s">
        <v>6637</v>
      </c>
      <c r="T536" s="2" t="s">
        <v>13</v>
      </c>
      <c r="U536" s="3">
        <v>3</v>
      </c>
      <c r="V536" s="3">
        <v>3</v>
      </c>
      <c r="W536" s="4" t="s">
        <v>1338</v>
      </c>
      <c r="X536" s="4" t="s">
        <v>1338</v>
      </c>
      <c r="Y536" s="4" t="s">
        <v>1338</v>
      </c>
      <c r="Z536" s="4" t="s">
        <v>1338</v>
      </c>
      <c r="AA536" s="3">
        <v>43</v>
      </c>
      <c r="AB536" s="3">
        <v>35</v>
      </c>
      <c r="AC536" s="3">
        <v>35</v>
      </c>
      <c r="AD536" s="3">
        <v>1</v>
      </c>
      <c r="AE536" s="9">
        <v>1</v>
      </c>
      <c r="AF536" s="9">
        <v>1</v>
      </c>
      <c r="AG536" s="9">
        <v>1</v>
      </c>
      <c r="AH536" s="3">
        <v>0</v>
      </c>
      <c r="AI536" s="3">
        <v>0</v>
      </c>
      <c r="AJ536" s="3">
        <v>1</v>
      </c>
      <c r="AK536" s="3">
        <v>1</v>
      </c>
      <c r="AL536" s="3">
        <v>0</v>
      </c>
      <c r="AM536" s="3">
        <v>0</v>
      </c>
      <c r="AN536" s="3">
        <v>0</v>
      </c>
      <c r="AO536" s="3">
        <v>0</v>
      </c>
      <c r="AP536" s="3">
        <v>0</v>
      </c>
      <c r="AQ536" s="3">
        <v>0</v>
      </c>
      <c r="AR536" s="2" t="s">
        <v>5</v>
      </c>
      <c r="AS536" s="2" t="s">
        <v>5</v>
      </c>
      <c r="AU536" s="5" t="str">
        <f>HYPERLINK("https://creighton-primo.hosted.exlibrisgroup.com/primo-explore/search?tab=default_tab&amp;search_scope=EVERYTHING&amp;vid=01CRU&amp;lang=en_US&amp;offset=0&amp;query=any,contains,991003720729702656","Catalog Record")</f>
        <v>Catalog Record</v>
      </c>
      <c r="AV536" s="5" t="str">
        <f>HYPERLINK("http://www.worldcat.org/oclc/34290326","WorldCat Record")</f>
        <v>WorldCat Record</v>
      </c>
      <c r="AW536" s="2" t="s">
        <v>6638</v>
      </c>
      <c r="AX536" s="2" t="s">
        <v>6639</v>
      </c>
      <c r="AY536" s="2" t="s">
        <v>6640</v>
      </c>
      <c r="AZ536" s="2" t="s">
        <v>6640</v>
      </c>
      <c r="BA536" s="2" t="s">
        <v>6641</v>
      </c>
      <c r="BB536" s="2" t="s">
        <v>20</v>
      </c>
      <c r="BD536" s="2" t="s">
        <v>6642</v>
      </c>
      <c r="BE536" s="2" t="s">
        <v>6643</v>
      </c>
      <c r="BF536" s="2" t="s">
        <v>6644</v>
      </c>
    </row>
    <row r="537" spans="1:58" ht="39.75" customHeight="1" x14ac:dyDescent="0.25">
      <c r="A537" s="7" t="s">
        <v>5</v>
      </c>
      <c r="B537" s="1" t="s">
        <v>0</v>
      </c>
      <c r="C537" s="1" t="s">
        <v>1</v>
      </c>
      <c r="D537" s="1" t="s">
        <v>6645</v>
      </c>
      <c r="E537" s="1" t="s">
        <v>6646</v>
      </c>
      <c r="F537" s="1" t="s">
        <v>6647</v>
      </c>
      <c r="H537" s="2" t="s">
        <v>5</v>
      </c>
      <c r="I537" s="2" t="s">
        <v>6</v>
      </c>
      <c r="J537" s="2" t="s">
        <v>5</v>
      </c>
      <c r="K537" s="2" t="s">
        <v>5</v>
      </c>
      <c r="L537" s="2" t="s">
        <v>7</v>
      </c>
      <c r="N537" s="1" t="s">
        <v>6648</v>
      </c>
      <c r="O537" s="2" t="s">
        <v>27</v>
      </c>
      <c r="Q537" s="2" t="s">
        <v>1151</v>
      </c>
      <c r="R537" s="2" t="s">
        <v>1152</v>
      </c>
      <c r="S537" s="1" t="s">
        <v>6649</v>
      </c>
      <c r="T537" s="2" t="s">
        <v>13</v>
      </c>
      <c r="U537" s="3">
        <v>1</v>
      </c>
      <c r="V537" s="3">
        <v>1</v>
      </c>
      <c r="W537" s="4" t="s">
        <v>6650</v>
      </c>
      <c r="X537" s="4" t="s">
        <v>6650</v>
      </c>
      <c r="Y537" s="4" t="s">
        <v>6650</v>
      </c>
      <c r="Z537" s="4" t="s">
        <v>6650</v>
      </c>
      <c r="AA537" s="3">
        <v>118</v>
      </c>
      <c r="AB537" s="3">
        <v>90</v>
      </c>
      <c r="AC537" s="3">
        <v>92</v>
      </c>
      <c r="AD537" s="3">
        <v>1</v>
      </c>
      <c r="AE537" s="9">
        <v>1</v>
      </c>
      <c r="AF537" s="9">
        <v>5</v>
      </c>
      <c r="AG537" s="9">
        <v>5</v>
      </c>
      <c r="AH537" s="3">
        <v>1</v>
      </c>
      <c r="AI537" s="3">
        <v>1</v>
      </c>
      <c r="AJ537" s="3">
        <v>3</v>
      </c>
      <c r="AK537" s="3">
        <v>3</v>
      </c>
      <c r="AL537" s="3">
        <v>4</v>
      </c>
      <c r="AM537" s="3">
        <v>4</v>
      </c>
      <c r="AN537" s="3">
        <v>0</v>
      </c>
      <c r="AO537" s="3">
        <v>0</v>
      </c>
      <c r="AP537" s="3">
        <v>0</v>
      </c>
      <c r="AQ537" s="3">
        <v>0</v>
      </c>
      <c r="AR537" s="2" t="s">
        <v>5</v>
      </c>
      <c r="AS537" s="2" t="s">
        <v>46</v>
      </c>
      <c r="AT537" s="5" t="str">
        <f>HYPERLINK("http://catalog.hathitrust.org/Record/002732484","HathiTrust Record")</f>
        <v>HathiTrust Record</v>
      </c>
      <c r="AU537" s="5" t="str">
        <f>HYPERLINK("https://creighton-primo.hosted.exlibrisgroup.com/primo-explore/search?tab=default_tab&amp;search_scope=EVERYTHING&amp;vid=01CRU&amp;lang=en_US&amp;offset=0&amp;query=any,contains,991004345429702656","Catalog Record")</f>
        <v>Catalog Record</v>
      </c>
      <c r="AV537" s="5" t="str">
        <f>HYPERLINK("http://www.worldcat.org/oclc/28389363","WorldCat Record")</f>
        <v>WorldCat Record</v>
      </c>
      <c r="AW537" s="2" t="s">
        <v>6651</v>
      </c>
      <c r="AX537" s="2" t="s">
        <v>6652</v>
      </c>
      <c r="AY537" s="2" t="s">
        <v>6653</v>
      </c>
      <c r="AZ537" s="2" t="s">
        <v>6653</v>
      </c>
      <c r="BA537" s="2" t="s">
        <v>6654</v>
      </c>
      <c r="BB537" s="2" t="s">
        <v>20</v>
      </c>
      <c r="BD537" s="2" t="s">
        <v>6655</v>
      </c>
      <c r="BE537" s="2" t="s">
        <v>6656</v>
      </c>
      <c r="BF537" s="2" t="s">
        <v>6657</v>
      </c>
    </row>
    <row r="538" spans="1:58" ht="39.75" customHeight="1" x14ac:dyDescent="0.25">
      <c r="A538" s="7" t="s">
        <v>5</v>
      </c>
      <c r="B538" s="1" t="s">
        <v>0</v>
      </c>
      <c r="C538" s="1" t="s">
        <v>1</v>
      </c>
      <c r="D538" s="1" t="s">
        <v>6658</v>
      </c>
      <c r="E538" s="1" t="s">
        <v>6659</v>
      </c>
      <c r="F538" s="1" t="s">
        <v>6660</v>
      </c>
      <c r="H538" s="2" t="s">
        <v>5</v>
      </c>
      <c r="I538" s="2" t="s">
        <v>6</v>
      </c>
      <c r="J538" s="2" t="s">
        <v>5</v>
      </c>
      <c r="K538" s="2" t="s">
        <v>5</v>
      </c>
      <c r="L538" s="2" t="s">
        <v>7</v>
      </c>
      <c r="M538" s="1" t="s">
        <v>6661</v>
      </c>
      <c r="N538" s="1" t="s">
        <v>6662</v>
      </c>
      <c r="O538" s="2" t="s">
        <v>121</v>
      </c>
      <c r="P538" s="1" t="s">
        <v>5291</v>
      </c>
      <c r="Q538" s="2" t="s">
        <v>1151</v>
      </c>
      <c r="R538" s="2" t="s">
        <v>1152</v>
      </c>
      <c r="S538" s="1" t="s">
        <v>6663</v>
      </c>
      <c r="T538" s="2" t="s">
        <v>13</v>
      </c>
      <c r="U538" s="3">
        <v>5</v>
      </c>
      <c r="V538" s="3">
        <v>5</v>
      </c>
      <c r="W538" s="4" t="s">
        <v>6664</v>
      </c>
      <c r="X538" s="4" t="s">
        <v>6664</v>
      </c>
      <c r="Y538" s="4" t="s">
        <v>6556</v>
      </c>
      <c r="Z538" s="4" t="s">
        <v>6556</v>
      </c>
      <c r="AA538" s="3">
        <v>226</v>
      </c>
      <c r="AB538" s="3">
        <v>177</v>
      </c>
      <c r="AC538" s="3">
        <v>179</v>
      </c>
      <c r="AD538" s="3">
        <v>2</v>
      </c>
      <c r="AE538" s="9">
        <v>2</v>
      </c>
      <c r="AF538" s="9">
        <v>12</v>
      </c>
      <c r="AG538" s="9">
        <v>12</v>
      </c>
      <c r="AH538" s="3">
        <v>0</v>
      </c>
      <c r="AI538" s="3">
        <v>0</v>
      </c>
      <c r="AJ538" s="3">
        <v>6</v>
      </c>
      <c r="AK538" s="3">
        <v>6</v>
      </c>
      <c r="AL538" s="3">
        <v>7</v>
      </c>
      <c r="AM538" s="3">
        <v>7</v>
      </c>
      <c r="AN538" s="3">
        <v>1</v>
      </c>
      <c r="AO538" s="3">
        <v>1</v>
      </c>
      <c r="AP538" s="3">
        <v>0</v>
      </c>
      <c r="AQ538" s="3">
        <v>0</v>
      </c>
      <c r="AR538" s="2" t="s">
        <v>5</v>
      </c>
      <c r="AS538" s="2" t="s">
        <v>5</v>
      </c>
      <c r="AU538" s="5" t="str">
        <f>HYPERLINK("https://creighton-primo.hosted.exlibrisgroup.com/primo-explore/search?tab=default_tab&amp;search_scope=EVERYTHING&amp;vid=01CRU&amp;lang=en_US&amp;offset=0&amp;query=any,contains,991003040689702656","Catalog Record")</f>
        <v>Catalog Record</v>
      </c>
      <c r="AV538" s="5" t="str">
        <f>HYPERLINK("http://www.worldcat.org/oclc/602132","WorldCat Record")</f>
        <v>WorldCat Record</v>
      </c>
      <c r="AW538" s="2" t="s">
        <v>6665</v>
      </c>
      <c r="AX538" s="2" t="s">
        <v>6666</v>
      </c>
      <c r="AY538" s="2" t="s">
        <v>6667</v>
      </c>
      <c r="AZ538" s="2" t="s">
        <v>6667</v>
      </c>
      <c r="BA538" s="2" t="s">
        <v>6668</v>
      </c>
      <c r="BB538" s="2" t="s">
        <v>20</v>
      </c>
      <c r="BE538" s="2" t="s">
        <v>6669</v>
      </c>
      <c r="BF538" s="2" t="s">
        <v>6670</v>
      </c>
    </row>
    <row r="539" spans="1:58" ht="39.75" customHeight="1" x14ac:dyDescent="0.25">
      <c r="A539" s="7" t="s">
        <v>5</v>
      </c>
      <c r="B539" s="1" t="s">
        <v>0</v>
      </c>
      <c r="C539" s="1" t="s">
        <v>1</v>
      </c>
      <c r="D539" s="1" t="s">
        <v>6671</v>
      </c>
      <c r="E539" s="1" t="s">
        <v>6672</v>
      </c>
      <c r="F539" s="1" t="s">
        <v>6673</v>
      </c>
      <c r="H539" s="2" t="s">
        <v>5</v>
      </c>
      <c r="I539" s="2" t="s">
        <v>6</v>
      </c>
      <c r="J539" s="2" t="s">
        <v>5</v>
      </c>
      <c r="K539" s="2" t="s">
        <v>5</v>
      </c>
      <c r="L539" s="2" t="s">
        <v>7</v>
      </c>
      <c r="N539" s="1" t="s">
        <v>6674</v>
      </c>
      <c r="O539" s="2" t="s">
        <v>322</v>
      </c>
      <c r="P539" s="1" t="s">
        <v>6675</v>
      </c>
      <c r="Q539" s="2" t="s">
        <v>1151</v>
      </c>
      <c r="R539" s="2" t="s">
        <v>1152</v>
      </c>
      <c r="S539" s="1" t="s">
        <v>6676</v>
      </c>
      <c r="T539" s="2" t="s">
        <v>13</v>
      </c>
      <c r="U539" s="3">
        <v>4</v>
      </c>
      <c r="V539" s="3">
        <v>4</v>
      </c>
      <c r="W539" s="4" t="s">
        <v>510</v>
      </c>
      <c r="X539" s="4" t="s">
        <v>510</v>
      </c>
      <c r="Y539" s="4" t="s">
        <v>5591</v>
      </c>
      <c r="Z539" s="4" t="s">
        <v>5591</v>
      </c>
      <c r="AA539" s="3">
        <v>7</v>
      </c>
      <c r="AB539" s="3">
        <v>5</v>
      </c>
      <c r="AC539" s="3">
        <v>33</v>
      </c>
      <c r="AD539" s="3">
        <v>1</v>
      </c>
      <c r="AE539" s="9">
        <v>1</v>
      </c>
      <c r="AF539" s="9">
        <v>0</v>
      </c>
      <c r="AG539" s="9">
        <v>2</v>
      </c>
      <c r="AH539" s="3">
        <v>0</v>
      </c>
      <c r="AI539" s="3">
        <v>1</v>
      </c>
      <c r="AJ539" s="3">
        <v>0</v>
      </c>
      <c r="AK539" s="3">
        <v>1</v>
      </c>
      <c r="AL539" s="3">
        <v>0</v>
      </c>
      <c r="AM539" s="3">
        <v>1</v>
      </c>
      <c r="AN539" s="3">
        <v>0</v>
      </c>
      <c r="AO539" s="3">
        <v>0</v>
      </c>
      <c r="AP539" s="3">
        <v>0</v>
      </c>
      <c r="AQ539" s="3">
        <v>0</v>
      </c>
      <c r="AR539" s="2" t="s">
        <v>5</v>
      </c>
      <c r="AS539" s="2" t="s">
        <v>5</v>
      </c>
      <c r="AU539" s="5" t="str">
        <f>HYPERLINK("https://creighton-primo.hosted.exlibrisgroup.com/primo-explore/search?tab=default_tab&amp;search_scope=EVERYTHING&amp;vid=01CRU&amp;lang=en_US&amp;offset=0&amp;query=any,contains,991003484099702656","Catalog Record")</f>
        <v>Catalog Record</v>
      </c>
      <c r="AV539" s="5" t="str">
        <f>HYPERLINK("http://www.worldcat.org/oclc/34017414","WorldCat Record")</f>
        <v>WorldCat Record</v>
      </c>
      <c r="AW539" s="2" t="s">
        <v>6677</v>
      </c>
      <c r="AX539" s="2" t="s">
        <v>6678</v>
      </c>
      <c r="AY539" s="2" t="s">
        <v>6679</v>
      </c>
      <c r="AZ539" s="2" t="s">
        <v>6679</v>
      </c>
      <c r="BA539" s="2" t="s">
        <v>6680</v>
      </c>
      <c r="BB539" s="2" t="s">
        <v>20</v>
      </c>
      <c r="BD539" s="2" t="s">
        <v>6681</v>
      </c>
      <c r="BE539" s="2" t="s">
        <v>6682</v>
      </c>
      <c r="BF539" s="2" t="s">
        <v>6683</v>
      </c>
    </row>
    <row r="540" spans="1:58" ht="39.75" customHeight="1" x14ac:dyDescent="0.25">
      <c r="A540" s="7" t="s">
        <v>5</v>
      </c>
      <c r="B540" s="1" t="s">
        <v>0</v>
      </c>
      <c r="C540" s="1" t="s">
        <v>1</v>
      </c>
      <c r="D540" s="1" t="s">
        <v>6684</v>
      </c>
      <c r="E540" s="1" t="s">
        <v>6685</v>
      </c>
      <c r="F540" s="1" t="s">
        <v>6686</v>
      </c>
      <c r="H540" s="2" t="s">
        <v>5</v>
      </c>
      <c r="I540" s="2" t="s">
        <v>6</v>
      </c>
      <c r="J540" s="2" t="s">
        <v>5</v>
      </c>
      <c r="K540" s="2" t="s">
        <v>5</v>
      </c>
      <c r="L540" s="2" t="s">
        <v>7</v>
      </c>
      <c r="N540" s="1" t="s">
        <v>6687</v>
      </c>
      <c r="O540" s="2" t="s">
        <v>322</v>
      </c>
      <c r="P540" s="1" t="s">
        <v>5373</v>
      </c>
      <c r="Q540" s="2" t="s">
        <v>1151</v>
      </c>
      <c r="R540" s="2" t="s">
        <v>1152</v>
      </c>
      <c r="S540" s="1" t="s">
        <v>6688</v>
      </c>
      <c r="T540" s="2" t="s">
        <v>13</v>
      </c>
      <c r="U540" s="3">
        <v>2</v>
      </c>
      <c r="V540" s="3">
        <v>2</v>
      </c>
      <c r="W540" s="4" t="s">
        <v>5590</v>
      </c>
      <c r="X540" s="4" t="s">
        <v>5590</v>
      </c>
      <c r="Y540" s="4" t="s">
        <v>6689</v>
      </c>
      <c r="Z540" s="4" t="s">
        <v>6689</v>
      </c>
      <c r="AA540" s="3">
        <v>20</v>
      </c>
      <c r="AB540" s="3">
        <v>18</v>
      </c>
      <c r="AC540" s="3">
        <v>104</v>
      </c>
      <c r="AD540" s="3">
        <v>1</v>
      </c>
      <c r="AE540" s="9">
        <v>2</v>
      </c>
      <c r="AF540" s="9">
        <v>1</v>
      </c>
      <c r="AG540" s="9">
        <v>3</v>
      </c>
      <c r="AH540" s="3">
        <v>0</v>
      </c>
      <c r="AI540" s="3">
        <v>0</v>
      </c>
      <c r="AJ540" s="3">
        <v>0</v>
      </c>
      <c r="AK540" s="3">
        <v>0</v>
      </c>
      <c r="AL540" s="3">
        <v>1</v>
      </c>
      <c r="AM540" s="3">
        <v>2</v>
      </c>
      <c r="AN540" s="3">
        <v>0</v>
      </c>
      <c r="AO540" s="3">
        <v>1</v>
      </c>
      <c r="AP540" s="3">
        <v>0</v>
      </c>
      <c r="AQ540" s="3">
        <v>0</v>
      </c>
      <c r="AR540" s="2" t="s">
        <v>5</v>
      </c>
      <c r="AS540" s="2" t="s">
        <v>5</v>
      </c>
      <c r="AU540" s="5" t="str">
        <f>HYPERLINK("https://creighton-primo.hosted.exlibrisgroup.com/primo-explore/search?tab=default_tab&amp;search_scope=EVERYTHING&amp;vid=01CRU&amp;lang=en_US&amp;offset=0&amp;query=any,contains,991003483979702656","Catalog Record")</f>
        <v>Catalog Record</v>
      </c>
      <c r="AV540" s="5" t="str">
        <f>HYPERLINK("http://www.worldcat.org/oclc/37817253","WorldCat Record")</f>
        <v>WorldCat Record</v>
      </c>
      <c r="AW540" s="2" t="s">
        <v>6690</v>
      </c>
      <c r="AX540" s="2" t="s">
        <v>6691</v>
      </c>
      <c r="AY540" s="2" t="s">
        <v>6692</v>
      </c>
      <c r="AZ540" s="2" t="s">
        <v>6692</v>
      </c>
      <c r="BA540" s="2" t="s">
        <v>6693</v>
      </c>
      <c r="BB540" s="2" t="s">
        <v>20</v>
      </c>
      <c r="BD540" s="2" t="s">
        <v>6694</v>
      </c>
      <c r="BE540" s="2" t="s">
        <v>6695</v>
      </c>
      <c r="BF540" s="2" t="s">
        <v>6696</v>
      </c>
    </row>
    <row r="541" spans="1:58" ht="39.75" customHeight="1" x14ac:dyDescent="0.25">
      <c r="A541" s="7" t="s">
        <v>5</v>
      </c>
      <c r="B541" s="1" t="s">
        <v>0</v>
      </c>
      <c r="C541" s="1" t="s">
        <v>1</v>
      </c>
      <c r="D541" s="1" t="s">
        <v>6697</v>
      </c>
      <c r="E541" s="1" t="s">
        <v>6698</v>
      </c>
      <c r="F541" s="1" t="s">
        <v>6699</v>
      </c>
      <c r="H541" s="2" t="s">
        <v>5</v>
      </c>
      <c r="I541" s="2" t="s">
        <v>6</v>
      </c>
      <c r="J541" s="2" t="s">
        <v>5</v>
      </c>
      <c r="K541" s="2" t="s">
        <v>5</v>
      </c>
      <c r="L541" s="2" t="s">
        <v>7</v>
      </c>
      <c r="M541" s="1" t="s">
        <v>6700</v>
      </c>
      <c r="O541" s="2" t="s">
        <v>480</v>
      </c>
      <c r="Q541" s="2" t="s">
        <v>1151</v>
      </c>
      <c r="R541" s="2" t="s">
        <v>4146</v>
      </c>
      <c r="T541" s="2" t="s">
        <v>13</v>
      </c>
      <c r="U541" s="3">
        <v>1</v>
      </c>
      <c r="V541" s="3">
        <v>1</v>
      </c>
      <c r="W541" s="4" t="s">
        <v>6701</v>
      </c>
      <c r="X541" s="4" t="s">
        <v>6701</v>
      </c>
      <c r="Y541" s="4" t="s">
        <v>6702</v>
      </c>
      <c r="Z541" s="4" t="s">
        <v>6702</v>
      </c>
      <c r="AA541" s="3">
        <v>27</v>
      </c>
      <c r="AB541" s="3">
        <v>27</v>
      </c>
      <c r="AC541" s="3">
        <v>29</v>
      </c>
      <c r="AD541" s="3">
        <v>1</v>
      </c>
      <c r="AE541" s="9">
        <v>1</v>
      </c>
      <c r="AF541" s="9">
        <v>0</v>
      </c>
      <c r="AG541" s="9">
        <v>0</v>
      </c>
      <c r="AH541" s="3">
        <v>0</v>
      </c>
      <c r="AI541" s="3">
        <v>0</v>
      </c>
      <c r="AJ541" s="3">
        <v>0</v>
      </c>
      <c r="AK541" s="3">
        <v>0</v>
      </c>
      <c r="AL541" s="3">
        <v>0</v>
      </c>
      <c r="AM541" s="3">
        <v>0</v>
      </c>
      <c r="AN541" s="3">
        <v>0</v>
      </c>
      <c r="AO541" s="3">
        <v>0</v>
      </c>
      <c r="AP541" s="3">
        <v>0</v>
      </c>
      <c r="AQ541" s="3">
        <v>0</v>
      </c>
      <c r="AR541" s="2" t="s">
        <v>5</v>
      </c>
      <c r="AS541" s="2" t="s">
        <v>46</v>
      </c>
      <c r="AT541" s="5" t="str">
        <f>HYPERLINK("http://catalog.hathitrust.org/Record/101014188","HathiTrust Record")</f>
        <v>HathiTrust Record</v>
      </c>
      <c r="AU541" s="5" t="str">
        <f>HYPERLINK("https://creighton-primo.hosted.exlibrisgroup.com/primo-explore/search?tab=default_tab&amp;search_scope=EVERYTHING&amp;vid=01CRU&amp;lang=en_US&amp;offset=0&amp;query=any,contains,991003759869702656","Catalog Record")</f>
        <v>Catalog Record</v>
      </c>
      <c r="AV541" s="5" t="str">
        <f>HYPERLINK("http://www.worldcat.org/oclc/1153369","WorldCat Record")</f>
        <v>WorldCat Record</v>
      </c>
      <c r="AW541" s="2" t="s">
        <v>6703</v>
      </c>
      <c r="AX541" s="2" t="s">
        <v>6704</v>
      </c>
      <c r="AY541" s="2" t="s">
        <v>6705</v>
      </c>
      <c r="AZ541" s="2" t="s">
        <v>6705</v>
      </c>
      <c r="BA541" s="2" t="s">
        <v>6706</v>
      </c>
      <c r="BB541" s="2" t="s">
        <v>20</v>
      </c>
      <c r="BE541" s="2" t="s">
        <v>6707</v>
      </c>
      <c r="BF541" s="2" t="s">
        <v>6708</v>
      </c>
    </row>
    <row r="542" spans="1:58" ht="39.75" customHeight="1" x14ac:dyDescent="0.25">
      <c r="A542" s="7" t="s">
        <v>5</v>
      </c>
      <c r="B542" s="1" t="s">
        <v>0</v>
      </c>
      <c r="C542" s="1" t="s">
        <v>1</v>
      </c>
      <c r="D542" s="1" t="s">
        <v>6709</v>
      </c>
      <c r="E542" s="1" t="s">
        <v>6710</v>
      </c>
      <c r="F542" s="1" t="s">
        <v>6711</v>
      </c>
      <c r="H542" s="2" t="s">
        <v>5</v>
      </c>
      <c r="I542" s="2" t="s">
        <v>6</v>
      </c>
      <c r="J542" s="2" t="s">
        <v>5</v>
      </c>
      <c r="K542" s="2" t="s">
        <v>5</v>
      </c>
      <c r="L542" s="2" t="s">
        <v>7</v>
      </c>
      <c r="M542" s="1" t="s">
        <v>6712</v>
      </c>
      <c r="N542" s="1" t="s">
        <v>6713</v>
      </c>
      <c r="O542" s="2" t="s">
        <v>379</v>
      </c>
      <c r="Q542" s="2" t="s">
        <v>1151</v>
      </c>
      <c r="R542" s="2" t="s">
        <v>61</v>
      </c>
      <c r="T542" s="2" t="s">
        <v>13</v>
      </c>
      <c r="U542" s="3">
        <v>5</v>
      </c>
      <c r="V542" s="3">
        <v>5</v>
      </c>
      <c r="W542" s="4" t="s">
        <v>6714</v>
      </c>
      <c r="X542" s="4" t="s">
        <v>6714</v>
      </c>
      <c r="Y542" s="4" t="s">
        <v>6715</v>
      </c>
      <c r="Z542" s="4" t="s">
        <v>6715</v>
      </c>
      <c r="AA542" s="3">
        <v>437</v>
      </c>
      <c r="AB542" s="3">
        <v>412</v>
      </c>
      <c r="AC542" s="3">
        <v>437</v>
      </c>
      <c r="AD542" s="3">
        <v>2</v>
      </c>
      <c r="AE542" s="9">
        <v>2</v>
      </c>
      <c r="AF542" s="9">
        <v>15</v>
      </c>
      <c r="AG542" s="9">
        <v>16</v>
      </c>
      <c r="AH542" s="3">
        <v>4</v>
      </c>
      <c r="AI542" s="3">
        <v>4</v>
      </c>
      <c r="AJ542" s="3">
        <v>3</v>
      </c>
      <c r="AK542" s="3">
        <v>3</v>
      </c>
      <c r="AL542" s="3">
        <v>10</v>
      </c>
      <c r="AM542" s="3">
        <v>11</v>
      </c>
      <c r="AN542" s="3">
        <v>1</v>
      </c>
      <c r="AO542" s="3">
        <v>1</v>
      </c>
      <c r="AP542" s="3">
        <v>0</v>
      </c>
      <c r="AQ542" s="3">
        <v>0</v>
      </c>
      <c r="AR542" s="2" t="s">
        <v>5</v>
      </c>
      <c r="AS542" s="2" t="s">
        <v>46</v>
      </c>
      <c r="AT542" s="5" t="str">
        <f>HYPERLINK("http://catalog.hathitrust.org/Record/006728991","HathiTrust Record")</f>
        <v>HathiTrust Record</v>
      </c>
      <c r="AU542" s="5" t="str">
        <f>HYPERLINK("https://creighton-primo.hosted.exlibrisgroup.com/primo-explore/search?tab=default_tab&amp;search_scope=EVERYTHING&amp;vid=01CRU&amp;lang=en_US&amp;offset=0&amp;query=any,contains,991002993929702656","Catalog Record")</f>
        <v>Catalog Record</v>
      </c>
      <c r="AV542" s="5" t="str">
        <f>HYPERLINK("http://www.worldcat.org/oclc/562363","WorldCat Record")</f>
        <v>WorldCat Record</v>
      </c>
      <c r="AW542" s="2" t="s">
        <v>6716</v>
      </c>
      <c r="AX542" s="2" t="s">
        <v>6717</v>
      </c>
      <c r="AY542" s="2" t="s">
        <v>6718</v>
      </c>
      <c r="AZ542" s="2" t="s">
        <v>6718</v>
      </c>
      <c r="BA542" s="2" t="s">
        <v>6719</v>
      </c>
      <c r="BB542" s="2" t="s">
        <v>20</v>
      </c>
      <c r="BE542" s="2" t="s">
        <v>6720</v>
      </c>
      <c r="BF542" s="2" t="s">
        <v>6721</v>
      </c>
    </row>
    <row r="543" spans="1:58" ht="39.75" customHeight="1" x14ac:dyDescent="0.25">
      <c r="A543" s="7" t="s">
        <v>5</v>
      </c>
      <c r="B543" s="1" t="s">
        <v>0</v>
      </c>
      <c r="C543" s="1" t="s">
        <v>1</v>
      </c>
      <c r="D543" s="1" t="s">
        <v>6722</v>
      </c>
      <c r="E543" s="1" t="s">
        <v>6723</v>
      </c>
      <c r="F543" s="1" t="s">
        <v>6724</v>
      </c>
      <c r="H543" s="2" t="s">
        <v>5</v>
      </c>
      <c r="I543" s="2" t="s">
        <v>6</v>
      </c>
      <c r="J543" s="2" t="s">
        <v>5</v>
      </c>
      <c r="K543" s="2" t="s">
        <v>5</v>
      </c>
      <c r="L543" s="2" t="s">
        <v>7</v>
      </c>
      <c r="N543" s="1" t="s">
        <v>6725</v>
      </c>
      <c r="O543" s="2" t="s">
        <v>3817</v>
      </c>
      <c r="Q543" s="2" t="s">
        <v>1151</v>
      </c>
      <c r="R543" s="2" t="s">
        <v>1152</v>
      </c>
      <c r="S543" s="1" t="s">
        <v>6726</v>
      </c>
      <c r="T543" s="2" t="s">
        <v>13</v>
      </c>
      <c r="U543" s="3">
        <v>0</v>
      </c>
      <c r="V543" s="3">
        <v>0</v>
      </c>
      <c r="W543" s="4" t="s">
        <v>6727</v>
      </c>
      <c r="X543" s="4" t="s">
        <v>6727</v>
      </c>
      <c r="Y543" s="4" t="s">
        <v>6728</v>
      </c>
      <c r="Z543" s="4" t="s">
        <v>6728</v>
      </c>
      <c r="AA543" s="3">
        <v>122</v>
      </c>
      <c r="AB543" s="3">
        <v>96</v>
      </c>
      <c r="AC543" s="3">
        <v>106</v>
      </c>
      <c r="AD543" s="3">
        <v>1</v>
      </c>
      <c r="AE543" s="9">
        <v>1</v>
      </c>
      <c r="AF543" s="9">
        <v>4</v>
      </c>
      <c r="AG543" s="9">
        <v>4</v>
      </c>
      <c r="AH543" s="3">
        <v>3</v>
      </c>
      <c r="AI543" s="3">
        <v>3</v>
      </c>
      <c r="AJ543" s="3">
        <v>1</v>
      </c>
      <c r="AK543" s="3">
        <v>1</v>
      </c>
      <c r="AL543" s="3">
        <v>1</v>
      </c>
      <c r="AM543" s="3">
        <v>1</v>
      </c>
      <c r="AN543" s="3">
        <v>0</v>
      </c>
      <c r="AO543" s="3">
        <v>0</v>
      </c>
      <c r="AP543" s="3">
        <v>0</v>
      </c>
      <c r="AQ543" s="3">
        <v>0</v>
      </c>
      <c r="AR543" s="2" t="s">
        <v>5</v>
      </c>
      <c r="AS543" s="2" t="s">
        <v>46</v>
      </c>
      <c r="AT543" s="5" t="str">
        <f>HYPERLINK("http://catalog.hathitrust.org/Record/003978871","HathiTrust Record")</f>
        <v>HathiTrust Record</v>
      </c>
      <c r="AU543" s="5" t="str">
        <f>HYPERLINK("https://creighton-primo.hosted.exlibrisgroup.com/primo-explore/search?tab=default_tab&amp;search_scope=EVERYTHING&amp;vid=01CRU&amp;lang=en_US&amp;offset=0&amp;query=any,contains,991002893939702656","Catalog Record")</f>
        <v>Catalog Record</v>
      </c>
      <c r="AV543" s="5" t="str">
        <f>HYPERLINK("http://www.worldcat.org/oclc/38126498","WorldCat Record")</f>
        <v>WorldCat Record</v>
      </c>
      <c r="AW543" s="2" t="s">
        <v>6729</v>
      </c>
      <c r="AX543" s="2" t="s">
        <v>6730</v>
      </c>
      <c r="AY543" s="2" t="s">
        <v>6731</v>
      </c>
      <c r="AZ543" s="2" t="s">
        <v>6731</v>
      </c>
      <c r="BA543" s="2" t="s">
        <v>6732</v>
      </c>
      <c r="BB543" s="2" t="s">
        <v>20</v>
      </c>
      <c r="BD543" s="2" t="s">
        <v>6733</v>
      </c>
      <c r="BE543" s="2" t="s">
        <v>6734</v>
      </c>
      <c r="BF543" s="2" t="s">
        <v>6735</v>
      </c>
    </row>
    <row r="544" spans="1:58" ht="39.75" customHeight="1" x14ac:dyDescent="0.25">
      <c r="A544" s="7" t="s">
        <v>5</v>
      </c>
      <c r="B544" s="1" t="s">
        <v>0</v>
      </c>
      <c r="C544" s="1" t="s">
        <v>1</v>
      </c>
      <c r="D544" s="1" t="s">
        <v>6736</v>
      </c>
      <c r="E544" s="1" t="s">
        <v>6737</v>
      </c>
      <c r="F544" s="1" t="s">
        <v>6738</v>
      </c>
      <c r="H544" s="2" t="s">
        <v>5</v>
      </c>
      <c r="I544" s="2" t="s">
        <v>6</v>
      </c>
      <c r="J544" s="2" t="s">
        <v>5</v>
      </c>
      <c r="K544" s="2" t="s">
        <v>5</v>
      </c>
      <c r="L544" s="2" t="s">
        <v>7</v>
      </c>
      <c r="N544" s="1" t="s">
        <v>6739</v>
      </c>
      <c r="O544" s="2" t="s">
        <v>639</v>
      </c>
      <c r="P544" s="1" t="s">
        <v>6624</v>
      </c>
      <c r="Q544" s="2" t="s">
        <v>1151</v>
      </c>
      <c r="R544" s="2" t="s">
        <v>1152</v>
      </c>
      <c r="S544" s="1" t="s">
        <v>6740</v>
      </c>
      <c r="T544" s="2" t="s">
        <v>13</v>
      </c>
      <c r="U544" s="3">
        <v>4</v>
      </c>
      <c r="V544" s="3">
        <v>4</v>
      </c>
      <c r="W544" s="4" t="s">
        <v>5927</v>
      </c>
      <c r="X544" s="4" t="s">
        <v>5927</v>
      </c>
      <c r="Y544" s="4" t="s">
        <v>6741</v>
      </c>
      <c r="Z544" s="4" t="s">
        <v>6741</v>
      </c>
      <c r="AA544" s="3">
        <v>9</v>
      </c>
      <c r="AB544" s="3">
        <v>6</v>
      </c>
      <c r="AC544" s="3">
        <v>6</v>
      </c>
      <c r="AD544" s="3">
        <v>2</v>
      </c>
      <c r="AE544" s="9">
        <v>2</v>
      </c>
      <c r="AF544" s="9">
        <v>1</v>
      </c>
      <c r="AG544" s="9">
        <v>1</v>
      </c>
      <c r="AH544" s="3">
        <v>0</v>
      </c>
      <c r="AI544" s="3">
        <v>0</v>
      </c>
      <c r="AJ544" s="3">
        <v>0</v>
      </c>
      <c r="AK544" s="3">
        <v>0</v>
      </c>
      <c r="AL544" s="3">
        <v>0</v>
      </c>
      <c r="AM544" s="3">
        <v>0</v>
      </c>
      <c r="AN544" s="3">
        <v>1</v>
      </c>
      <c r="AO544" s="3">
        <v>1</v>
      </c>
      <c r="AP544" s="3">
        <v>0</v>
      </c>
      <c r="AQ544" s="3">
        <v>0</v>
      </c>
      <c r="AR544" s="2" t="s">
        <v>5</v>
      </c>
      <c r="AS544" s="2" t="s">
        <v>5</v>
      </c>
      <c r="AU544" s="5" t="str">
        <f>HYPERLINK("https://creighton-primo.hosted.exlibrisgroup.com/primo-explore/search?tab=default_tab&amp;search_scope=EVERYTHING&amp;vid=01CRU&amp;lang=en_US&amp;offset=0&amp;query=any,contains,991001548719702656","Catalog Record")</f>
        <v>Catalog Record</v>
      </c>
      <c r="AV544" s="5" t="str">
        <f>HYPERLINK("http://www.worldcat.org/oclc/20189446","WorldCat Record")</f>
        <v>WorldCat Record</v>
      </c>
      <c r="AW544" s="2" t="s">
        <v>6742</v>
      </c>
      <c r="AX544" s="2" t="s">
        <v>6743</v>
      </c>
      <c r="AY544" s="2" t="s">
        <v>6744</v>
      </c>
      <c r="AZ544" s="2" t="s">
        <v>6744</v>
      </c>
      <c r="BA544" s="2" t="s">
        <v>6745</v>
      </c>
      <c r="BB544" s="2" t="s">
        <v>20</v>
      </c>
      <c r="BD544" s="2" t="s">
        <v>6746</v>
      </c>
      <c r="BE544" s="2" t="s">
        <v>6747</v>
      </c>
      <c r="BF544" s="2" t="s">
        <v>6748</v>
      </c>
    </row>
    <row r="545" spans="1:58" ht="39.75" customHeight="1" x14ac:dyDescent="0.25">
      <c r="A545" s="7" t="s">
        <v>5</v>
      </c>
      <c r="B545" s="1" t="s">
        <v>0</v>
      </c>
      <c r="C545" s="1" t="s">
        <v>1</v>
      </c>
      <c r="D545" s="1" t="s">
        <v>6749</v>
      </c>
      <c r="E545" s="1" t="s">
        <v>6750</v>
      </c>
      <c r="F545" s="1" t="s">
        <v>6751</v>
      </c>
      <c r="H545" s="2" t="s">
        <v>5</v>
      </c>
      <c r="I545" s="2" t="s">
        <v>6</v>
      </c>
      <c r="J545" s="2" t="s">
        <v>5</v>
      </c>
      <c r="K545" s="2" t="s">
        <v>5</v>
      </c>
      <c r="L545" s="2" t="s">
        <v>7</v>
      </c>
      <c r="N545" s="1" t="s">
        <v>6752</v>
      </c>
      <c r="O545" s="2" t="s">
        <v>3817</v>
      </c>
      <c r="Q545" s="2" t="s">
        <v>1151</v>
      </c>
      <c r="R545" s="2" t="s">
        <v>1152</v>
      </c>
      <c r="S545" s="1" t="s">
        <v>6753</v>
      </c>
      <c r="T545" s="2" t="s">
        <v>13</v>
      </c>
      <c r="U545" s="3">
        <v>1</v>
      </c>
      <c r="V545" s="3">
        <v>1</v>
      </c>
      <c r="W545" s="4" t="s">
        <v>6754</v>
      </c>
      <c r="X545" s="4" t="s">
        <v>6754</v>
      </c>
      <c r="Y545" s="4" t="s">
        <v>6754</v>
      </c>
      <c r="Z545" s="4" t="s">
        <v>6754</v>
      </c>
      <c r="AA545" s="3">
        <v>34</v>
      </c>
      <c r="AB545" s="3">
        <v>34</v>
      </c>
      <c r="AC545" s="3">
        <v>81</v>
      </c>
      <c r="AD545" s="3">
        <v>1</v>
      </c>
      <c r="AE545" s="9">
        <v>1</v>
      </c>
      <c r="AF545" s="9">
        <v>1</v>
      </c>
      <c r="AG545" s="9">
        <v>1</v>
      </c>
      <c r="AH545" s="3">
        <v>1</v>
      </c>
      <c r="AI545" s="3">
        <v>1</v>
      </c>
      <c r="AJ545" s="3">
        <v>0</v>
      </c>
      <c r="AK545" s="3">
        <v>0</v>
      </c>
      <c r="AL545" s="3">
        <v>0</v>
      </c>
      <c r="AM545" s="3">
        <v>0</v>
      </c>
      <c r="AN545" s="3">
        <v>0</v>
      </c>
      <c r="AO545" s="3">
        <v>0</v>
      </c>
      <c r="AP545" s="3">
        <v>0</v>
      </c>
      <c r="AQ545" s="3">
        <v>0</v>
      </c>
      <c r="AR545" s="2" t="s">
        <v>5</v>
      </c>
      <c r="AS545" s="2" t="s">
        <v>5</v>
      </c>
      <c r="AU545" s="5" t="str">
        <f>HYPERLINK("https://creighton-primo.hosted.exlibrisgroup.com/primo-explore/search?tab=default_tab&amp;search_scope=EVERYTHING&amp;vid=01CRU&amp;lang=en_US&amp;offset=0&amp;query=any,contains,991004254949702656","Catalog Record")</f>
        <v>Catalog Record</v>
      </c>
      <c r="AV545" s="5" t="str">
        <f>HYPERLINK("http://www.worldcat.org/oclc/46327284","WorldCat Record")</f>
        <v>WorldCat Record</v>
      </c>
      <c r="AW545" s="2" t="s">
        <v>6755</v>
      </c>
      <c r="AX545" s="2" t="s">
        <v>6756</v>
      </c>
      <c r="AY545" s="2" t="s">
        <v>6757</v>
      </c>
      <c r="AZ545" s="2" t="s">
        <v>6757</v>
      </c>
      <c r="BA545" s="2" t="s">
        <v>6758</v>
      </c>
      <c r="BB545" s="2" t="s">
        <v>20</v>
      </c>
      <c r="BD545" s="2" t="s">
        <v>6759</v>
      </c>
      <c r="BE545" s="2" t="s">
        <v>6760</v>
      </c>
      <c r="BF545" s="2" t="s">
        <v>6761</v>
      </c>
    </row>
    <row r="546" spans="1:58" ht="39.75" customHeight="1" x14ac:dyDescent="0.25">
      <c r="A546" s="7" t="s">
        <v>5</v>
      </c>
      <c r="B546" s="1" t="s">
        <v>0</v>
      </c>
      <c r="C546" s="1" t="s">
        <v>1</v>
      </c>
      <c r="D546" s="1" t="s">
        <v>6762</v>
      </c>
      <c r="E546" s="1" t="s">
        <v>6763</v>
      </c>
      <c r="F546" s="1" t="s">
        <v>6764</v>
      </c>
      <c r="H546" s="2" t="s">
        <v>5</v>
      </c>
      <c r="I546" s="2" t="s">
        <v>6</v>
      </c>
      <c r="J546" s="2" t="s">
        <v>5</v>
      </c>
      <c r="K546" s="2" t="s">
        <v>5</v>
      </c>
      <c r="L546" s="2" t="s">
        <v>7</v>
      </c>
      <c r="M546" s="1" t="s">
        <v>6765</v>
      </c>
      <c r="N546" s="1" t="s">
        <v>6766</v>
      </c>
      <c r="O546" s="2" t="s">
        <v>2448</v>
      </c>
      <c r="P546" s="1" t="s">
        <v>6767</v>
      </c>
      <c r="Q546" s="2" t="s">
        <v>1151</v>
      </c>
      <c r="R546" s="2" t="s">
        <v>1152</v>
      </c>
      <c r="S546" s="1" t="s">
        <v>6676</v>
      </c>
      <c r="T546" s="2" t="s">
        <v>13</v>
      </c>
      <c r="U546" s="3">
        <v>3</v>
      </c>
      <c r="V546" s="3">
        <v>3</v>
      </c>
      <c r="W546" s="4" t="s">
        <v>5590</v>
      </c>
      <c r="X546" s="4" t="s">
        <v>5590</v>
      </c>
      <c r="Y546" s="4" t="s">
        <v>6689</v>
      </c>
      <c r="Z546" s="4" t="s">
        <v>6689</v>
      </c>
      <c r="AA546" s="3">
        <v>8</v>
      </c>
      <c r="AB546" s="3">
        <v>6</v>
      </c>
      <c r="AC546" s="3">
        <v>152</v>
      </c>
      <c r="AD546" s="3">
        <v>1</v>
      </c>
      <c r="AE546" s="9">
        <v>2</v>
      </c>
      <c r="AF546" s="9">
        <v>0</v>
      </c>
      <c r="AG546" s="9">
        <v>8</v>
      </c>
      <c r="AH546" s="3">
        <v>0</v>
      </c>
      <c r="AI546" s="3">
        <v>3</v>
      </c>
      <c r="AJ546" s="3">
        <v>0</v>
      </c>
      <c r="AK546" s="3">
        <v>2</v>
      </c>
      <c r="AL546" s="3">
        <v>0</v>
      </c>
      <c r="AM546" s="3">
        <v>6</v>
      </c>
      <c r="AN546" s="3">
        <v>0</v>
      </c>
      <c r="AO546" s="3">
        <v>1</v>
      </c>
      <c r="AP546" s="3">
        <v>0</v>
      </c>
      <c r="AQ546" s="3">
        <v>0</v>
      </c>
      <c r="AR546" s="2" t="s">
        <v>5</v>
      </c>
      <c r="AS546" s="2" t="s">
        <v>5</v>
      </c>
      <c r="AU546" s="5" t="str">
        <f>HYPERLINK("https://creighton-primo.hosted.exlibrisgroup.com/primo-explore/search?tab=default_tab&amp;search_scope=EVERYTHING&amp;vid=01CRU&amp;lang=en_US&amp;offset=0&amp;query=any,contains,991003484169702656","Catalog Record")</f>
        <v>Catalog Record</v>
      </c>
      <c r="AV546" s="5" t="str">
        <f>HYPERLINK("http://www.worldcat.org/oclc/41062034","WorldCat Record")</f>
        <v>WorldCat Record</v>
      </c>
      <c r="AW546" s="2" t="s">
        <v>6768</v>
      </c>
      <c r="AX546" s="2" t="s">
        <v>6769</v>
      </c>
      <c r="AY546" s="2" t="s">
        <v>6770</v>
      </c>
      <c r="AZ546" s="2" t="s">
        <v>6770</v>
      </c>
      <c r="BA546" s="2" t="s">
        <v>6771</v>
      </c>
      <c r="BB546" s="2" t="s">
        <v>20</v>
      </c>
      <c r="BD546" s="2" t="s">
        <v>6772</v>
      </c>
      <c r="BE546" s="2" t="s">
        <v>6773</v>
      </c>
      <c r="BF546" s="2" t="s">
        <v>6774</v>
      </c>
    </row>
    <row r="547" spans="1:58" ht="39.75" customHeight="1" x14ac:dyDescent="0.25">
      <c r="A547" s="7" t="s">
        <v>5</v>
      </c>
      <c r="B547" s="1" t="s">
        <v>0</v>
      </c>
      <c r="C547" s="1" t="s">
        <v>1</v>
      </c>
      <c r="D547" s="1" t="s">
        <v>6775</v>
      </c>
      <c r="E547" s="1" t="s">
        <v>6776</v>
      </c>
      <c r="F547" s="1" t="s">
        <v>6777</v>
      </c>
      <c r="H547" s="2" t="s">
        <v>5</v>
      </c>
      <c r="I547" s="2" t="s">
        <v>6</v>
      </c>
      <c r="J547" s="2" t="s">
        <v>5</v>
      </c>
      <c r="K547" s="2" t="s">
        <v>5</v>
      </c>
      <c r="L547" s="2" t="s">
        <v>7</v>
      </c>
      <c r="M547" s="1" t="s">
        <v>6778</v>
      </c>
      <c r="N547" s="1" t="s">
        <v>6779</v>
      </c>
      <c r="O547" s="2" t="s">
        <v>1273</v>
      </c>
      <c r="Q547" s="2" t="s">
        <v>60</v>
      </c>
      <c r="R547" s="2" t="s">
        <v>193</v>
      </c>
      <c r="S547" s="1" t="s">
        <v>6780</v>
      </c>
      <c r="T547" s="2" t="s">
        <v>13</v>
      </c>
      <c r="U547" s="3">
        <v>4</v>
      </c>
      <c r="V547" s="3">
        <v>4</v>
      </c>
      <c r="W547" s="4" t="s">
        <v>5913</v>
      </c>
      <c r="X547" s="4" t="s">
        <v>5913</v>
      </c>
      <c r="Y547" s="4" t="s">
        <v>6781</v>
      </c>
      <c r="Z547" s="4" t="s">
        <v>6781</v>
      </c>
      <c r="AA547" s="3">
        <v>255</v>
      </c>
      <c r="AB547" s="3">
        <v>185</v>
      </c>
      <c r="AC547" s="3">
        <v>192</v>
      </c>
      <c r="AD547" s="3">
        <v>2</v>
      </c>
      <c r="AE547" s="9">
        <v>2</v>
      </c>
      <c r="AF547" s="9">
        <v>11</v>
      </c>
      <c r="AG547" s="9">
        <v>11</v>
      </c>
      <c r="AH547" s="3">
        <v>3</v>
      </c>
      <c r="AI547" s="3">
        <v>3</v>
      </c>
      <c r="AJ547" s="3">
        <v>4</v>
      </c>
      <c r="AK547" s="3">
        <v>4</v>
      </c>
      <c r="AL547" s="3">
        <v>8</v>
      </c>
      <c r="AM547" s="3">
        <v>8</v>
      </c>
      <c r="AN547" s="3">
        <v>1</v>
      </c>
      <c r="AO547" s="3">
        <v>1</v>
      </c>
      <c r="AP547" s="3">
        <v>0</v>
      </c>
      <c r="AQ547" s="3">
        <v>0</v>
      </c>
      <c r="AR547" s="2" t="s">
        <v>5</v>
      </c>
      <c r="AS547" s="2" t="s">
        <v>46</v>
      </c>
      <c r="AT547" s="5" t="str">
        <f>HYPERLINK("http://catalog.hathitrust.org/Record/000437141","HathiTrust Record")</f>
        <v>HathiTrust Record</v>
      </c>
      <c r="AU547" s="5" t="str">
        <f>HYPERLINK("https://creighton-primo.hosted.exlibrisgroup.com/primo-explore/search?tab=default_tab&amp;search_scope=EVERYTHING&amp;vid=01CRU&amp;lang=en_US&amp;offset=0&amp;query=any,contains,991000929799702656","Catalog Record")</f>
        <v>Catalog Record</v>
      </c>
      <c r="AV547" s="5" t="str">
        <f>HYPERLINK("http://www.worldcat.org/oclc/14256490","WorldCat Record")</f>
        <v>WorldCat Record</v>
      </c>
      <c r="AW547" s="2" t="s">
        <v>6782</v>
      </c>
      <c r="AX547" s="2" t="s">
        <v>6783</v>
      </c>
      <c r="AY547" s="2" t="s">
        <v>6784</v>
      </c>
      <c r="AZ547" s="2" t="s">
        <v>6784</v>
      </c>
      <c r="BA547" s="2" t="s">
        <v>6785</v>
      </c>
      <c r="BB547" s="2" t="s">
        <v>20</v>
      </c>
      <c r="BD547" s="2" t="s">
        <v>6786</v>
      </c>
      <c r="BE547" s="2" t="s">
        <v>6787</v>
      </c>
      <c r="BF547" s="2" t="s">
        <v>6788</v>
      </c>
    </row>
    <row r="548" spans="1:58" ht="39.75" customHeight="1" x14ac:dyDescent="0.25">
      <c r="A548" s="7" t="s">
        <v>5</v>
      </c>
      <c r="B548" s="1" t="s">
        <v>0</v>
      </c>
      <c r="C548" s="1" t="s">
        <v>1</v>
      </c>
      <c r="D548" s="1" t="s">
        <v>6789</v>
      </c>
      <c r="E548" s="1" t="s">
        <v>6790</v>
      </c>
      <c r="F548" s="1" t="s">
        <v>6791</v>
      </c>
      <c r="H548" s="2" t="s">
        <v>5</v>
      </c>
      <c r="I548" s="2" t="s">
        <v>6</v>
      </c>
      <c r="J548" s="2" t="s">
        <v>5</v>
      </c>
      <c r="K548" s="2" t="s">
        <v>5</v>
      </c>
      <c r="L548" s="2" t="s">
        <v>7</v>
      </c>
      <c r="N548" s="1" t="s">
        <v>6792</v>
      </c>
      <c r="O548" s="2" t="s">
        <v>736</v>
      </c>
      <c r="Q548" s="2" t="s">
        <v>1151</v>
      </c>
      <c r="R548" s="2" t="s">
        <v>3928</v>
      </c>
      <c r="S548" s="1" t="s">
        <v>6793</v>
      </c>
      <c r="T548" s="2" t="s">
        <v>13</v>
      </c>
      <c r="U548" s="3">
        <v>1</v>
      </c>
      <c r="V548" s="3">
        <v>1</v>
      </c>
      <c r="W548" s="4" t="s">
        <v>5032</v>
      </c>
      <c r="X548" s="4" t="s">
        <v>5032</v>
      </c>
      <c r="Y548" s="4" t="s">
        <v>5032</v>
      </c>
      <c r="Z548" s="4" t="s">
        <v>5032</v>
      </c>
      <c r="AA548" s="3">
        <v>54</v>
      </c>
      <c r="AB548" s="3">
        <v>45</v>
      </c>
      <c r="AC548" s="3">
        <v>47</v>
      </c>
      <c r="AD548" s="3">
        <v>1</v>
      </c>
      <c r="AE548" s="9">
        <v>1</v>
      </c>
      <c r="AF548" s="9">
        <v>3</v>
      </c>
      <c r="AG548" s="9">
        <v>3</v>
      </c>
      <c r="AH548" s="3">
        <v>0</v>
      </c>
      <c r="AI548" s="3">
        <v>0</v>
      </c>
      <c r="AJ548" s="3">
        <v>2</v>
      </c>
      <c r="AK548" s="3">
        <v>2</v>
      </c>
      <c r="AL548" s="3">
        <v>2</v>
      </c>
      <c r="AM548" s="3">
        <v>2</v>
      </c>
      <c r="AN548" s="3">
        <v>0</v>
      </c>
      <c r="AO548" s="3">
        <v>0</v>
      </c>
      <c r="AP548" s="3">
        <v>0</v>
      </c>
      <c r="AQ548" s="3">
        <v>0</v>
      </c>
      <c r="AR548" s="2" t="s">
        <v>5</v>
      </c>
      <c r="AS548" s="2" t="s">
        <v>46</v>
      </c>
      <c r="AT548" s="5" t="str">
        <f>HYPERLINK("http://catalog.hathitrust.org/Record/002986994","HathiTrust Record")</f>
        <v>HathiTrust Record</v>
      </c>
      <c r="AU548" s="5" t="str">
        <f>HYPERLINK("https://creighton-primo.hosted.exlibrisgroup.com/primo-explore/search?tab=default_tab&amp;search_scope=EVERYTHING&amp;vid=01CRU&amp;lang=en_US&amp;offset=0&amp;query=any,contains,991004489819702656","Catalog Record")</f>
        <v>Catalog Record</v>
      </c>
      <c r="AV548" s="5" t="str">
        <f>HYPERLINK("http://www.worldcat.org/oclc/28159252","WorldCat Record")</f>
        <v>WorldCat Record</v>
      </c>
      <c r="AW548" s="2" t="s">
        <v>6794</v>
      </c>
      <c r="AX548" s="2" t="s">
        <v>6795</v>
      </c>
      <c r="AY548" s="2" t="s">
        <v>6796</v>
      </c>
      <c r="AZ548" s="2" t="s">
        <v>6796</v>
      </c>
      <c r="BA548" s="2" t="s">
        <v>6797</v>
      </c>
      <c r="BB548" s="2" t="s">
        <v>20</v>
      </c>
      <c r="BD548" s="2" t="s">
        <v>6798</v>
      </c>
      <c r="BE548" s="2" t="s">
        <v>6799</v>
      </c>
      <c r="BF548" s="2" t="s">
        <v>6800</v>
      </c>
    </row>
    <row r="549" spans="1:58" ht="39.75" customHeight="1" x14ac:dyDescent="0.25">
      <c r="A549" s="7" t="s">
        <v>5</v>
      </c>
      <c r="B549" s="1" t="s">
        <v>0</v>
      </c>
      <c r="C549" s="1" t="s">
        <v>1</v>
      </c>
      <c r="D549" s="1" t="s">
        <v>6801</v>
      </c>
      <c r="E549" s="1" t="s">
        <v>6802</v>
      </c>
      <c r="F549" s="1" t="s">
        <v>6803</v>
      </c>
      <c r="H549" s="2" t="s">
        <v>5</v>
      </c>
      <c r="I549" s="2" t="s">
        <v>6</v>
      </c>
      <c r="J549" s="2" t="s">
        <v>5</v>
      </c>
      <c r="K549" s="2" t="s">
        <v>5</v>
      </c>
      <c r="L549" s="2" t="s">
        <v>7</v>
      </c>
      <c r="M549" s="1" t="s">
        <v>6804</v>
      </c>
      <c r="N549" s="1" t="s">
        <v>6805</v>
      </c>
      <c r="O549" s="2" t="s">
        <v>392</v>
      </c>
      <c r="P549" s="1" t="s">
        <v>6806</v>
      </c>
      <c r="Q549" s="2" t="s">
        <v>1151</v>
      </c>
      <c r="R549" s="2" t="s">
        <v>1152</v>
      </c>
      <c r="S549" s="1" t="s">
        <v>6807</v>
      </c>
      <c r="T549" s="2" t="s">
        <v>13</v>
      </c>
      <c r="U549" s="3">
        <v>1</v>
      </c>
      <c r="V549" s="3">
        <v>1</v>
      </c>
      <c r="W549" s="4" t="s">
        <v>5086</v>
      </c>
      <c r="X549" s="4" t="s">
        <v>5086</v>
      </c>
      <c r="Y549" s="4" t="s">
        <v>5086</v>
      </c>
      <c r="Z549" s="4" t="s">
        <v>5086</v>
      </c>
      <c r="AA549" s="3">
        <v>28</v>
      </c>
      <c r="AB549" s="3">
        <v>18</v>
      </c>
      <c r="AC549" s="3">
        <v>71</v>
      </c>
      <c r="AD549" s="3">
        <v>1</v>
      </c>
      <c r="AE549" s="9">
        <v>1</v>
      </c>
      <c r="AF549" s="9">
        <v>0</v>
      </c>
      <c r="AG549" s="9">
        <v>3</v>
      </c>
      <c r="AH549" s="3">
        <v>0</v>
      </c>
      <c r="AI549" s="3">
        <v>1</v>
      </c>
      <c r="AJ549" s="3">
        <v>0</v>
      </c>
      <c r="AK549" s="3">
        <v>0</v>
      </c>
      <c r="AL549" s="3">
        <v>0</v>
      </c>
      <c r="AM549" s="3">
        <v>2</v>
      </c>
      <c r="AN549" s="3">
        <v>0</v>
      </c>
      <c r="AO549" s="3">
        <v>0</v>
      </c>
      <c r="AP549" s="3">
        <v>0</v>
      </c>
      <c r="AQ549" s="3">
        <v>0</v>
      </c>
      <c r="AR549" s="2" t="s">
        <v>5</v>
      </c>
      <c r="AS549" s="2" t="s">
        <v>5</v>
      </c>
      <c r="AU549" s="5" t="str">
        <f>HYPERLINK("https://creighton-primo.hosted.exlibrisgroup.com/primo-explore/search?tab=default_tab&amp;search_scope=EVERYTHING&amp;vid=01CRU&amp;lang=en_US&amp;offset=0&amp;query=any,contains,991004523629702656","Catalog Record")</f>
        <v>Catalog Record</v>
      </c>
      <c r="AV549" s="5" t="str">
        <f>HYPERLINK("http://www.worldcat.org/oclc/2573059","WorldCat Record")</f>
        <v>WorldCat Record</v>
      </c>
      <c r="AW549" s="2" t="s">
        <v>6808</v>
      </c>
      <c r="AX549" s="2" t="s">
        <v>6809</v>
      </c>
      <c r="AY549" s="2" t="s">
        <v>6810</v>
      </c>
      <c r="AZ549" s="2" t="s">
        <v>6810</v>
      </c>
      <c r="BA549" s="2" t="s">
        <v>6811</v>
      </c>
      <c r="BB549" s="2" t="s">
        <v>20</v>
      </c>
      <c r="BE549" s="2" t="s">
        <v>6812</v>
      </c>
      <c r="BF549" s="2" t="s">
        <v>6813</v>
      </c>
    </row>
    <row r="550" spans="1:58" ht="39.75" customHeight="1" x14ac:dyDescent="0.25">
      <c r="A550" s="7" t="s">
        <v>5</v>
      </c>
      <c r="B550" s="1" t="s">
        <v>0</v>
      </c>
      <c r="C550" s="1" t="s">
        <v>1</v>
      </c>
      <c r="D550" s="1" t="s">
        <v>6814</v>
      </c>
      <c r="E550" s="1" t="s">
        <v>6815</v>
      </c>
      <c r="F550" s="1" t="s">
        <v>6816</v>
      </c>
      <c r="H550" s="2" t="s">
        <v>5</v>
      </c>
      <c r="I550" s="2" t="s">
        <v>6</v>
      </c>
      <c r="J550" s="2" t="s">
        <v>5</v>
      </c>
      <c r="K550" s="2" t="s">
        <v>5</v>
      </c>
      <c r="L550" s="2" t="s">
        <v>7</v>
      </c>
      <c r="O550" s="2" t="s">
        <v>261</v>
      </c>
      <c r="Q550" s="2" t="s">
        <v>1151</v>
      </c>
      <c r="R550" s="2" t="s">
        <v>1152</v>
      </c>
      <c r="S550" s="1" t="s">
        <v>6817</v>
      </c>
      <c r="T550" s="2" t="s">
        <v>13</v>
      </c>
      <c r="U550" s="3">
        <v>1</v>
      </c>
      <c r="V550" s="3">
        <v>1</v>
      </c>
      <c r="W550" s="4" t="s">
        <v>5566</v>
      </c>
      <c r="X550" s="4" t="s">
        <v>5566</v>
      </c>
      <c r="Y550" s="4" t="s">
        <v>6741</v>
      </c>
      <c r="Z550" s="4" t="s">
        <v>6741</v>
      </c>
      <c r="AA550" s="3">
        <v>12</v>
      </c>
      <c r="AB550" s="3">
        <v>12</v>
      </c>
      <c r="AC550" s="3">
        <v>12</v>
      </c>
      <c r="AD550" s="3">
        <v>1</v>
      </c>
      <c r="AE550" s="9">
        <v>1</v>
      </c>
      <c r="AF550" s="9">
        <v>2</v>
      </c>
      <c r="AG550" s="9">
        <v>2</v>
      </c>
      <c r="AH550" s="3">
        <v>0</v>
      </c>
      <c r="AI550" s="3">
        <v>0</v>
      </c>
      <c r="AJ550" s="3">
        <v>1</v>
      </c>
      <c r="AK550" s="3">
        <v>1</v>
      </c>
      <c r="AL550" s="3">
        <v>1</v>
      </c>
      <c r="AM550" s="3">
        <v>1</v>
      </c>
      <c r="AN550" s="3">
        <v>0</v>
      </c>
      <c r="AO550" s="3">
        <v>0</v>
      </c>
      <c r="AP550" s="3">
        <v>0</v>
      </c>
      <c r="AQ550" s="3">
        <v>0</v>
      </c>
      <c r="AR550" s="2" t="s">
        <v>5</v>
      </c>
      <c r="AS550" s="2" t="s">
        <v>5</v>
      </c>
      <c r="AU550" s="5" t="str">
        <f>HYPERLINK("https://creighton-primo.hosted.exlibrisgroup.com/primo-explore/search?tab=default_tab&amp;search_scope=EVERYTHING&amp;vid=01CRU&amp;lang=en_US&amp;offset=0&amp;query=any,contains,991000325729702656","Catalog Record")</f>
        <v>Catalog Record</v>
      </c>
      <c r="AV550" s="5" t="str">
        <f>HYPERLINK("http://www.worldcat.org/oclc/10169915","WorldCat Record")</f>
        <v>WorldCat Record</v>
      </c>
      <c r="AW550" s="2" t="s">
        <v>6818</v>
      </c>
      <c r="AX550" s="2" t="s">
        <v>6819</v>
      </c>
      <c r="AY550" s="2" t="s">
        <v>6820</v>
      </c>
      <c r="AZ550" s="2" t="s">
        <v>6820</v>
      </c>
      <c r="BA550" s="2" t="s">
        <v>6821</v>
      </c>
      <c r="BB550" s="2" t="s">
        <v>20</v>
      </c>
      <c r="BD550" s="2" t="s">
        <v>6822</v>
      </c>
      <c r="BE550" s="2" t="s">
        <v>6823</v>
      </c>
      <c r="BF550" s="2" t="s">
        <v>6824</v>
      </c>
    </row>
    <row r="551" spans="1:58" ht="39.75" customHeight="1" x14ac:dyDescent="0.25">
      <c r="A551" s="7" t="s">
        <v>5</v>
      </c>
      <c r="B551" s="1" t="s">
        <v>0</v>
      </c>
      <c r="C551" s="1" t="s">
        <v>1</v>
      </c>
      <c r="D551" s="1" t="s">
        <v>6825</v>
      </c>
      <c r="E551" s="1" t="s">
        <v>6826</v>
      </c>
      <c r="F551" s="1" t="s">
        <v>6827</v>
      </c>
      <c r="H551" s="2" t="s">
        <v>5</v>
      </c>
      <c r="I551" s="2" t="s">
        <v>6</v>
      </c>
      <c r="J551" s="2" t="s">
        <v>5</v>
      </c>
      <c r="K551" s="2" t="s">
        <v>5</v>
      </c>
      <c r="L551" s="2" t="s">
        <v>7</v>
      </c>
      <c r="M551" s="1" t="s">
        <v>6828</v>
      </c>
      <c r="N551" s="1" t="s">
        <v>6829</v>
      </c>
      <c r="O551" s="2" t="s">
        <v>6830</v>
      </c>
      <c r="P551" s="1" t="s">
        <v>6831</v>
      </c>
      <c r="Q551" s="2" t="s">
        <v>1151</v>
      </c>
      <c r="R551" s="2" t="s">
        <v>61</v>
      </c>
      <c r="T551" s="2" t="s">
        <v>13</v>
      </c>
      <c r="U551" s="3">
        <v>1</v>
      </c>
      <c r="V551" s="3">
        <v>1</v>
      </c>
      <c r="W551" s="4" t="s">
        <v>5566</v>
      </c>
      <c r="X551" s="4" t="s">
        <v>5566</v>
      </c>
      <c r="Y551" s="4" t="s">
        <v>6556</v>
      </c>
      <c r="Z551" s="4" t="s">
        <v>6556</v>
      </c>
      <c r="AA551" s="3">
        <v>645</v>
      </c>
      <c r="AB551" s="3">
        <v>623</v>
      </c>
      <c r="AC551" s="3">
        <v>657</v>
      </c>
      <c r="AD551" s="3">
        <v>5</v>
      </c>
      <c r="AE551" s="9">
        <v>5</v>
      </c>
      <c r="AF551" s="9">
        <v>29</v>
      </c>
      <c r="AG551" s="9">
        <v>30</v>
      </c>
      <c r="AH551" s="3">
        <v>11</v>
      </c>
      <c r="AI551" s="3">
        <v>12</v>
      </c>
      <c r="AJ551" s="3">
        <v>5</v>
      </c>
      <c r="AK551" s="3">
        <v>5</v>
      </c>
      <c r="AL551" s="3">
        <v>15</v>
      </c>
      <c r="AM551" s="3">
        <v>15</v>
      </c>
      <c r="AN551" s="3">
        <v>4</v>
      </c>
      <c r="AO551" s="3">
        <v>4</v>
      </c>
      <c r="AP551" s="3">
        <v>0</v>
      </c>
      <c r="AQ551" s="3">
        <v>0</v>
      </c>
      <c r="AR551" s="2" t="s">
        <v>5</v>
      </c>
      <c r="AS551" s="2" t="s">
        <v>46</v>
      </c>
      <c r="AT551" s="5" t="str">
        <f>HYPERLINK("http://catalog.hathitrust.org/Record/001220647","HathiTrust Record")</f>
        <v>HathiTrust Record</v>
      </c>
      <c r="AU551" s="5" t="str">
        <f>HYPERLINK("https://creighton-primo.hosted.exlibrisgroup.com/primo-explore/search?tab=default_tab&amp;search_scope=EVERYTHING&amp;vid=01CRU&amp;lang=en_US&amp;offset=0&amp;query=any,contains,991005038619702656","Catalog Record")</f>
        <v>Catalog Record</v>
      </c>
      <c r="AV551" s="5" t="str">
        <f>HYPERLINK("http://www.worldcat.org/oclc/6775984","WorldCat Record")</f>
        <v>WorldCat Record</v>
      </c>
      <c r="AW551" s="2" t="s">
        <v>6832</v>
      </c>
      <c r="AX551" s="2" t="s">
        <v>6833</v>
      </c>
      <c r="AY551" s="2" t="s">
        <v>6834</v>
      </c>
      <c r="AZ551" s="2" t="s">
        <v>6834</v>
      </c>
      <c r="BA551" s="2" t="s">
        <v>6835</v>
      </c>
      <c r="BB551" s="2" t="s">
        <v>20</v>
      </c>
      <c r="BE551" s="2" t="s">
        <v>6836</v>
      </c>
      <c r="BF551" s="2" t="s">
        <v>6837</v>
      </c>
    </row>
    <row r="552" spans="1:58" ht="39.75" customHeight="1" x14ac:dyDescent="0.25">
      <c r="A552" s="7" t="s">
        <v>5</v>
      </c>
      <c r="B552" s="1" t="s">
        <v>0</v>
      </c>
      <c r="C552" s="1" t="s">
        <v>1</v>
      </c>
      <c r="D552" s="1" t="s">
        <v>6838</v>
      </c>
      <c r="E552" s="1" t="s">
        <v>6839</v>
      </c>
      <c r="F552" s="1" t="s">
        <v>6840</v>
      </c>
      <c r="H552" s="2" t="s">
        <v>5</v>
      </c>
      <c r="I552" s="2" t="s">
        <v>6</v>
      </c>
      <c r="J552" s="2" t="s">
        <v>5</v>
      </c>
      <c r="K552" s="2" t="s">
        <v>5</v>
      </c>
      <c r="L552" s="2" t="s">
        <v>7</v>
      </c>
      <c r="N552" s="1" t="s">
        <v>6841</v>
      </c>
      <c r="O552" s="2" t="s">
        <v>1418</v>
      </c>
      <c r="Q552" s="2" t="s">
        <v>60</v>
      </c>
      <c r="R552" s="2" t="s">
        <v>61</v>
      </c>
      <c r="S552" s="1" t="s">
        <v>6842</v>
      </c>
      <c r="T552" s="2" t="s">
        <v>13</v>
      </c>
      <c r="U552" s="3">
        <v>7</v>
      </c>
      <c r="V552" s="3">
        <v>7</v>
      </c>
      <c r="W552" s="4" t="s">
        <v>5150</v>
      </c>
      <c r="X552" s="4" t="s">
        <v>5150</v>
      </c>
      <c r="Y552" s="4" t="s">
        <v>6843</v>
      </c>
      <c r="Z552" s="4" t="s">
        <v>6843</v>
      </c>
      <c r="AA552" s="3">
        <v>80</v>
      </c>
      <c r="AB552" s="3">
        <v>63</v>
      </c>
      <c r="AC552" s="3">
        <v>444</v>
      </c>
      <c r="AD552" s="3">
        <v>1</v>
      </c>
      <c r="AE552" s="9">
        <v>4</v>
      </c>
      <c r="AF552" s="9">
        <v>1</v>
      </c>
      <c r="AG552" s="9">
        <v>19</v>
      </c>
      <c r="AH552" s="3">
        <v>1</v>
      </c>
      <c r="AI552" s="3">
        <v>6</v>
      </c>
      <c r="AJ552" s="3">
        <v>0</v>
      </c>
      <c r="AK552" s="3">
        <v>4</v>
      </c>
      <c r="AL552" s="3">
        <v>0</v>
      </c>
      <c r="AM552" s="3">
        <v>10</v>
      </c>
      <c r="AN552" s="3">
        <v>0</v>
      </c>
      <c r="AO552" s="3">
        <v>3</v>
      </c>
      <c r="AP552" s="3">
        <v>0</v>
      </c>
      <c r="AQ552" s="3">
        <v>0</v>
      </c>
      <c r="AR552" s="2" t="s">
        <v>5</v>
      </c>
      <c r="AS552" s="2" t="s">
        <v>5</v>
      </c>
      <c r="AU552" s="5" t="str">
        <f>HYPERLINK("https://creighton-primo.hosted.exlibrisgroup.com/primo-explore/search?tab=default_tab&amp;search_scope=EVERYTHING&amp;vid=01CRU&amp;lang=en_US&amp;offset=0&amp;query=any,contains,991004485059702656","Catalog Record")</f>
        <v>Catalog Record</v>
      </c>
      <c r="AV552" s="5" t="str">
        <f>HYPERLINK("http://www.worldcat.org/oclc/3637703","WorldCat Record")</f>
        <v>WorldCat Record</v>
      </c>
      <c r="AW552" s="2" t="s">
        <v>6844</v>
      </c>
      <c r="AX552" s="2" t="s">
        <v>6845</v>
      </c>
      <c r="AY552" s="2" t="s">
        <v>6846</v>
      </c>
      <c r="AZ552" s="2" t="s">
        <v>6846</v>
      </c>
      <c r="BA552" s="2" t="s">
        <v>6847</v>
      </c>
      <c r="BB552" s="2" t="s">
        <v>20</v>
      </c>
      <c r="BE552" s="2" t="s">
        <v>6848</v>
      </c>
      <c r="BF552" s="2" t="s">
        <v>6849</v>
      </c>
    </row>
    <row r="553" spans="1:58" ht="39.75" customHeight="1" x14ac:dyDescent="0.25">
      <c r="A553" s="7" t="s">
        <v>5</v>
      </c>
      <c r="B553" s="1" t="s">
        <v>0</v>
      </c>
      <c r="C553" s="1" t="s">
        <v>1</v>
      </c>
      <c r="D553" s="1" t="s">
        <v>6850</v>
      </c>
      <c r="E553" s="1" t="s">
        <v>6851</v>
      </c>
      <c r="F553" s="1" t="s">
        <v>6852</v>
      </c>
      <c r="H553" s="2" t="s">
        <v>5</v>
      </c>
      <c r="I553" s="2" t="s">
        <v>6</v>
      </c>
      <c r="J553" s="2" t="s">
        <v>5</v>
      </c>
      <c r="K553" s="2" t="s">
        <v>5</v>
      </c>
      <c r="L553" s="2" t="s">
        <v>7</v>
      </c>
      <c r="M553" s="1" t="s">
        <v>6853</v>
      </c>
      <c r="N553" s="1" t="s">
        <v>6854</v>
      </c>
      <c r="O553" s="2" t="s">
        <v>1418</v>
      </c>
      <c r="P553" s="1" t="s">
        <v>1350</v>
      </c>
      <c r="Q553" s="2" t="s">
        <v>60</v>
      </c>
      <c r="R553" s="2" t="s">
        <v>61</v>
      </c>
      <c r="T553" s="2" t="s">
        <v>13</v>
      </c>
      <c r="U553" s="3">
        <v>3</v>
      </c>
      <c r="V553" s="3">
        <v>3</v>
      </c>
      <c r="W553" s="4" t="s">
        <v>6855</v>
      </c>
      <c r="X553" s="4" t="s">
        <v>6855</v>
      </c>
      <c r="Y553" s="4" t="s">
        <v>6556</v>
      </c>
      <c r="Z553" s="4" t="s">
        <v>6556</v>
      </c>
      <c r="AA553" s="3">
        <v>871</v>
      </c>
      <c r="AB553" s="3">
        <v>812</v>
      </c>
      <c r="AC553" s="3">
        <v>892</v>
      </c>
      <c r="AD553" s="3">
        <v>4</v>
      </c>
      <c r="AE553" s="9">
        <v>4</v>
      </c>
      <c r="AF553" s="9">
        <v>25</v>
      </c>
      <c r="AG553" s="9">
        <v>31</v>
      </c>
      <c r="AH553" s="3">
        <v>9</v>
      </c>
      <c r="AI553" s="3">
        <v>12</v>
      </c>
      <c r="AJ553" s="3">
        <v>6</v>
      </c>
      <c r="AK553" s="3">
        <v>8</v>
      </c>
      <c r="AL553" s="3">
        <v>14</v>
      </c>
      <c r="AM553" s="3">
        <v>17</v>
      </c>
      <c r="AN553" s="3">
        <v>2</v>
      </c>
      <c r="AO553" s="3">
        <v>2</v>
      </c>
      <c r="AP553" s="3">
        <v>0</v>
      </c>
      <c r="AQ553" s="3">
        <v>0</v>
      </c>
      <c r="AR553" s="2" t="s">
        <v>5</v>
      </c>
      <c r="AS553" s="2" t="s">
        <v>46</v>
      </c>
      <c r="AT553" s="5" t="str">
        <f>HYPERLINK("http://catalog.hathitrust.org/Record/001220666","HathiTrust Record")</f>
        <v>HathiTrust Record</v>
      </c>
      <c r="AU553" s="5" t="str">
        <f>HYPERLINK("https://creighton-primo.hosted.exlibrisgroup.com/primo-explore/search?tab=default_tab&amp;search_scope=EVERYTHING&amp;vid=01CRU&amp;lang=en_US&amp;offset=0&amp;query=any,contains,991003533599702656","Catalog Record")</f>
        <v>Catalog Record</v>
      </c>
      <c r="AV553" s="5" t="str">
        <f>HYPERLINK("http://www.worldcat.org/oclc/1096445","WorldCat Record")</f>
        <v>WorldCat Record</v>
      </c>
      <c r="AW553" s="2" t="s">
        <v>6856</v>
      </c>
      <c r="AX553" s="2" t="s">
        <v>6857</v>
      </c>
      <c r="AY553" s="2" t="s">
        <v>6858</v>
      </c>
      <c r="AZ553" s="2" t="s">
        <v>6858</v>
      </c>
      <c r="BA553" s="2" t="s">
        <v>6859</v>
      </c>
      <c r="BB553" s="2" t="s">
        <v>20</v>
      </c>
      <c r="BE553" s="2" t="s">
        <v>6860</v>
      </c>
      <c r="BF553" s="2" t="s">
        <v>6861</v>
      </c>
    </row>
    <row r="554" spans="1:58" ht="39.75" customHeight="1" x14ac:dyDescent="0.25">
      <c r="A554" s="7" t="s">
        <v>5</v>
      </c>
      <c r="B554" s="1" t="s">
        <v>0</v>
      </c>
      <c r="C554" s="1" t="s">
        <v>1</v>
      </c>
      <c r="D554" s="1" t="s">
        <v>6862</v>
      </c>
      <c r="E554" s="1" t="s">
        <v>6863</v>
      </c>
      <c r="F554" s="1" t="s">
        <v>6864</v>
      </c>
      <c r="H554" s="2" t="s">
        <v>5</v>
      </c>
      <c r="I554" s="2" t="s">
        <v>6</v>
      </c>
      <c r="J554" s="2" t="s">
        <v>5</v>
      </c>
      <c r="K554" s="2" t="s">
        <v>5</v>
      </c>
      <c r="L554" s="2" t="s">
        <v>7</v>
      </c>
      <c r="N554" s="1" t="s">
        <v>6865</v>
      </c>
      <c r="O554" s="2" t="s">
        <v>3250</v>
      </c>
      <c r="P554" s="1" t="s">
        <v>2908</v>
      </c>
      <c r="Q554" s="2" t="s">
        <v>1151</v>
      </c>
      <c r="R554" s="2" t="s">
        <v>1152</v>
      </c>
      <c r="S554" s="1" t="s">
        <v>6866</v>
      </c>
      <c r="T554" s="2" t="s">
        <v>13</v>
      </c>
      <c r="U554" s="3">
        <v>1</v>
      </c>
      <c r="V554" s="3">
        <v>1</v>
      </c>
      <c r="W554" s="4" t="s">
        <v>367</v>
      </c>
      <c r="X554" s="4" t="s">
        <v>367</v>
      </c>
      <c r="Y554" s="4" t="s">
        <v>367</v>
      </c>
      <c r="Z554" s="4" t="s">
        <v>367</v>
      </c>
      <c r="AA554" s="3">
        <v>26</v>
      </c>
      <c r="AB554" s="3">
        <v>16</v>
      </c>
      <c r="AC554" s="3">
        <v>47</v>
      </c>
      <c r="AD554" s="3">
        <v>1</v>
      </c>
      <c r="AE554" s="9">
        <v>2</v>
      </c>
      <c r="AF554" s="9">
        <v>1</v>
      </c>
      <c r="AG554" s="9">
        <v>4</v>
      </c>
      <c r="AH554" s="3">
        <v>1</v>
      </c>
      <c r="AI554" s="3">
        <v>1</v>
      </c>
      <c r="AJ554" s="3">
        <v>0</v>
      </c>
      <c r="AK554" s="3">
        <v>1</v>
      </c>
      <c r="AL554" s="3">
        <v>1</v>
      </c>
      <c r="AM554" s="3">
        <v>3</v>
      </c>
      <c r="AN554" s="3">
        <v>0</v>
      </c>
      <c r="AO554" s="3">
        <v>1</v>
      </c>
      <c r="AP554" s="3">
        <v>0</v>
      </c>
      <c r="AQ554" s="3">
        <v>0</v>
      </c>
      <c r="AR554" s="2" t="s">
        <v>5</v>
      </c>
      <c r="AS554" s="2" t="s">
        <v>5</v>
      </c>
      <c r="AU554" s="5" t="str">
        <f>HYPERLINK("https://creighton-primo.hosted.exlibrisgroup.com/primo-explore/search?tab=default_tab&amp;search_scope=EVERYTHING&amp;vid=01CRU&amp;lang=en_US&amp;offset=0&amp;query=any,contains,991004378959702656","Catalog Record")</f>
        <v>Catalog Record</v>
      </c>
      <c r="AV554" s="5" t="str">
        <f>HYPERLINK("http://www.worldcat.org/oclc/53705535","WorldCat Record")</f>
        <v>WorldCat Record</v>
      </c>
      <c r="AW554" s="2" t="s">
        <v>6867</v>
      </c>
      <c r="AX554" s="2" t="s">
        <v>6868</v>
      </c>
      <c r="AY554" s="2" t="s">
        <v>6869</v>
      </c>
      <c r="AZ554" s="2" t="s">
        <v>6869</v>
      </c>
      <c r="BA554" s="2" t="s">
        <v>6870</v>
      </c>
      <c r="BB554" s="2" t="s">
        <v>20</v>
      </c>
      <c r="BD554" s="2" t="s">
        <v>6871</v>
      </c>
      <c r="BE554" s="2" t="s">
        <v>6872</v>
      </c>
      <c r="BF554" s="2" t="s">
        <v>6873</v>
      </c>
    </row>
    <row r="555" spans="1:58" ht="39.75" customHeight="1" x14ac:dyDescent="0.25">
      <c r="A555" s="7" t="s">
        <v>5</v>
      </c>
      <c r="B555" s="1" t="s">
        <v>0</v>
      </c>
      <c r="C555" s="1" t="s">
        <v>1</v>
      </c>
      <c r="D555" s="1" t="s">
        <v>6874</v>
      </c>
      <c r="E555" s="1" t="s">
        <v>6875</v>
      </c>
      <c r="F555" s="1" t="s">
        <v>6876</v>
      </c>
      <c r="H555" s="2" t="s">
        <v>5</v>
      </c>
      <c r="I555" s="2" t="s">
        <v>6</v>
      </c>
      <c r="J555" s="2" t="s">
        <v>5</v>
      </c>
      <c r="K555" s="2" t="s">
        <v>5</v>
      </c>
      <c r="L555" s="2" t="s">
        <v>7</v>
      </c>
      <c r="N555" s="1" t="s">
        <v>6877</v>
      </c>
      <c r="O555" s="2" t="s">
        <v>27</v>
      </c>
      <c r="P555" s="1" t="s">
        <v>6878</v>
      </c>
      <c r="Q555" s="2" t="s">
        <v>1151</v>
      </c>
      <c r="R555" s="2" t="s">
        <v>1152</v>
      </c>
      <c r="S555" s="1" t="s">
        <v>6879</v>
      </c>
      <c r="T555" s="2" t="s">
        <v>13</v>
      </c>
      <c r="U555" s="3">
        <v>1</v>
      </c>
      <c r="V555" s="3">
        <v>1</v>
      </c>
      <c r="W555" s="4" t="s">
        <v>1154</v>
      </c>
      <c r="X555" s="4" t="s">
        <v>1154</v>
      </c>
      <c r="Y555" s="4" t="s">
        <v>1154</v>
      </c>
      <c r="Z555" s="4" t="s">
        <v>1154</v>
      </c>
      <c r="AA555" s="3">
        <v>20</v>
      </c>
      <c r="AB555" s="3">
        <v>14</v>
      </c>
      <c r="AC555" s="3">
        <v>14</v>
      </c>
      <c r="AD555" s="3">
        <v>1</v>
      </c>
      <c r="AE555" s="9">
        <v>1</v>
      </c>
      <c r="AF555" s="9">
        <v>1</v>
      </c>
      <c r="AG555" s="9">
        <v>1</v>
      </c>
      <c r="AH555" s="3">
        <v>1</v>
      </c>
      <c r="AI555" s="3">
        <v>1</v>
      </c>
      <c r="AJ555" s="3">
        <v>0</v>
      </c>
      <c r="AK555" s="3">
        <v>0</v>
      </c>
      <c r="AL555" s="3">
        <v>0</v>
      </c>
      <c r="AM555" s="3">
        <v>0</v>
      </c>
      <c r="AN555" s="3">
        <v>0</v>
      </c>
      <c r="AO555" s="3">
        <v>0</v>
      </c>
      <c r="AP555" s="3">
        <v>0</v>
      </c>
      <c r="AQ555" s="3">
        <v>0</v>
      </c>
      <c r="AR555" s="2" t="s">
        <v>5</v>
      </c>
      <c r="AS555" s="2" t="s">
        <v>5</v>
      </c>
      <c r="AU555" s="5" t="str">
        <f>HYPERLINK("https://creighton-primo.hosted.exlibrisgroup.com/primo-explore/search?tab=default_tab&amp;search_scope=EVERYTHING&amp;vid=01CRU&amp;lang=en_US&amp;offset=0&amp;query=any,contains,991003845729702656","Catalog Record")</f>
        <v>Catalog Record</v>
      </c>
      <c r="AV555" s="5" t="str">
        <f>HYPERLINK("http://www.worldcat.org/oclc/28808799","WorldCat Record")</f>
        <v>WorldCat Record</v>
      </c>
      <c r="AW555" s="2" t="s">
        <v>6880</v>
      </c>
      <c r="AX555" s="2" t="s">
        <v>6881</v>
      </c>
      <c r="AY555" s="2" t="s">
        <v>6882</v>
      </c>
      <c r="AZ555" s="2" t="s">
        <v>6882</v>
      </c>
      <c r="BA555" s="2" t="s">
        <v>6883</v>
      </c>
      <c r="BB555" s="2" t="s">
        <v>20</v>
      </c>
      <c r="BD555" s="2" t="s">
        <v>6884</v>
      </c>
      <c r="BE555" s="2" t="s">
        <v>6885</v>
      </c>
      <c r="BF555" s="2" t="s">
        <v>6886</v>
      </c>
    </row>
    <row r="556" spans="1:58" ht="39.75" customHeight="1" x14ac:dyDescent="0.25">
      <c r="A556" s="7" t="s">
        <v>5</v>
      </c>
      <c r="B556" s="1" t="s">
        <v>0</v>
      </c>
      <c r="C556" s="1" t="s">
        <v>1</v>
      </c>
      <c r="D556" s="1" t="s">
        <v>6887</v>
      </c>
      <c r="E556" s="1" t="s">
        <v>6888</v>
      </c>
      <c r="F556" s="1" t="s">
        <v>6889</v>
      </c>
      <c r="H556" s="2" t="s">
        <v>5</v>
      </c>
      <c r="I556" s="2" t="s">
        <v>6</v>
      </c>
      <c r="J556" s="2" t="s">
        <v>5</v>
      </c>
      <c r="K556" s="2" t="s">
        <v>5</v>
      </c>
      <c r="L556" s="2" t="s">
        <v>7</v>
      </c>
      <c r="M556" s="1" t="s">
        <v>6890</v>
      </c>
      <c r="N556" s="1" t="s">
        <v>6891</v>
      </c>
      <c r="O556" s="2" t="s">
        <v>59</v>
      </c>
      <c r="Q556" s="2" t="s">
        <v>60</v>
      </c>
      <c r="R556" s="2" t="s">
        <v>234</v>
      </c>
      <c r="S556" s="1" t="s">
        <v>1904</v>
      </c>
      <c r="T556" s="2" t="s">
        <v>13</v>
      </c>
      <c r="U556" s="3">
        <v>1</v>
      </c>
      <c r="V556" s="3">
        <v>1</v>
      </c>
      <c r="W556" s="4" t="s">
        <v>5164</v>
      </c>
      <c r="X556" s="4" t="s">
        <v>5164</v>
      </c>
      <c r="Y556" s="4" t="s">
        <v>6556</v>
      </c>
      <c r="Z556" s="4" t="s">
        <v>6556</v>
      </c>
      <c r="AA556" s="3">
        <v>141</v>
      </c>
      <c r="AB556" s="3">
        <v>124</v>
      </c>
      <c r="AC556" s="3">
        <v>126</v>
      </c>
      <c r="AD556" s="3">
        <v>2</v>
      </c>
      <c r="AE556" s="9">
        <v>2</v>
      </c>
      <c r="AF556" s="9">
        <v>10</v>
      </c>
      <c r="AG556" s="9">
        <v>10</v>
      </c>
      <c r="AH556" s="3">
        <v>7</v>
      </c>
      <c r="AI556" s="3">
        <v>7</v>
      </c>
      <c r="AJ556" s="3">
        <v>1</v>
      </c>
      <c r="AK556" s="3">
        <v>1</v>
      </c>
      <c r="AL556" s="3">
        <v>4</v>
      </c>
      <c r="AM556" s="3">
        <v>4</v>
      </c>
      <c r="AN556" s="3">
        <v>1</v>
      </c>
      <c r="AO556" s="3">
        <v>1</v>
      </c>
      <c r="AP556" s="3">
        <v>0</v>
      </c>
      <c r="AQ556" s="3">
        <v>0</v>
      </c>
      <c r="AR556" s="2" t="s">
        <v>5</v>
      </c>
      <c r="AS556" s="2" t="s">
        <v>46</v>
      </c>
      <c r="AT556" s="5" t="str">
        <f>HYPERLINK("http://catalog.hathitrust.org/Record/001048099","HathiTrust Record")</f>
        <v>HathiTrust Record</v>
      </c>
      <c r="AU556" s="5" t="str">
        <f>HYPERLINK("https://creighton-primo.hosted.exlibrisgroup.com/primo-explore/search?tab=default_tab&amp;search_scope=EVERYTHING&amp;vid=01CRU&amp;lang=en_US&amp;offset=0&amp;query=any,contains,991003725949702656","Catalog Record")</f>
        <v>Catalog Record</v>
      </c>
      <c r="AV556" s="5" t="str">
        <f>HYPERLINK("http://www.worldcat.org/oclc/1373167","WorldCat Record")</f>
        <v>WorldCat Record</v>
      </c>
      <c r="AW556" s="2" t="s">
        <v>6892</v>
      </c>
      <c r="AX556" s="2" t="s">
        <v>6893</v>
      </c>
      <c r="AY556" s="2" t="s">
        <v>6894</v>
      </c>
      <c r="AZ556" s="2" t="s">
        <v>6894</v>
      </c>
      <c r="BA556" s="2" t="s">
        <v>6895</v>
      </c>
      <c r="BB556" s="2" t="s">
        <v>20</v>
      </c>
      <c r="BE556" s="2" t="s">
        <v>6896</v>
      </c>
      <c r="BF556" s="2" t="s">
        <v>6897</v>
      </c>
    </row>
    <row r="557" spans="1:58" ht="39.75" customHeight="1" x14ac:dyDescent="0.25">
      <c r="A557" s="7" t="s">
        <v>5</v>
      </c>
      <c r="B557" s="1" t="s">
        <v>0</v>
      </c>
      <c r="C557" s="1" t="s">
        <v>1</v>
      </c>
      <c r="D557" s="1" t="s">
        <v>6898</v>
      </c>
      <c r="E557" s="1" t="s">
        <v>6899</v>
      </c>
      <c r="F557" s="1" t="s">
        <v>6900</v>
      </c>
      <c r="H557" s="2" t="s">
        <v>5</v>
      </c>
      <c r="I557" s="2" t="s">
        <v>6</v>
      </c>
      <c r="J557" s="2" t="s">
        <v>5</v>
      </c>
      <c r="K557" s="2" t="s">
        <v>5</v>
      </c>
      <c r="L557" s="2" t="s">
        <v>7</v>
      </c>
      <c r="M557" s="1" t="s">
        <v>6901</v>
      </c>
      <c r="N557" s="1" t="s">
        <v>6902</v>
      </c>
      <c r="O557" s="2" t="s">
        <v>4704</v>
      </c>
      <c r="Q557" s="2" t="s">
        <v>1151</v>
      </c>
      <c r="R557" s="2" t="s">
        <v>1152</v>
      </c>
      <c r="S557" s="1" t="s">
        <v>6903</v>
      </c>
      <c r="T557" s="2" t="s">
        <v>13</v>
      </c>
      <c r="U557" s="3">
        <v>2</v>
      </c>
      <c r="V557" s="3">
        <v>2</v>
      </c>
      <c r="W557" s="4" t="s">
        <v>6904</v>
      </c>
      <c r="X557" s="4" t="s">
        <v>6904</v>
      </c>
      <c r="Y557" s="4" t="s">
        <v>6556</v>
      </c>
      <c r="Z557" s="4" t="s">
        <v>6556</v>
      </c>
      <c r="AA557" s="3">
        <v>91</v>
      </c>
      <c r="AB557" s="3">
        <v>87</v>
      </c>
      <c r="AC557" s="3">
        <v>151</v>
      </c>
      <c r="AD557" s="3">
        <v>1</v>
      </c>
      <c r="AE557" s="9">
        <v>1</v>
      </c>
      <c r="AF557" s="9">
        <v>6</v>
      </c>
      <c r="AG557" s="9">
        <v>7</v>
      </c>
      <c r="AH557" s="3">
        <v>1</v>
      </c>
      <c r="AI557" s="3">
        <v>2</v>
      </c>
      <c r="AJ557" s="3">
        <v>2</v>
      </c>
      <c r="AK557" s="3">
        <v>2</v>
      </c>
      <c r="AL557" s="3">
        <v>4</v>
      </c>
      <c r="AM557" s="3">
        <v>4</v>
      </c>
      <c r="AN557" s="3">
        <v>0</v>
      </c>
      <c r="AO557" s="3">
        <v>0</v>
      </c>
      <c r="AP557" s="3">
        <v>0</v>
      </c>
      <c r="AQ557" s="3">
        <v>0</v>
      </c>
      <c r="AR557" s="2" t="s">
        <v>46</v>
      </c>
      <c r="AS557" s="2" t="s">
        <v>5</v>
      </c>
      <c r="AT557" s="5" t="str">
        <f>HYPERLINK("http://catalog.hathitrust.org/Record/001589322","HathiTrust Record")</f>
        <v>HathiTrust Record</v>
      </c>
      <c r="AU557" s="5" t="str">
        <f>HYPERLINK("https://creighton-primo.hosted.exlibrisgroup.com/primo-explore/search?tab=default_tab&amp;search_scope=EVERYTHING&amp;vid=01CRU&amp;lang=en_US&amp;offset=0&amp;query=any,contains,991004337139702656","Catalog Record")</f>
        <v>Catalog Record</v>
      </c>
      <c r="AV557" s="5" t="str">
        <f>HYPERLINK("http://www.worldcat.org/oclc/3076563","WorldCat Record")</f>
        <v>WorldCat Record</v>
      </c>
      <c r="AW557" s="2" t="s">
        <v>6905</v>
      </c>
      <c r="AX557" s="2" t="s">
        <v>6906</v>
      </c>
      <c r="AY557" s="2" t="s">
        <v>6907</v>
      </c>
      <c r="AZ557" s="2" t="s">
        <v>6907</v>
      </c>
      <c r="BA557" s="2" t="s">
        <v>6908</v>
      </c>
      <c r="BB557" s="2" t="s">
        <v>20</v>
      </c>
      <c r="BE557" s="2" t="s">
        <v>6909</v>
      </c>
      <c r="BF557" s="2" t="s">
        <v>6910</v>
      </c>
    </row>
    <row r="558" spans="1:58" ht="39.75" customHeight="1" x14ac:dyDescent="0.25">
      <c r="A558" s="7" t="s">
        <v>5</v>
      </c>
      <c r="B558" s="1" t="s">
        <v>0</v>
      </c>
      <c r="C558" s="1" t="s">
        <v>1</v>
      </c>
      <c r="D558" s="1" t="s">
        <v>6911</v>
      </c>
      <c r="E558" s="1" t="s">
        <v>6912</v>
      </c>
      <c r="F558" s="1" t="s">
        <v>6913</v>
      </c>
      <c r="H558" s="2" t="s">
        <v>5</v>
      </c>
      <c r="I558" s="2" t="s">
        <v>6</v>
      </c>
      <c r="J558" s="2" t="s">
        <v>5</v>
      </c>
      <c r="K558" s="2" t="s">
        <v>5</v>
      </c>
      <c r="L558" s="2" t="s">
        <v>7</v>
      </c>
      <c r="N558" s="1" t="s">
        <v>6914</v>
      </c>
      <c r="O558" s="2" t="s">
        <v>508</v>
      </c>
      <c r="P558" s="1" t="s">
        <v>6915</v>
      </c>
      <c r="Q558" s="2" t="s">
        <v>1151</v>
      </c>
      <c r="R558" s="2" t="s">
        <v>6916</v>
      </c>
      <c r="T558" s="2" t="s">
        <v>13</v>
      </c>
      <c r="U558" s="3">
        <v>1</v>
      </c>
      <c r="V558" s="3">
        <v>1</v>
      </c>
      <c r="W558" s="4" t="s">
        <v>6917</v>
      </c>
      <c r="X558" s="4" t="s">
        <v>6917</v>
      </c>
      <c r="Y558" s="4" t="s">
        <v>6917</v>
      </c>
      <c r="Z558" s="4" t="s">
        <v>6917</v>
      </c>
      <c r="AA558" s="3">
        <v>23</v>
      </c>
      <c r="AB558" s="3">
        <v>21</v>
      </c>
      <c r="AC558" s="3">
        <v>84</v>
      </c>
      <c r="AD558" s="3">
        <v>0</v>
      </c>
      <c r="AE558" s="9">
        <v>0</v>
      </c>
      <c r="AF558" s="9">
        <v>1</v>
      </c>
      <c r="AG558" s="9">
        <v>3</v>
      </c>
      <c r="AH558" s="3">
        <v>1</v>
      </c>
      <c r="AI558" s="3">
        <v>2</v>
      </c>
      <c r="AJ558" s="3">
        <v>0</v>
      </c>
      <c r="AK558" s="3">
        <v>0</v>
      </c>
      <c r="AL558" s="3">
        <v>0</v>
      </c>
      <c r="AM558" s="3">
        <v>1</v>
      </c>
      <c r="AN558" s="3">
        <v>0</v>
      </c>
      <c r="AO558" s="3">
        <v>0</v>
      </c>
      <c r="AP558" s="3">
        <v>0</v>
      </c>
      <c r="AQ558" s="3">
        <v>0</v>
      </c>
      <c r="AR558" s="2" t="s">
        <v>5</v>
      </c>
      <c r="AS558" s="2" t="s">
        <v>5</v>
      </c>
      <c r="AU558" s="5" t="str">
        <f>HYPERLINK("https://creighton-primo.hosted.exlibrisgroup.com/primo-explore/search?tab=default_tab&amp;search_scope=EVERYTHING&amp;vid=01CRU&amp;lang=en_US&amp;offset=0&amp;query=any,contains,991003835989702656","Catalog Record")</f>
        <v>Catalog Record</v>
      </c>
      <c r="AV558" s="5" t="str">
        <f>HYPERLINK("http://www.worldcat.org/oclc/38436212","WorldCat Record")</f>
        <v>WorldCat Record</v>
      </c>
      <c r="AW558" s="2" t="s">
        <v>6918</v>
      </c>
      <c r="AX558" s="2" t="s">
        <v>6919</v>
      </c>
      <c r="AY558" s="2" t="s">
        <v>6920</v>
      </c>
      <c r="AZ558" s="2" t="s">
        <v>6920</v>
      </c>
      <c r="BA558" s="2" t="s">
        <v>6921</v>
      </c>
      <c r="BB558" s="2" t="s">
        <v>20</v>
      </c>
      <c r="BD558" s="2" t="s">
        <v>6922</v>
      </c>
      <c r="BE558" s="2" t="s">
        <v>6923</v>
      </c>
      <c r="BF558" s="2" t="s">
        <v>6924</v>
      </c>
    </row>
    <row r="559" spans="1:58" ht="39.75" customHeight="1" x14ac:dyDescent="0.25">
      <c r="A559" s="7" t="s">
        <v>5</v>
      </c>
      <c r="B559" s="1" t="s">
        <v>0</v>
      </c>
      <c r="C559" s="1" t="s">
        <v>1</v>
      </c>
      <c r="D559" s="1" t="s">
        <v>6925</v>
      </c>
      <c r="E559" s="1" t="s">
        <v>6926</v>
      </c>
      <c r="F559" s="1" t="s">
        <v>6927</v>
      </c>
      <c r="H559" s="2" t="s">
        <v>5</v>
      </c>
      <c r="I559" s="2" t="s">
        <v>6</v>
      </c>
      <c r="J559" s="2" t="s">
        <v>5</v>
      </c>
      <c r="K559" s="2" t="s">
        <v>5</v>
      </c>
      <c r="L559" s="2" t="s">
        <v>7</v>
      </c>
      <c r="M559" s="1" t="s">
        <v>6928</v>
      </c>
      <c r="N559" s="1" t="s">
        <v>6929</v>
      </c>
      <c r="O559" s="2" t="s">
        <v>6930</v>
      </c>
      <c r="Q559" s="2" t="s">
        <v>60</v>
      </c>
      <c r="R559" s="2" t="s">
        <v>277</v>
      </c>
      <c r="T559" s="2" t="s">
        <v>13</v>
      </c>
      <c r="U559" s="3">
        <v>1</v>
      </c>
      <c r="V559" s="3">
        <v>1</v>
      </c>
      <c r="W559" s="4" t="s">
        <v>5150</v>
      </c>
      <c r="X559" s="4" t="s">
        <v>5150</v>
      </c>
      <c r="Y559" s="4" t="s">
        <v>6556</v>
      </c>
      <c r="Z559" s="4" t="s">
        <v>6556</v>
      </c>
      <c r="AA559" s="3">
        <v>165</v>
      </c>
      <c r="AB559" s="3">
        <v>157</v>
      </c>
      <c r="AC559" s="3">
        <v>168</v>
      </c>
      <c r="AD559" s="3">
        <v>3</v>
      </c>
      <c r="AE559" s="9">
        <v>3</v>
      </c>
      <c r="AF559" s="9">
        <v>5</v>
      </c>
      <c r="AG559" s="9">
        <v>5</v>
      </c>
      <c r="AH559" s="3">
        <v>2</v>
      </c>
      <c r="AI559" s="3">
        <v>2</v>
      </c>
      <c r="AJ559" s="3">
        <v>1</v>
      </c>
      <c r="AK559" s="3">
        <v>1</v>
      </c>
      <c r="AL559" s="3">
        <v>0</v>
      </c>
      <c r="AM559" s="3">
        <v>0</v>
      </c>
      <c r="AN559" s="3">
        <v>2</v>
      </c>
      <c r="AO559" s="3">
        <v>2</v>
      </c>
      <c r="AP559" s="3">
        <v>0</v>
      </c>
      <c r="AQ559" s="3">
        <v>0</v>
      </c>
      <c r="AR559" s="2" t="s">
        <v>46</v>
      </c>
      <c r="AS559" s="2" t="s">
        <v>5</v>
      </c>
      <c r="AT559" s="5" t="str">
        <f>HYPERLINK("http://catalog.hathitrust.org/Record/001049366","HathiTrust Record")</f>
        <v>HathiTrust Record</v>
      </c>
      <c r="AU559" s="5" t="str">
        <f>HYPERLINK("https://creighton-primo.hosted.exlibrisgroup.com/primo-explore/search?tab=default_tab&amp;search_scope=EVERYTHING&amp;vid=01CRU&amp;lang=en_US&amp;offset=0&amp;query=any,contains,991003780639702656","Catalog Record")</f>
        <v>Catalog Record</v>
      </c>
      <c r="AV559" s="5" t="str">
        <f>HYPERLINK("http://www.worldcat.org/oclc/1493678","WorldCat Record")</f>
        <v>WorldCat Record</v>
      </c>
      <c r="AW559" s="2" t="s">
        <v>6931</v>
      </c>
      <c r="AX559" s="2" t="s">
        <v>6932</v>
      </c>
      <c r="AY559" s="2" t="s">
        <v>6933</v>
      </c>
      <c r="AZ559" s="2" t="s">
        <v>6933</v>
      </c>
      <c r="BA559" s="2" t="s">
        <v>6934</v>
      </c>
      <c r="BB559" s="2" t="s">
        <v>20</v>
      </c>
      <c r="BE559" s="2" t="s">
        <v>6935</v>
      </c>
      <c r="BF559" s="2" t="s">
        <v>6936</v>
      </c>
    </row>
    <row r="560" spans="1:58" ht="39.75" customHeight="1" x14ac:dyDescent="0.25">
      <c r="A560" s="7" t="s">
        <v>5</v>
      </c>
      <c r="B560" s="1" t="s">
        <v>0</v>
      </c>
      <c r="C560" s="1" t="s">
        <v>1</v>
      </c>
      <c r="D560" s="1" t="s">
        <v>6937</v>
      </c>
      <c r="E560" s="1" t="s">
        <v>6938</v>
      </c>
      <c r="F560" s="1" t="s">
        <v>6939</v>
      </c>
      <c r="H560" s="2" t="s">
        <v>5</v>
      </c>
      <c r="I560" s="2" t="s">
        <v>6</v>
      </c>
      <c r="J560" s="2" t="s">
        <v>5</v>
      </c>
      <c r="K560" s="2" t="s">
        <v>5</v>
      </c>
      <c r="L560" s="2" t="s">
        <v>7</v>
      </c>
      <c r="M560" s="1" t="s">
        <v>6940</v>
      </c>
      <c r="N560" s="1" t="s">
        <v>6941</v>
      </c>
      <c r="O560" s="2" t="s">
        <v>42</v>
      </c>
      <c r="Q560" s="2" t="s">
        <v>1151</v>
      </c>
      <c r="R560" s="2" t="s">
        <v>422</v>
      </c>
      <c r="T560" s="2" t="s">
        <v>13</v>
      </c>
      <c r="U560" s="3">
        <v>1</v>
      </c>
      <c r="V560" s="3">
        <v>1</v>
      </c>
      <c r="W560" s="4" t="s">
        <v>6942</v>
      </c>
      <c r="X560" s="4" t="s">
        <v>6942</v>
      </c>
      <c r="Y560" s="4" t="s">
        <v>6943</v>
      </c>
      <c r="Z560" s="4" t="s">
        <v>6943</v>
      </c>
      <c r="AA560" s="3">
        <v>140</v>
      </c>
      <c r="AB560" s="3">
        <v>138</v>
      </c>
      <c r="AC560" s="3">
        <v>140</v>
      </c>
      <c r="AD560" s="3">
        <v>2</v>
      </c>
      <c r="AE560" s="9">
        <v>2</v>
      </c>
      <c r="AF560" s="9">
        <v>20</v>
      </c>
      <c r="AG560" s="9">
        <v>20</v>
      </c>
      <c r="AH560" s="3">
        <v>5</v>
      </c>
      <c r="AI560" s="3">
        <v>5</v>
      </c>
      <c r="AJ560" s="3">
        <v>6</v>
      </c>
      <c r="AK560" s="3">
        <v>6</v>
      </c>
      <c r="AL560" s="3">
        <v>17</v>
      </c>
      <c r="AM560" s="3">
        <v>17</v>
      </c>
      <c r="AN560" s="3">
        <v>1</v>
      </c>
      <c r="AO560" s="3">
        <v>1</v>
      </c>
      <c r="AP560" s="3">
        <v>0</v>
      </c>
      <c r="AQ560" s="3">
        <v>0</v>
      </c>
      <c r="AR560" s="2" t="s">
        <v>5</v>
      </c>
      <c r="AS560" s="2" t="s">
        <v>46</v>
      </c>
      <c r="AT560" s="5" t="str">
        <f>HYPERLINK("http://catalog.hathitrust.org/Record/002568208","HathiTrust Record")</f>
        <v>HathiTrust Record</v>
      </c>
      <c r="AU560" s="5" t="str">
        <f>HYPERLINK("https://creighton-primo.hosted.exlibrisgroup.com/primo-explore/search?tab=default_tab&amp;search_scope=EVERYTHING&amp;vid=01CRU&amp;lang=en_US&amp;offset=0&amp;query=any,contains,991001823699702656","Catalog Record")</f>
        <v>Catalog Record</v>
      </c>
      <c r="AV560" s="5" t="str">
        <f>HYPERLINK("http://www.worldcat.org/oclc/22908912","WorldCat Record")</f>
        <v>WorldCat Record</v>
      </c>
      <c r="AW560" s="2" t="s">
        <v>6944</v>
      </c>
      <c r="AX560" s="2" t="s">
        <v>6945</v>
      </c>
      <c r="AY560" s="2" t="s">
        <v>6946</v>
      </c>
      <c r="AZ560" s="2" t="s">
        <v>6946</v>
      </c>
      <c r="BA560" s="2" t="s">
        <v>6947</v>
      </c>
      <c r="BB560" s="2" t="s">
        <v>20</v>
      </c>
      <c r="BD560" s="2" t="s">
        <v>6948</v>
      </c>
      <c r="BE560" s="2" t="s">
        <v>6949</v>
      </c>
      <c r="BF560" s="2" t="s">
        <v>6950</v>
      </c>
    </row>
    <row r="561" spans="1:58" ht="39.75" customHeight="1" x14ac:dyDescent="0.25">
      <c r="A561" s="7" t="s">
        <v>5</v>
      </c>
      <c r="B561" s="1" t="s">
        <v>0</v>
      </c>
      <c r="C561" s="1" t="s">
        <v>1</v>
      </c>
      <c r="D561" s="1" t="s">
        <v>6951</v>
      </c>
      <c r="E561" s="1" t="s">
        <v>6952</v>
      </c>
      <c r="F561" s="1" t="s">
        <v>6953</v>
      </c>
      <c r="H561" s="2" t="s">
        <v>5</v>
      </c>
      <c r="I561" s="2" t="s">
        <v>6</v>
      </c>
      <c r="J561" s="2" t="s">
        <v>5</v>
      </c>
      <c r="K561" s="2" t="s">
        <v>5</v>
      </c>
      <c r="L561" s="2" t="s">
        <v>7</v>
      </c>
      <c r="M561" s="1" t="s">
        <v>6400</v>
      </c>
      <c r="N561" s="1" t="s">
        <v>6954</v>
      </c>
      <c r="O561" s="2" t="s">
        <v>177</v>
      </c>
      <c r="Q561" s="2" t="s">
        <v>1151</v>
      </c>
      <c r="R561" s="2" t="s">
        <v>1152</v>
      </c>
      <c r="S561" s="1" t="s">
        <v>6955</v>
      </c>
      <c r="T561" s="2" t="s">
        <v>13</v>
      </c>
      <c r="U561" s="3">
        <v>1</v>
      </c>
      <c r="V561" s="3">
        <v>1</v>
      </c>
      <c r="W561" s="4" t="s">
        <v>5086</v>
      </c>
      <c r="X561" s="4" t="s">
        <v>5086</v>
      </c>
      <c r="Y561" s="4" t="s">
        <v>5086</v>
      </c>
      <c r="Z561" s="4" t="s">
        <v>5086</v>
      </c>
      <c r="AA561" s="3">
        <v>196</v>
      </c>
      <c r="AB561" s="3">
        <v>150</v>
      </c>
      <c r="AC561" s="3">
        <v>152</v>
      </c>
      <c r="AD561" s="3">
        <v>2</v>
      </c>
      <c r="AE561" s="9">
        <v>2</v>
      </c>
      <c r="AF561" s="9">
        <v>12</v>
      </c>
      <c r="AG561" s="9">
        <v>12</v>
      </c>
      <c r="AH561" s="3">
        <v>2</v>
      </c>
      <c r="AI561" s="3">
        <v>2</v>
      </c>
      <c r="AJ561" s="3">
        <v>4</v>
      </c>
      <c r="AK561" s="3">
        <v>4</v>
      </c>
      <c r="AL561" s="3">
        <v>9</v>
      </c>
      <c r="AM561" s="3">
        <v>9</v>
      </c>
      <c r="AN561" s="3">
        <v>1</v>
      </c>
      <c r="AO561" s="3">
        <v>1</v>
      </c>
      <c r="AP561" s="3">
        <v>0</v>
      </c>
      <c r="AQ561" s="3">
        <v>0</v>
      </c>
      <c r="AR561" s="2" t="s">
        <v>5</v>
      </c>
      <c r="AS561" s="2" t="s">
        <v>46</v>
      </c>
      <c r="AT561" s="5" t="str">
        <f>HYPERLINK("http://catalog.hathitrust.org/Record/001037082","HathiTrust Record")</f>
        <v>HathiTrust Record</v>
      </c>
      <c r="AU561" s="5" t="str">
        <f>HYPERLINK("https://creighton-primo.hosted.exlibrisgroup.com/primo-explore/search?tab=default_tab&amp;search_scope=EVERYTHING&amp;vid=01CRU&amp;lang=en_US&amp;offset=0&amp;query=any,contains,991004523409702656","Catalog Record")</f>
        <v>Catalog Record</v>
      </c>
      <c r="AV561" s="5" t="str">
        <f>HYPERLINK("http://www.worldcat.org/oclc/728785","WorldCat Record")</f>
        <v>WorldCat Record</v>
      </c>
      <c r="AW561" s="2" t="s">
        <v>6956</v>
      </c>
      <c r="AX561" s="2" t="s">
        <v>6957</v>
      </c>
      <c r="AY561" s="2" t="s">
        <v>6958</v>
      </c>
      <c r="AZ561" s="2" t="s">
        <v>6958</v>
      </c>
      <c r="BA561" s="2" t="s">
        <v>6959</v>
      </c>
      <c r="BB561" s="2" t="s">
        <v>20</v>
      </c>
      <c r="BE561" s="2" t="s">
        <v>6960</v>
      </c>
      <c r="BF561" s="2" t="s">
        <v>6961</v>
      </c>
    </row>
    <row r="562" spans="1:58" ht="39.75" customHeight="1" x14ac:dyDescent="0.25">
      <c r="A562" s="7" t="s">
        <v>5</v>
      </c>
      <c r="B562" s="1" t="s">
        <v>0</v>
      </c>
      <c r="C562" s="1" t="s">
        <v>1</v>
      </c>
      <c r="D562" s="1" t="s">
        <v>6962</v>
      </c>
      <c r="E562" s="1" t="s">
        <v>6963</v>
      </c>
      <c r="F562" s="1" t="s">
        <v>6964</v>
      </c>
      <c r="H562" s="2" t="s">
        <v>5</v>
      </c>
      <c r="I562" s="2" t="s">
        <v>6</v>
      </c>
      <c r="J562" s="2" t="s">
        <v>5</v>
      </c>
      <c r="K562" s="2" t="s">
        <v>5</v>
      </c>
      <c r="L562" s="2" t="s">
        <v>7</v>
      </c>
      <c r="M562" s="1" t="s">
        <v>6965</v>
      </c>
      <c r="N562" s="1" t="s">
        <v>6966</v>
      </c>
      <c r="O562" s="2" t="s">
        <v>291</v>
      </c>
      <c r="P562" s="1" t="s">
        <v>6967</v>
      </c>
      <c r="Q562" s="2" t="s">
        <v>1151</v>
      </c>
      <c r="R562" s="2" t="s">
        <v>1152</v>
      </c>
      <c r="S562" s="1" t="s">
        <v>6968</v>
      </c>
      <c r="T562" s="2" t="s">
        <v>13</v>
      </c>
      <c r="U562" s="3">
        <v>1</v>
      </c>
      <c r="V562" s="3">
        <v>1</v>
      </c>
      <c r="W562" s="4" t="s">
        <v>5086</v>
      </c>
      <c r="X562" s="4" t="s">
        <v>5086</v>
      </c>
      <c r="Y562" s="4" t="s">
        <v>5086</v>
      </c>
      <c r="Z562" s="4" t="s">
        <v>5086</v>
      </c>
      <c r="AA562" s="3">
        <v>14</v>
      </c>
      <c r="AB562" s="3">
        <v>14</v>
      </c>
      <c r="AC562" s="3">
        <v>28</v>
      </c>
      <c r="AD562" s="3">
        <v>1</v>
      </c>
      <c r="AE562" s="9">
        <v>1</v>
      </c>
      <c r="AF562" s="9">
        <v>2</v>
      </c>
      <c r="AG562" s="9">
        <v>2</v>
      </c>
      <c r="AH562" s="3">
        <v>1</v>
      </c>
      <c r="AI562" s="3">
        <v>1</v>
      </c>
      <c r="AJ562" s="3">
        <v>1</v>
      </c>
      <c r="AK562" s="3">
        <v>1</v>
      </c>
      <c r="AL562" s="3">
        <v>2</v>
      </c>
      <c r="AM562" s="3">
        <v>2</v>
      </c>
      <c r="AN562" s="3">
        <v>0</v>
      </c>
      <c r="AO562" s="3">
        <v>0</v>
      </c>
      <c r="AP562" s="3">
        <v>0</v>
      </c>
      <c r="AQ562" s="3">
        <v>0</v>
      </c>
      <c r="AR562" s="2" t="s">
        <v>5</v>
      </c>
      <c r="AS562" s="2" t="s">
        <v>5</v>
      </c>
      <c r="AU562" s="5" t="str">
        <f>HYPERLINK("https://creighton-primo.hosted.exlibrisgroup.com/primo-explore/search?tab=default_tab&amp;search_scope=EVERYTHING&amp;vid=01CRU&amp;lang=en_US&amp;offset=0&amp;query=any,contains,991004523179702656","Catalog Record")</f>
        <v>Catalog Record</v>
      </c>
      <c r="AV562" s="5" t="str">
        <f>HYPERLINK("http://www.worldcat.org/oclc/13348887","WorldCat Record")</f>
        <v>WorldCat Record</v>
      </c>
      <c r="AW562" s="2" t="s">
        <v>6969</v>
      </c>
      <c r="AX562" s="2" t="s">
        <v>6970</v>
      </c>
      <c r="AY562" s="2" t="s">
        <v>6971</v>
      </c>
      <c r="AZ562" s="2" t="s">
        <v>6971</v>
      </c>
      <c r="BA562" s="2" t="s">
        <v>6972</v>
      </c>
      <c r="BB562" s="2" t="s">
        <v>20</v>
      </c>
      <c r="BD562" s="2" t="s">
        <v>6973</v>
      </c>
      <c r="BE562" s="2" t="s">
        <v>6974</v>
      </c>
      <c r="BF562" s="2" t="s">
        <v>6975</v>
      </c>
    </row>
    <row r="563" spans="1:58" ht="39.75" customHeight="1" x14ac:dyDescent="0.25">
      <c r="A563" s="7" t="s">
        <v>5</v>
      </c>
      <c r="B563" s="1" t="s">
        <v>0</v>
      </c>
      <c r="C563" s="1" t="s">
        <v>1</v>
      </c>
      <c r="D563" s="1" t="s">
        <v>6976</v>
      </c>
      <c r="E563" s="1" t="s">
        <v>6977</v>
      </c>
      <c r="F563" s="1" t="s">
        <v>6978</v>
      </c>
      <c r="H563" s="2" t="s">
        <v>5</v>
      </c>
      <c r="I563" s="2" t="s">
        <v>6</v>
      </c>
      <c r="J563" s="2" t="s">
        <v>5</v>
      </c>
      <c r="K563" s="2" t="s">
        <v>5</v>
      </c>
      <c r="L563" s="2" t="s">
        <v>7</v>
      </c>
      <c r="M563" s="1" t="s">
        <v>5885</v>
      </c>
      <c r="N563" s="1" t="s">
        <v>6979</v>
      </c>
      <c r="O563" s="2" t="s">
        <v>276</v>
      </c>
      <c r="Q563" s="2" t="s">
        <v>60</v>
      </c>
      <c r="R563" s="2" t="s">
        <v>277</v>
      </c>
      <c r="S563" s="1" t="s">
        <v>6980</v>
      </c>
      <c r="T563" s="2" t="s">
        <v>13</v>
      </c>
      <c r="U563" s="3">
        <v>1</v>
      </c>
      <c r="V563" s="3">
        <v>1</v>
      </c>
      <c r="W563" s="4" t="s">
        <v>6981</v>
      </c>
      <c r="X563" s="4" t="s">
        <v>6981</v>
      </c>
      <c r="Y563" s="4" t="s">
        <v>6556</v>
      </c>
      <c r="Z563" s="4" t="s">
        <v>6556</v>
      </c>
      <c r="AA563" s="3">
        <v>557</v>
      </c>
      <c r="AB563" s="3">
        <v>480</v>
      </c>
      <c r="AC563" s="3">
        <v>487</v>
      </c>
      <c r="AD563" s="3">
        <v>3</v>
      </c>
      <c r="AE563" s="9">
        <v>3</v>
      </c>
      <c r="AF563" s="9">
        <v>25</v>
      </c>
      <c r="AG563" s="9">
        <v>25</v>
      </c>
      <c r="AH563" s="3">
        <v>11</v>
      </c>
      <c r="AI563" s="3">
        <v>11</v>
      </c>
      <c r="AJ563" s="3">
        <v>7</v>
      </c>
      <c r="AK563" s="3">
        <v>7</v>
      </c>
      <c r="AL563" s="3">
        <v>13</v>
      </c>
      <c r="AM563" s="3">
        <v>13</v>
      </c>
      <c r="AN563" s="3">
        <v>2</v>
      </c>
      <c r="AO563" s="3">
        <v>2</v>
      </c>
      <c r="AP563" s="3">
        <v>0</v>
      </c>
      <c r="AQ563" s="3">
        <v>0</v>
      </c>
      <c r="AR563" s="2" t="s">
        <v>5</v>
      </c>
      <c r="AS563" s="2" t="s">
        <v>46</v>
      </c>
      <c r="AT563" s="5" t="str">
        <f>HYPERLINK("http://catalog.hathitrust.org/Record/000035145","HathiTrust Record")</f>
        <v>HathiTrust Record</v>
      </c>
      <c r="AU563" s="5" t="str">
        <f>HYPERLINK("https://creighton-primo.hosted.exlibrisgroup.com/primo-explore/search?tab=default_tab&amp;search_scope=EVERYTHING&amp;vid=01CRU&amp;lang=en_US&amp;offset=0&amp;query=any,contains,991003830309702656","Catalog Record")</f>
        <v>Catalog Record</v>
      </c>
      <c r="AV563" s="5" t="str">
        <f>HYPERLINK("http://www.worldcat.org/oclc/1584004","WorldCat Record")</f>
        <v>WorldCat Record</v>
      </c>
      <c r="AW563" s="2" t="s">
        <v>6982</v>
      </c>
      <c r="AX563" s="2" t="s">
        <v>6983</v>
      </c>
      <c r="AY563" s="2" t="s">
        <v>6984</v>
      </c>
      <c r="AZ563" s="2" t="s">
        <v>6984</v>
      </c>
      <c r="BA563" s="2" t="s">
        <v>6985</v>
      </c>
      <c r="BB563" s="2" t="s">
        <v>20</v>
      </c>
      <c r="BD563" s="2" t="s">
        <v>6986</v>
      </c>
      <c r="BE563" s="2" t="s">
        <v>6987</v>
      </c>
      <c r="BF563" s="2" t="s">
        <v>6988</v>
      </c>
    </row>
    <row r="564" spans="1:58" ht="39.75" customHeight="1" x14ac:dyDescent="0.25">
      <c r="A564" s="7" t="s">
        <v>5</v>
      </c>
      <c r="B564" s="1" t="s">
        <v>0</v>
      </c>
      <c r="C564" s="1" t="s">
        <v>1</v>
      </c>
      <c r="D564" s="1" t="s">
        <v>6989</v>
      </c>
      <c r="E564" s="1" t="s">
        <v>6990</v>
      </c>
      <c r="F564" s="1" t="s">
        <v>6991</v>
      </c>
      <c r="H564" s="2" t="s">
        <v>5</v>
      </c>
      <c r="I564" s="2" t="s">
        <v>6</v>
      </c>
      <c r="J564" s="2" t="s">
        <v>5</v>
      </c>
      <c r="K564" s="2" t="s">
        <v>5</v>
      </c>
      <c r="L564" s="2" t="s">
        <v>7</v>
      </c>
      <c r="M564" s="1" t="s">
        <v>6992</v>
      </c>
      <c r="N564" s="1" t="s">
        <v>6993</v>
      </c>
      <c r="O564" s="2" t="s">
        <v>3941</v>
      </c>
      <c r="Q564" s="2" t="s">
        <v>1151</v>
      </c>
      <c r="R564" s="2" t="s">
        <v>6994</v>
      </c>
      <c r="S564" s="1" t="s">
        <v>6995</v>
      </c>
      <c r="T564" s="2" t="s">
        <v>13</v>
      </c>
      <c r="U564" s="3">
        <v>2</v>
      </c>
      <c r="V564" s="3">
        <v>2</v>
      </c>
      <c r="W564" s="4" t="s">
        <v>6996</v>
      </c>
      <c r="X564" s="4" t="s">
        <v>6996</v>
      </c>
      <c r="Y564" s="4" t="s">
        <v>6997</v>
      </c>
      <c r="Z564" s="4" t="s">
        <v>6997</v>
      </c>
      <c r="AA564" s="3">
        <v>13</v>
      </c>
      <c r="AB564" s="3">
        <v>13</v>
      </c>
      <c r="AC564" s="3">
        <v>14</v>
      </c>
      <c r="AD564" s="3">
        <v>1</v>
      </c>
      <c r="AE564" s="9">
        <v>1</v>
      </c>
      <c r="AF564" s="9">
        <v>0</v>
      </c>
      <c r="AG564" s="9">
        <v>0</v>
      </c>
      <c r="AH564" s="3">
        <v>0</v>
      </c>
      <c r="AI564" s="3">
        <v>0</v>
      </c>
      <c r="AJ564" s="3">
        <v>0</v>
      </c>
      <c r="AK564" s="3">
        <v>0</v>
      </c>
      <c r="AL564" s="3">
        <v>0</v>
      </c>
      <c r="AM564" s="3">
        <v>0</v>
      </c>
      <c r="AN564" s="3">
        <v>0</v>
      </c>
      <c r="AO564" s="3">
        <v>0</v>
      </c>
      <c r="AP564" s="3">
        <v>0</v>
      </c>
      <c r="AQ564" s="3">
        <v>0</v>
      </c>
      <c r="AR564" s="2" t="s">
        <v>5</v>
      </c>
      <c r="AS564" s="2" t="s">
        <v>5</v>
      </c>
      <c r="AU564" s="5" t="str">
        <f>HYPERLINK("https://creighton-primo.hosted.exlibrisgroup.com/primo-explore/search?tab=default_tab&amp;search_scope=EVERYTHING&amp;vid=01CRU&amp;lang=en_US&amp;offset=0&amp;query=any,contains,991003808349702656","Catalog Record")</f>
        <v>Catalog Record</v>
      </c>
      <c r="AV564" s="5" t="str">
        <f>HYPERLINK("http://www.worldcat.org/oclc/49013481","WorldCat Record")</f>
        <v>WorldCat Record</v>
      </c>
      <c r="AW564" s="2" t="s">
        <v>6998</v>
      </c>
      <c r="AX564" s="2" t="s">
        <v>6999</v>
      </c>
      <c r="AY564" s="2" t="s">
        <v>7000</v>
      </c>
      <c r="AZ564" s="2" t="s">
        <v>7000</v>
      </c>
      <c r="BA564" s="2" t="s">
        <v>7001</v>
      </c>
      <c r="BB564" s="2" t="s">
        <v>20</v>
      </c>
      <c r="BD564" s="2" t="s">
        <v>7002</v>
      </c>
      <c r="BE564" s="2" t="s">
        <v>7003</v>
      </c>
      <c r="BF564" s="2" t="s">
        <v>7004</v>
      </c>
    </row>
    <row r="565" spans="1:58" ht="39.75" customHeight="1" x14ac:dyDescent="0.25">
      <c r="A565" s="7" t="s">
        <v>5</v>
      </c>
      <c r="B565" s="1" t="s">
        <v>0</v>
      </c>
      <c r="C565" s="1" t="s">
        <v>1</v>
      </c>
      <c r="D565" s="1" t="s">
        <v>7005</v>
      </c>
      <c r="E565" s="1" t="s">
        <v>7006</v>
      </c>
      <c r="F565" s="1" t="s">
        <v>7007</v>
      </c>
      <c r="H565" s="2" t="s">
        <v>5</v>
      </c>
      <c r="I565" s="2" t="s">
        <v>6</v>
      </c>
      <c r="J565" s="2" t="s">
        <v>5</v>
      </c>
      <c r="K565" s="2" t="s">
        <v>46</v>
      </c>
      <c r="L565" s="2" t="s">
        <v>7</v>
      </c>
      <c r="M565" s="1" t="s">
        <v>7008</v>
      </c>
      <c r="N565" s="1" t="s">
        <v>7009</v>
      </c>
      <c r="O565" s="2" t="s">
        <v>7010</v>
      </c>
      <c r="Q565" s="2" t="s">
        <v>1151</v>
      </c>
      <c r="R565" s="2" t="s">
        <v>61</v>
      </c>
      <c r="T565" s="2" t="s">
        <v>13</v>
      </c>
      <c r="U565" s="3">
        <v>1</v>
      </c>
      <c r="V565" s="3">
        <v>1</v>
      </c>
      <c r="W565" s="4" t="s">
        <v>7011</v>
      </c>
      <c r="X565" s="4" t="s">
        <v>7011</v>
      </c>
      <c r="Y565" s="4" t="s">
        <v>7012</v>
      </c>
      <c r="Z565" s="4" t="s">
        <v>7012</v>
      </c>
      <c r="AA565" s="3">
        <v>198</v>
      </c>
      <c r="AB565" s="3">
        <v>189</v>
      </c>
      <c r="AC565" s="3">
        <v>1204</v>
      </c>
      <c r="AD565" s="3">
        <v>4</v>
      </c>
      <c r="AE565" s="9">
        <v>6</v>
      </c>
      <c r="AF565" s="9">
        <v>9</v>
      </c>
      <c r="AG565" s="9">
        <v>50</v>
      </c>
      <c r="AH565" s="3">
        <v>4</v>
      </c>
      <c r="AI565" s="3">
        <v>26</v>
      </c>
      <c r="AJ565" s="3">
        <v>0</v>
      </c>
      <c r="AK565" s="3">
        <v>10</v>
      </c>
      <c r="AL565" s="3">
        <v>4</v>
      </c>
      <c r="AM565" s="3">
        <v>23</v>
      </c>
      <c r="AN565" s="3">
        <v>3</v>
      </c>
      <c r="AO565" s="3">
        <v>5</v>
      </c>
      <c r="AP565" s="3">
        <v>0</v>
      </c>
      <c r="AQ565" s="3">
        <v>0</v>
      </c>
      <c r="AR565" s="2" t="s">
        <v>46</v>
      </c>
      <c r="AS565" s="2" t="s">
        <v>5</v>
      </c>
      <c r="AT565" s="5" t="str">
        <f>HYPERLINK("http://catalog.hathitrust.org/Record/006537796","HathiTrust Record")</f>
        <v>HathiTrust Record</v>
      </c>
      <c r="AU565" s="5" t="str">
        <f>HYPERLINK("https://creighton-primo.hosted.exlibrisgroup.com/primo-explore/search?tab=default_tab&amp;search_scope=EVERYTHING&amp;vid=01CRU&amp;lang=en_US&amp;offset=0&amp;query=any,contains,991003477459702656","Catalog Record")</f>
        <v>Catalog Record</v>
      </c>
      <c r="AV565" s="5" t="str">
        <f>HYPERLINK("http://www.worldcat.org/oclc/1022758","WorldCat Record")</f>
        <v>WorldCat Record</v>
      </c>
      <c r="AW565" s="2" t="s">
        <v>7013</v>
      </c>
      <c r="AX565" s="2" t="s">
        <v>7014</v>
      </c>
      <c r="AY565" s="2" t="s">
        <v>7015</v>
      </c>
      <c r="AZ565" s="2" t="s">
        <v>7015</v>
      </c>
      <c r="BA565" s="2" t="s">
        <v>7016</v>
      </c>
      <c r="BB565" s="2" t="s">
        <v>20</v>
      </c>
      <c r="BE565" s="2" t="s">
        <v>7017</v>
      </c>
      <c r="BF565" s="2" t="s">
        <v>7018</v>
      </c>
    </row>
    <row r="566" spans="1:58" ht="39.75" customHeight="1" x14ac:dyDescent="0.25">
      <c r="A566" s="7" t="s">
        <v>5</v>
      </c>
      <c r="B566" s="1" t="s">
        <v>0</v>
      </c>
      <c r="C566" s="1" t="s">
        <v>1</v>
      </c>
      <c r="D566" s="1" t="s">
        <v>7019</v>
      </c>
      <c r="E566" s="1" t="s">
        <v>7020</v>
      </c>
      <c r="F566" s="1" t="s">
        <v>7021</v>
      </c>
      <c r="H566" s="2" t="s">
        <v>5</v>
      </c>
      <c r="I566" s="2" t="s">
        <v>6</v>
      </c>
      <c r="J566" s="2" t="s">
        <v>5</v>
      </c>
      <c r="K566" s="2" t="s">
        <v>46</v>
      </c>
      <c r="L566" s="2" t="s">
        <v>7</v>
      </c>
      <c r="M566" s="1" t="s">
        <v>7008</v>
      </c>
      <c r="N566" s="1" t="s">
        <v>7022</v>
      </c>
      <c r="O566" s="2" t="s">
        <v>524</v>
      </c>
      <c r="Q566" s="2" t="s">
        <v>1151</v>
      </c>
      <c r="R566" s="2" t="s">
        <v>1152</v>
      </c>
      <c r="S566" s="1" t="s">
        <v>7023</v>
      </c>
      <c r="T566" s="2" t="s">
        <v>13</v>
      </c>
      <c r="U566" s="3">
        <v>1</v>
      </c>
      <c r="V566" s="3">
        <v>1</v>
      </c>
      <c r="W566" s="4" t="s">
        <v>7011</v>
      </c>
      <c r="X566" s="4" t="s">
        <v>7011</v>
      </c>
      <c r="Y566" s="4" t="s">
        <v>6556</v>
      </c>
      <c r="Z566" s="4" t="s">
        <v>6556</v>
      </c>
      <c r="AA566" s="3">
        <v>147</v>
      </c>
      <c r="AB566" s="3">
        <v>124</v>
      </c>
      <c r="AC566" s="3">
        <v>1204</v>
      </c>
      <c r="AD566" s="3">
        <v>2</v>
      </c>
      <c r="AE566" s="9">
        <v>6</v>
      </c>
      <c r="AF566" s="9">
        <v>7</v>
      </c>
      <c r="AG566" s="9">
        <v>50</v>
      </c>
      <c r="AH566" s="3">
        <v>4</v>
      </c>
      <c r="AI566" s="3">
        <v>26</v>
      </c>
      <c r="AJ566" s="3">
        <v>0</v>
      </c>
      <c r="AK566" s="3">
        <v>10</v>
      </c>
      <c r="AL566" s="3">
        <v>2</v>
      </c>
      <c r="AM566" s="3">
        <v>23</v>
      </c>
      <c r="AN566" s="3">
        <v>1</v>
      </c>
      <c r="AO566" s="3">
        <v>5</v>
      </c>
      <c r="AP566" s="3">
        <v>0</v>
      </c>
      <c r="AQ566" s="3">
        <v>0</v>
      </c>
      <c r="AR566" s="2" t="s">
        <v>5</v>
      </c>
      <c r="AS566" s="2" t="s">
        <v>46</v>
      </c>
      <c r="AT566" s="5" t="str">
        <f>HYPERLINK("http://catalog.hathitrust.org/Record/007126412","HathiTrust Record")</f>
        <v>HathiTrust Record</v>
      </c>
      <c r="AU566" s="5" t="str">
        <f>HYPERLINK("https://creighton-primo.hosted.exlibrisgroup.com/primo-explore/search?tab=default_tab&amp;search_scope=EVERYTHING&amp;vid=01CRU&amp;lang=en_US&amp;offset=0&amp;query=any,contains,991004161789702656","Catalog Record")</f>
        <v>Catalog Record</v>
      </c>
      <c r="AV566" s="5" t="str">
        <f>HYPERLINK("http://www.worldcat.org/oclc/2553724","WorldCat Record")</f>
        <v>WorldCat Record</v>
      </c>
      <c r="AW566" s="2" t="s">
        <v>7013</v>
      </c>
      <c r="AX566" s="2" t="s">
        <v>7024</v>
      </c>
      <c r="AY566" s="2" t="s">
        <v>7025</v>
      </c>
      <c r="AZ566" s="2" t="s">
        <v>7025</v>
      </c>
      <c r="BA566" s="2" t="s">
        <v>7026</v>
      </c>
      <c r="BB566" s="2" t="s">
        <v>20</v>
      </c>
      <c r="BE566" s="2" t="s">
        <v>7027</v>
      </c>
      <c r="BF566" s="2" t="s">
        <v>7028</v>
      </c>
    </row>
    <row r="567" spans="1:58" ht="39.75" customHeight="1" x14ac:dyDescent="0.25">
      <c r="A567" s="7" t="s">
        <v>5</v>
      </c>
      <c r="B567" s="1" t="s">
        <v>0</v>
      </c>
      <c r="C567" s="1" t="s">
        <v>1</v>
      </c>
      <c r="D567" s="1" t="s">
        <v>7029</v>
      </c>
      <c r="E567" s="1" t="s">
        <v>7030</v>
      </c>
      <c r="F567" s="1" t="s">
        <v>7031</v>
      </c>
      <c r="H567" s="2" t="s">
        <v>5</v>
      </c>
      <c r="I567" s="2" t="s">
        <v>6</v>
      </c>
      <c r="J567" s="2" t="s">
        <v>5</v>
      </c>
      <c r="K567" s="2" t="s">
        <v>5</v>
      </c>
      <c r="L567" s="2" t="s">
        <v>7</v>
      </c>
      <c r="M567" s="1" t="s">
        <v>7008</v>
      </c>
      <c r="N567" s="1" t="s">
        <v>7032</v>
      </c>
      <c r="O567" s="2" t="s">
        <v>7033</v>
      </c>
      <c r="Q567" s="2" t="s">
        <v>60</v>
      </c>
      <c r="R567" s="2" t="s">
        <v>7034</v>
      </c>
      <c r="T567" s="2" t="s">
        <v>13</v>
      </c>
      <c r="U567" s="3">
        <v>1</v>
      </c>
      <c r="V567" s="3">
        <v>1</v>
      </c>
      <c r="W567" s="4" t="s">
        <v>7035</v>
      </c>
      <c r="X567" s="4" t="s">
        <v>7035</v>
      </c>
      <c r="Y567" s="4" t="s">
        <v>6556</v>
      </c>
      <c r="Z567" s="4" t="s">
        <v>6556</v>
      </c>
      <c r="AA567" s="3">
        <v>27</v>
      </c>
      <c r="AB567" s="3">
        <v>18</v>
      </c>
      <c r="AC567" s="3">
        <v>59</v>
      </c>
      <c r="AD567" s="3">
        <v>1</v>
      </c>
      <c r="AE567" s="9">
        <v>1</v>
      </c>
      <c r="AF567" s="9">
        <v>2</v>
      </c>
      <c r="AG567" s="9">
        <v>2</v>
      </c>
      <c r="AH567" s="3">
        <v>0</v>
      </c>
      <c r="AI567" s="3">
        <v>0</v>
      </c>
      <c r="AJ567" s="3">
        <v>0</v>
      </c>
      <c r="AK567" s="3">
        <v>0</v>
      </c>
      <c r="AL567" s="3">
        <v>2</v>
      </c>
      <c r="AM567" s="3">
        <v>2</v>
      </c>
      <c r="AN567" s="3">
        <v>0</v>
      </c>
      <c r="AO567" s="3">
        <v>0</v>
      </c>
      <c r="AP567" s="3">
        <v>0</v>
      </c>
      <c r="AQ567" s="3">
        <v>0</v>
      </c>
      <c r="AR567" s="2" t="s">
        <v>46</v>
      </c>
      <c r="AS567" s="2" t="s">
        <v>5</v>
      </c>
      <c r="AT567" s="5" t="str">
        <f>HYPERLINK("http://catalog.hathitrust.org/Record/011530889","HathiTrust Record")</f>
        <v>HathiTrust Record</v>
      </c>
      <c r="AU567" s="5" t="str">
        <f>HYPERLINK("https://creighton-primo.hosted.exlibrisgroup.com/primo-explore/search?tab=default_tab&amp;search_scope=EVERYTHING&amp;vid=01CRU&amp;lang=en_US&amp;offset=0&amp;query=any,contains,991003978819702656","Catalog Record")</f>
        <v>Catalog Record</v>
      </c>
      <c r="AV567" s="5" t="str">
        <f>HYPERLINK("http://www.worldcat.org/oclc/2014913","WorldCat Record")</f>
        <v>WorldCat Record</v>
      </c>
      <c r="AW567" s="2" t="s">
        <v>7036</v>
      </c>
      <c r="AX567" s="2" t="s">
        <v>7037</v>
      </c>
      <c r="AY567" s="2" t="s">
        <v>7038</v>
      </c>
      <c r="AZ567" s="2" t="s">
        <v>7038</v>
      </c>
      <c r="BA567" s="2" t="s">
        <v>7039</v>
      </c>
      <c r="BB567" s="2" t="s">
        <v>20</v>
      </c>
      <c r="BE567" s="2" t="s">
        <v>7040</v>
      </c>
      <c r="BF567" s="2" t="s">
        <v>7041</v>
      </c>
    </row>
    <row r="568" spans="1:58" ht="39.75" customHeight="1" x14ac:dyDescent="0.25">
      <c r="A568" s="7" t="s">
        <v>5</v>
      </c>
      <c r="B568" s="1" t="s">
        <v>0</v>
      </c>
      <c r="C568" s="1" t="s">
        <v>1</v>
      </c>
      <c r="D568" s="1" t="s">
        <v>7042</v>
      </c>
      <c r="E568" s="1" t="s">
        <v>7043</v>
      </c>
      <c r="F568" s="1" t="s">
        <v>7044</v>
      </c>
      <c r="H568" s="2" t="s">
        <v>5</v>
      </c>
      <c r="I568" s="2" t="s">
        <v>6</v>
      </c>
      <c r="J568" s="2" t="s">
        <v>5</v>
      </c>
      <c r="K568" s="2" t="s">
        <v>5</v>
      </c>
      <c r="L568" s="2" t="s">
        <v>7</v>
      </c>
      <c r="M568" s="1" t="s">
        <v>7045</v>
      </c>
      <c r="N568" s="1" t="s">
        <v>7046</v>
      </c>
      <c r="O568" s="2" t="s">
        <v>995</v>
      </c>
      <c r="Q568" s="2" t="s">
        <v>60</v>
      </c>
      <c r="R568" s="2" t="s">
        <v>1123</v>
      </c>
      <c r="S568" s="1" t="s">
        <v>7047</v>
      </c>
      <c r="T568" s="2" t="s">
        <v>13</v>
      </c>
      <c r="U568" s="3">
        <v>3</v>
      </c>
      <c r="V568" s="3">
        <v>3</v>
      </c>
      <c r="W568" s="4" t="s">
        <v>4952</v>
      </c>
      <c r="X568" s="4" t="s">
        <v>4952</v>
      </c>
      <c r="Y568" s="4" t="s">
        <v>180</v>
      </c>
      <c r="Z568" s="4" t="s">
        <v>180</v>
      </c>
      <c r="AA568" s="3">
        <v>257</v>
      </c>
      <c r="AB568" s="3">
        <v>223</v>
      </c>
      <c r="AC568" s="3">
        <v>230</v>
      </c>
      <c r="AD568" s="3">
        <v>3</v>
      </c>
      <c r="AE568" s="9">
        <v>3</v>
      </c>
      <c r="AF568" s="9">
        <v>7</v>
      </c>
      <c r="AG568" s="9">
        <v>7</v>
      </c>
      <c r="AH568" s="3">
        <v>2</v>
      </c>
      <c r="AI568" s="3">
        <v>2</v>
      </c>
      <c r="AJ568" s="3">
        <v>2</v>
      </c>
      <c r="AK568" s="3">
        <v>2</v>
      </c>
      <c r="AL568" s="3">
        <v>4</v>
      </c>
      <c r="AM568" s="3">
        <v>4</v>
      </c>
      <c r="AN568" s="3">
        <v>2</v>
      </c>
      <c r="AO568" s="3">
        <v>2</v>
      </c>
      <c r="AP568" s="3">
        <v>0</v>
      </c>
      <c r="AQ568" s="3">
        <v>0</v>
      </c>
      <c r="AR568" s="2" t="s">
        <v>5</v>
      </c>
      <c r="AS568" s="2" t="s">
        <v>46</v>
      </c>
      <c r="AT568" s="5" t="str">
        <f>HYPERLINK("http://catalog.hathitrust.org/Record/004454936","HathiTrust Record")</f>
        <v>HathiTrust Record</v>
      </c>
      <c r="AU568" s="5" t="str">
        <f>HYPERLINK("https://creighton-primo.hosted.exlibrisgroup.com/primo-explore/search?tab=default_tab&amp;search_scope=EVERYTHING&amp;vid=01CRU&amp;lang=en_US&amp;offset=0&amp;query=any,contains,991005096459702656","Catalog Record")</f>
        <v>Catalog Record</v>
      </c>
      <c r="AV568" s="5" t="str">
        <f>HYPERLINK("http://www.worldcat.org/oclc/7273933","WorldCat Record")</f>
        <v>WorldCat Record</v>
      </c>
      <c r="AW568" s="2" t="s">
        <v>7048</v>
      </c>
      <c r="AX568" s="2" t="s">
        <v>7049</v>
      </c>
      <c r="AY568" s="2" t="s">
        <v>7050</v>
      </c>
      <c r="AZ568" s="2" t="s">
        <v>7050</v>
      </c>
      <c r="BA568" s="2" t="s">
        <v>7051</v>
      </c>
      <c r="BB568" s="2" t="s">
        <v>20</v>
      </c>
      <c r="BD568" s="2" t="s">
        <v>7052</v>
      </c>
      <c r="BE568" s="2" t="s">
        <v>7053</v>
      </c>
      <c r="BF568" s="2" t="s">
        <v>7054</v>
      </c>
    </row>
    <row r="569" spans="1:58" ht="39.75" customHeight="1" x14ac:dyDescent="0.25">
      <c r="A569" s="7" t="s">
        <v>5</v>
      </c>
      <c r="B569" s="1" t="s">
        <v>0</v>
      </c>
      <c r="C569" s="1" t="s">
        <v>1</v>
      </c>
      <c r="D569" s="1" t="s">
        <v>7055</v>
      </c>
      <c r="E569" s="1" t="s">
        <v>7056</v>
      </c>
      <c r="F569" s="1" t="s">
        <v>7057</v>
      </c>
      <c r="H569" s="2" t="s">
        <v>5</v>
      </c>
      <c r="I569" s="2" t="s">
        <v>6</v>
      </c>
      <c r="J569" s="2" t="s">
        <v>5</v>
      </c>
      <c r="K569" s="2" t="s">
        <v>5</v>
      </c>
      <c r="L569" s="2" t="s">
        <v>7</v>
      </c>
      <c r="M569" s="1" t="s">
        <v>7058</v>
      </c>
      <c r="N569" s="1" t="s">
        <v>7059</v>
      </c>
      <c r="O569" s="2" t="s">
        <v>1037</v>
      </c>
      <c r="Q569" s="2" t="s">
        <v>60</v>
      </c>
      <c r="R569" s="2" t="s">
        <v>61</v>
      </c>
      <c r="T569" s="2" t="s">
        <v>13</v>
      </c>
      <c r="U569" s="3">
        <v>1</v>
      </c>
      <c r="V569" s="3">
        <v>1</v>
      </c>
      <c r="W569" s="4" t="s">
        <v>7060</v>
      </c>
      <c r="X569" s="4" t="s">
        <v>7060</v>
      </c>
      <c r="Y569" s="4" t="s">
        <v>4967</v>
      </c>
      <c r="Z569" s="4" t="s">
        <v>4967</v>
      </c>
      <c r="AA569" s="3">
        <v>664</v>
      </c>
      <c r="AB569" s="3">
        <v>636</v>
      </c>
      <c r="AC569" s="3">
        <v>993</v>
      </c>
      <c r="AD569" s="3">
        <v>5</v>
      </c>
      <c r="AE569" s="9">
        <v>9</v>
      </c>
      <c r="AF569" s="9">
        <v>28</v>
      </c>
      <c r="AG569" s="9">
        <v>48</v>
      </c>
      <c r="AH569" s="3">
        <v>12</v>
      </c>
      <c r="AI569" s="3">
        <v>23</v>
      </c>
      <c r="AJ569" s="3">
        <v>6</v>
      </c>
      <c r="AK569" s="3">
        <v>9</v>
      </c>
      <c r="AL569" s="3">
        <v>13</v>
      </c>
      <c r="AM569" s="3">
        <v>20</v>
      </c>
      <c r="AN569" s="3">
        <v>3</v>
      </c>
      <c r="AO569" s="3">
        <v>7</v>
      </c>
      <c r="AP569" s="3">
        <v>0</v>
      </c>
      <c r="AQ569" s="3">
        <v>0</v>
      </c>
      <c r="AR569" s="2" t="s">
        <v>5</v>
      </c>
      <c r="AS569" s="2" t="s">
        <v>5</v>
      </c>
      <c r="AU569" s="5" t="str">
        <f>HYPERLINK("https://creighton-primo.hosted.exlibrisgroup.com/primo-explore/search?tab=default_tab&amp;search_scope=EVERYTHING&amp;vid=01CRU&amp;lang=en_US&amp;offset=0&amp;query=any,contains,991002399549702656","Catalog Record")</f>
        <v>Catalog Record</v>
      </c>
      <c r="AV569" s="5" t="str">
        <f>HYPERLINK("http://www.worldcat.org/oclc/336260","WorldCat Record")</f>
        <v>WorldCat Record</v>
      </c>
      <c r="AW569" s="2" t="s">
        <v>7061</v>
      </c>
      <c r="AX569" s="2" t="s">
        <v>7062</v>
      </c>
      <c r="AY569" s="2" t="s">
        <v>7063</v>
      </c>
      <c r="AZ569" s="2" t="s">
        <v>7063</v>
      </c>
      <c r="BA569" s="2" t="s">
        <v>7064</v>
      </c>
      <c r="BB569" s="2" t="s">
        <v>20</v>
      </c>
      <c r="BE569" s="2" t="s">
        <v>7065</v>
      </c>
      <c r="BF569" s="2" t="s">
        <v>7066</v>
      </c>
    </row>
    <row r="570" spans="1:58" ht="39.75" customHeight="1" x14ac:dyDescent="0.25">
      <c r="A570" s="7" t="s">
        <v>5</v>
      </c>
      <c r="B570" s="1" t="s">
        <v>0</v>
      </c>
      <c r="C570" s="1" t="s">
        <v>1</v>
      </c>
      <c r="D570" s="1" t="s">
        <v>7067</v>
      </c>
      <c r="E570" s="1" t="s">
        <v>7068</v>
      </c>
      <c r="F570" s="1" t="s">
        <v>7069</v>
      </c>
      <c r="H570" s="2" t="s">
        <v>5</v>
      </c>
      <c r="I570" s="2" t="s">
        <v>6</v>
      </c>
      <c r="J570" s="2" t="s">
        <v>5</v>
      </c>
      <c r="K570" s="2" t="s">
        <v>5</v>
      </c>
      <c r="L570" s="2" t="s">
        <v>7</v>
      </c>
      <c r="M570" s="1" t="s">
        <v>7070</v>
      </c>
      <c r="N570" s="1" t="s">
        <v>7071</v>
      </c>
      <c r="O570" s="2" t="s">
        <v>76</v>
      </c>
      <c r="Q570" s="2" t="s">
        <v>1151</v>
      </c>
      <c r="R570" s="2" t="s">
        <v>1152</v>
      </c>
      <c r="S570" s="1" t="s">
        <v>7072</v>
      </c>
      <c r="T570" s="2" t="s">
        <v>13</v>
      </c>
      <c r="U570" s="3">
        <v>1</v>
      </c>
      <c r="V570" s="3">
        <v>1</v>
      </c>
      <c r="W570" s="4" t="s">
        <v>4493</v>
      </c>
      <c r="X570" s="4" t="s">
        <v>4493</v>
      </c>
      <c r="Y570" s="4" t="s">
        <v>6556</v>
      </c>
      <c r="Z570" s="4" t="s">
        <v>6556</v>
      </c>
      <c r="AA570" s="3">
        <v>475</v>
      </c>
      <c r="AB570" s="3">
        <v>398</v>
      </c>
      <c r="AC570" s="3">
        <v>401</v>
      </c>
      <c r="AD570" s="3">
        <v>6</v>
      </c>
      <c r="AE570" s="9">
        <v>6</v>
      </c>
      <c r="AF570" s="9">
        <v>25</v>
      </c>
      <c r="AG570" s="9">
        <v>25</v>
      </c>
      <c r="AH570" s="3">
        <v>7</v>
      </c>
      <c r="AI570" s="3">
        <v>7</v>
      </c>
      <c r="AJ570" s="3">
        <v>5</v>
      </c>
      <c r="AK570" s="3">
        <v>5</v>
      </c>
      <c r="AL570" s="3">
        <v>13</v>
      </c>
      <c r="AM570" s="3">
        <v>13</v>
      </c>
      <c r="AN570" s="3">
        <v>5</v>
      </c>
      <c r="AO570" s="3">
        <v>5</v>
      </c>
      <c r="AP570" s="3">
        <v>0</v>
      </c>
      <c r="AQ570" s="3">
        <v>0</v>
      </c>
      <c r="AR570" s="2" t="s">
        <v>5</v>
      </c>
      <c r="AS570" s="2" t="s">
        <v>46</v>
      </c>
      <c r="AT570" s="5" t="str">
        <f>HYPERLINK("http://catalog.hathitrust.org/Record/001523145","HathiTrust Record")</f>
        <v>HathiTrust Record</v>
      </c>
      <c r="AU570" s="5" t="str">
        <f>HYPERLINK("https://creighton-primo.hosted.exlibrisgroup.com/primo-explore/search?tab=default_tab&amp;search_scope=EVERYTHING&amp;vid=01CRU&amp;lang=en_US&amp;offset=0&amp;query=any,contains,991002063749702656","Catalog Record")</f>
        <v>Catalog Record</v>
      </c>
      <c r="AV570" s="5" t="str">
        <f>HYPERLINK("http://www.worldcat.org/oclc/263209","WorldCat Record")</f>
        <v>WorldCat Record</v>
      </c>
      <c r="AW570" s="2" t="s">
        <v>7073</v>
      </c>
      <c r="AX570" s="2" t="s">
        <v>7074</v>
      </c>
      <c r="AY570" s="2" t="s">
        <v>7075</v>
      </c>
      <c r="AZ570" s="2" t="s">
        <v>7075</v>
      </c>
      <c r="BA570" s="2" t="s">
        <v>7076</v>
      </c>
      <c r="BB570" s="2" t="s">
        <v>20</v>
      </c>
      <c r="BE570" s="2" t="s">
        <v>7077</v>
      </c>
      <c r="BF570" s="2" t="s">
        <v>7078</v>
      </c>
    </row>
    <row r="571" spans="1:58" ht="39.75" customHeight="1" x14ac:dyDescent="0.25">
      <c r="A571" s="7" t="s">
        <v>5</v>
      </c>
      <c r="B571" s="1" t="s">
        <v>0</v>
      </c>
      <c r="C571" s="1" t="s">
        <v>1</v>
      </c>
      <c r="D571" s="1" t="s">
        <v>7079</v>
      </c>
      <c r="E571" s="1" t="s">
        <v>7080</v>
      </c>
      <c r="F571" s="1" t="s">
        <v>7081</v>
      </c>
      <c r="H571" s="2" t="s">
        <v>5</v>
      </c>
      <c r="I571" s="2" t="s">
        <v>6</v>
      </c>
      <c r="J571" s="2" t="s">
        <v>5</v>
      </c>
      <c r="K571" s="2" t="s">
        <v>5</v>
      </c>
      <c r="L571" s="2" t="s">
        <v>7</v>
      </c>
      <c r="M571" s="1" t="s">
        <v>7082</v>
      </c>
      <c r="N571" s="1" t="s">
        <v>7083</v>
      </c>
      <c r="O571" s="2" t="s">
        <v>1515</v>
      </c>
      <c r="Q571" s="2" t="s">
        <v>1151</v>
      </c>
      <c r="R571" s="2" t="s">
        <v>1152</v>
      </c>
      <c r="S571" s="1" t="s">
        <v>7084</v>
      </c>
      <c r="T571" s="2" t="s">
        <v>13</v>
      </c>
      <c r="U571" s="3">
        <v>4</v>
      </c>
      <c r="V571" s="3">
        <v>4</v>
      </c>
      <c r="W571" s="4" t="s">
        <v>5429</v>
      </c>
      <c r="X571" s="4" t="s">
        <v>5429</v>
      </c>
      <c r="Y571" s="4" t="s">
        <v>6741</v>
      </c>
      <c r="Z571" s="4" t="s">
        <v>6741</v>
      </c>
      <c r="AA571" s="3">
        <v>127</v>
      </c>
      <c r="AB571" s="3">
        <v>91</v>
      </c>
      <c r="AC571" s="3">
        <v>93</v>
      </c>
      <c r="AD571" s="3">
        <v>1</v>
      </c>
      <c r="AE571" s="9">
        <v>1</v>
      </c>
      <c r="AF571" s="9">
        <v>4</v>
      </c>
      <c r="AG571" s="9">
        <v>4</v>
      </c>
      <c r="AH571" s="3">
        <v>1</v>
      </c>
      <c r="AI571" s="3">
        <v>1</v>
      </c>
      <c r="AJ571" s="3">
        <v>1</v>
      </c>
      <c r="AK571" s="3">
        <v>1</v>
      </c>
      <c r="AL571" s="3">
        <v>4</v>
      </c>
      <c r="AM571" s="3">
        <v>4</v>
      </c>
      <c r="AN571" s="3">
        <v>0</v>
      </c>
      <c r="AO571" s="3">
        <v>0</v>
      </c>
      <c r="AP571" s="3">
        <v>0</v>
      </c>
      <c r="AQ571" s="3">
        <v>0</v>
      </c>
      <c r="AR571" s="2" t="s">
        <v>5</v>
      </c>
      <c r="AS571" s="2" t="s">
        <v>46</v>
      </c>
      <c r="AT571" s="5" t="str">
        <f>HYPERLINK("http://catalog.hathitrust.org/Record/000204036","HathiTrust Record")</f>
        <v>HathiTrust Record</v>
      </c>
      <c r="AU571" s="5" t="str">
        <f>HYPERLINK("https://creighton-primo.hosted.exlibrisgroup.com/primo-explore/search?tab=default_tab&amp;search_scope=EVERYTHING&amp;vid=01CRU&amp;lang=en_US&amp;offset=0&amp;query=any,contains,991005209199702656","Catalog Record")</f>
        <v>Catalog Record</v>
      </c>
      <c r="AV571" s="5" t="str">
        <f>HYPERLINK("http://www.worldcat.org/oclc/8143033","WorldCat Record")</f>
        <v>WorldCat Record</v>
      </c>
      <c r="AW571" s="2" t="s">
        <v>7085</v>
      </c>
      <c r="AX571" s="2" t="s">
        <v>7086</v>
      </c>
      <c r="AY571" s="2" t="s">
        <v>7087</v>
      </c>
      <c r="AZ571" s="2" t="s">
        <v>7087</v>
      </c>
      <c r="BA571" s="2" t="s">
        <v>7088</v>
      </c>
      <c r="BB571" s="2" t="s">
        <v>20</v>
      </c>
      <c r="BD571" s="2" t="s">
        <v>7089</v>
      </c>
      <c r="BE571" s="2" t="s">
        <v>7090</v>
      </c>
      <c r="BF571" s="2" t="s">
        <v>7091</v>
      </c>
    </row>
    <row r="572" spans="1:58" ht="39.75" customHeight="1" x14ac:dyDescent="0.25">
      <c r="A572" s="7" t="s">
        <v>5</v>
      </c>
      <c r="B572" s="1" t="s">
        <v>0</v>
      </c>
      <c r="C572" s="1" t="s">
        <v>1</v>
      </c>
      <c r="D572" s="1" t="s">
        <v>7092</v>
      </c>
      <c r="E572" s="1" t="s">
        <v>7093</v>
      </c>
      <c r="F572" s="1" t="s">
        <v>7094</v>
      </c>
      <c r="H572" s="2" t="s">
        <v>5</v>
      </c>
      <c r="I572" s="2" t="s">
        <v>6</v>
      </c>
      <c r="J572" s="2" t="s">
        <v>5</v>
      </c>
      <c r="K572" s="2" t="s">
        <v>5</v>
      </c>
      <c r="L572" s="2" t="s">
        <v>7</v>
      </c>
      <c r="M572" s="1" t="s">
        <v>7095</v>
      </c>
      <c r="N572" s="1" t="s">
        <v>7096</v>
      </c>
      <c r="O572" s="2" t="s">
        <v>1390</v>
      </c>
      <c r="P572" s="1" t="s">
        <v>5911</v>
      </c>
      <c r="Q572" s="2" t="s">
        <v>1151</v>
      </c>
      <c r="R572" s="2" t="s">
        <v>5403</v>
      </c>
      <c r="T572" s="2" t="s">
        <v>13</v>
      </c>
      <c r="U572" s="3">
        <v>3</v>
      </c>
      <c r="V572" s="3">
        <v>3</v>
      </c>
      <c r="W572" s="4" t="s">
        <v>5913</v>
      </c>
      <c r="X572" s="4" t="s">
        <v>5913</v>
      </c>
      <c r="Y572" s="4" t="s">
        <v>6741</v>
      </c>
      <c r="Z572" s="4" t="s">
        <v>6741</v>
      </c>
      <c r="AA572" s="3">
        <v>63</v>
      </c>
      <c r="AB572" s="3">
        <v>32</v>
      </c>
      <c r="AC572" s="3">
        <v>34</v>
      </c>
      <c r="AD572" s="3">
        <v>1</v>
      </c>
      <c r="AE572" s="9">
        <v>1</v>
      </c>
      <c r="AF572" s="9">
        <v>1</v>
      </c>
      <c r="AG572" s="9">
        <v>1</v>
      </c>
      <c r="AH572" s="3">
        <v>0</v>
      </c>
      <c r="AI572" s="3">
        <v>0</v>
      </c>
      <c r="AJ572" s="3">
        <v>1</v>
      </c>
      <c r="AK572" s="3">
        <v>1</v>
      </c>
      <c r="AL572" s="3">
        <v>1</v>
      </c>
      <c r="AM572" s="3">
        <v>1</v>
      </c>
      <c r="AN572" s="3">
        <v>0</v>
      </c>
      <c r="AO572" s="3">
        <v>0</v>
      </c>
      <c r="AP572" s="3">
        <v>0</v>
      </c>
      <c r="AQ572" s="3">
        <v>0</v>
      </c>
      <c r="AR572" s="2" t="s">
        <v>5</v>
      </c>
      <c r="AS572" s="2" t="s">
        <v>46</v>
      </c>
      <c r="AT572" s="5" t="str">
        <f>HYPERLINK("http://catalog.hathitrust.org/Record/101094521","HathiTrust Record")</f>
        <v>HathiTrust Record</v>
      </c>
      <c r="AU572" s="5" t="str">
        <f>HYPERLINK("https://creighton-primo.hosted.exlibrisgroup.com/primo-explore/search?tab=default_tab&amp;search_scope=EVERYTHING&amp;vid=01CRU&amp;lang=en_US&amp;offset=0&amp;query=any,contains,991005249179702656","Catalog Record")</f>
        <v>Catalog Record</v>
      </c>
      <c r="AV572" s="5" t="str">
        <f>HYPERLINK("http://www.worldcat.org/oclc/8476259","WorldCat Record")</f>
        <v>WorldCat Record</v>
      </c>
      <c r="AW572" s="2" t="s">
        <v>7097</v>
      </c>
      <c r="AX572" s="2" t="s">
        <v>7098</v>
      </c>
      <c r="AY572" s="2" t="s">
        <v>7099</v>
      </c>
      <c r="AZ572" s="2" t="s">
        <v>7099</v>
      </c>
      <c r="BA572" s="2" t="s">
        <v>7100</v>
      </c>
      <c r="BB572" s="2" t="s">
        <v>20</v>
      </c>
      <c r="BD572" s="2" t="s">
        <v>7101</v>
      </c>
      <c r="BE572" s="2" t="s">
        <v>7102</v>
      </c>
      <c r="BF572" s="2" t="s">
        <v>7103</v>
      </c>
    </row>
    <row r="573" spans="1:58" ht="39.75" customHeight="1" x14ac:dyDescent="0.25">
      <c r="A573" s="7" t="s">
        <v>5</v>
      </c>
      <c r="B573" s="1" t="s">
        <v>0</v>
      </c>
      <c r="C573" s="1" t="s">
        <v>1</v>
      </c>
      <c r="D573" s="1" t="s">
        <v>7104</v>
      </c>
      <c r="E573" s="1" t="s">
        <v>7105</v>
      </c>
      <c r="F573" s="1" t="s">
        <v>7106</v>
      </c>
      <c r="H573" s="2" t="s">
        <v>5</v>
      </c>
      <c r="I573" s="2" t="s">
        <v>6</v>
      </c>
      <c r="J573" s="2" t="s">
        <v>5</v>
      </c>
      <c r="K573" s="2" t="s">
        <v>5</v>
      </c>
      <c r="L573" s="2" t="s">
        <v>7</v>
      </c>
      <c r="M573" s="1" t="s">
        <v>7107</v>
      </c>
      <c r="N573" s="1" t="s">
        <v>7108</v>
      </c>
      <c r="O573" s="2" t="s">
        <v>480</v>
      </c>
      <c r="Q573" s="2" t="s">
        <v>60</v>
      </c>
      <c r="R573" s="2" t="s">
        <v>61</v>
      </c>
      <c r="S573" s="1" t="s">
        <v>7109</v>
      </c>
      <c r="T573" s="2" t="s">
        <v>13</v>
      </c>
      <c r="U573" s="3">
        <v>5</v>
      </c>
      <c r="V573" s="3">
        <v>5</v>
      </c>
      <c r="W573" s="4" t="s">
        <v>7110</v>
      </c>
      <c r="X573" s="4" t="s">
        <v>7110</v>
      </c>
      <c r="Y573" s="4" t="s">
        <v>7111</v>
      </c>
      <c r="Z573" s="4" t="s">
        <v>7111</v>
      </c>
      <c r="AA573" s="3">
        <v>121</v>
      </c>
      <c r="AB573" s="3">
        <v>112</v>
      </c>
      <c r="AC573" s="3">
        <v>393</v>
      </c>
      <c r="AD573" s="3">
        <v>1</v>
      </c>
      <c r="AE573" s="9">
        <v>3</v>
      </c>
      <c r="AF573" s="9">
        <v>4</v>
      </c>
      <c r="AG573" s="9">
        <v>18</v>
      </c>
      <c r="AH573" s="3">
        <v>3</v>
      </c>
      <c r="AI573" s="3">
        <v>6</v>
      </c>
      <c r="AJ573" s="3">
        <v>1</v>
      </c>
      <c r="AK573" s="3">
        <v>4</v>
      </c>
      <c r="AL573" s="3">
        <v>2</v>
      </c>
      <c r="AM573" s="3">
        <v>12</v>
      </c>
      <c r="AN573" s="3">
        <v>0</v>
      </c>
      <c r="AO573" s="3">
        <v>2</v>
      </c>
      <c r="AP573" s="3">
        <v>0</v>
      </c>
      <c r="AQ573" s="3">
        <v>0</v>
      </c>
      <c r="AR573" s="2" t="s">
        <v>5</v>
      </c>
      <c r="AS573" s="2" t="s">
        <v>46</v>
      </c>
      <c r="AT573" s="5" t="str">
        <f>HYPERLINK("http://catalog.hathitrust.org/Record/007059754","HathiTrust Record")</f>
        <v>HathiTrust Record</v>
      </c>
      <c r="AU573" s="5" t="str">
        <f>HYPERLINK("https://creighton-primo.hosted.exlibrisgroup.com/primo-explore/search?tab=default_tab&amp;search_scope=EVERYTHING&amp;vid=01CRU&amp;lang=en_US&amp;offset=0&amp;query=any,contains,991002879799702656","Catalog Record")</f>
        <v>Catalog Record</v>
      </c>
      <c r="AV573" s="5" t="str">
        <f>HYPERLINK("http://www.worldcat.org/oclc/504915","WorldCat Record")</f>
        <v>WorldCat Record</v>
      </c>
      <c r="AW573" s="2" t="s">
        <v>7112</v>
      </c>
      <c r="AX573" s="2" t="s">
        <v>7113</v>
      </c>
      <c r="AY573" s="2" t="s">
        <v>7114</v>
      </c>
      <c r="AZ573" s="2" t="s">
        <v>7114</v>
      </c>
      <c r="BA573" s="2" t="s">
        <v>7115</v>
      </c>
      <c r="BB573" s="2" t="s">
        <v>20</v>
      </c>
      <c r="BE573" s="2" t="s">
        <v>7116</v>
      </c>
      <c r="BF573" s="2" t="s">
        <v>7117</v>
      </c>
    </row>
    <row r="574" spans="1:58" ht="39.75" customHeight="1" x14ac:dyDescent="0.25">
      <c r="A574" s="7" t="s">
        <v>5</v>
      </c>
      <c r="B574" s="1" t="s">
        <v>0</v>
      </c>
      <c r="C574" s="1" t="s">
        <v>1</v>
      </c>
      <c r="D574" s="1" t="s">
        <v>7118</v>
      </c>
      <c r="E574" s="1" t="s">
        <v>7119</v>
      </c>
      <c r="F574" s="1" t="s">
        <v>7120</v>
      </c>
      <c r="H574" s="2" t="s">
        <v>5</v>
      </c>
      <c r="I574" s="2" t="s">
        <v>6</v>
      </c>
      <c r="J574" s="2" t="s">
        <v>5</v>
      </c>
      <c r="K574" s="2" t="s">
        <v>5</v>
      </c>
      <c r="L574" s="2" t="s">
        <v>7</v>
      </c>
      <c r="M574" s="1" t="s">
        <v>7121</v>
      </c>
      <c r="N574" s="1" t="s">
        <v>7122</v>
      </c>
      <c r="O574" s="2" t="s">
        <v>480</v>
      </c>
      <c r="Q574" s="2" t="s">
        <v>1151</v>
      </c>
      <c r="R574" s="2" t="s">
        <v>1152</v>
      </c>
      <c r="T574" s="2" t="s">
        <v>13</v>
      </c>
      <c r="U574" s="3">
        <v>3</v>
      </c>
      <c r="V574" s="3">
        <v>3</v>
      </c>
      <c r="W574" s="4" t="s">
        <v>7123</v>
      </c>
      <c r="X574" s="4" t="s">
        <v>7123</v>
      </c>
      <c r="Y574" s="4" t="s">
        <v>4160</v>
      </c>
      <c r="Z574" s="4" t="s">
        <v>4160</v>
      </c>
      <c r="AA574" s="3">
        <v>275</v>
      </c>
      <c r="AB574" s="3">
        <v>238</v>
      </c>
      <c r="AC574" s="3">
        <v>240</v>
      </c>
      <c r="AD574" s="3">
        <v>2</v>
      </c>
      <c r="AE574" s="9">
        <v>2</v>
      </c>
      <c r="AF574" s="9">
        <v>15</v>
      </c>
      <c r="AG574" s="9">
        <v>15</v>
      </c>
      <c r="AH574" s="3">
        <v>4</v>
      </c>
      <c r="AI574" s="3">
        <v>4</v>
      </c>
      <c r="AJ574" s="3">
        <v>4</v>
      </c>
      <c r="AK574" s="3">
        <v>4</v>
      </c>
      <c r="AL574" s="3">
        <v>9</v>
      </c>
      <c r="AM574" s="3">
        <v>9</v>
      </c>
      <c r="AN574" s="3">
        <v>1</v>
      </c>
      <c r="AO574" s="3">
        <v>1</v>
      </c>
      <c r="AP574" s="3">
        <v>0</v>
      </c>
      <c r="AQ574" s="3">
        <v>0</v>
      </c>
      <c r="AR574" s="2" t="s">
        <v>5</v>
      </c>
      <c r="AS574" s="2" t="s">
        <v>46</v>
      </c>
      <c r="AT574" s="5" t="str">
        <f>HYPERLINK("http://catalog.hathitrust.org/Record/001519805","HathiTrust Record")</f>
        <v>HathiTrust Record</v>
      </c>
      <c r="AU574" s="5" t="str">
        <f>HYPERLINK("https://creighton-primo.hosted.exlibrisgroup.com/primo-explore/search?tab=default_tab&amp;search_scope=EVERYTHING&amp;vid=01CRU&amp;lang=en_US&amp;offset=0&amp;query=any,contains,991003073119702656","Catalog Record")</f>
        <v>Catalog Record</v>
      </c>
      <c r="AV574" s="5" t="str">
        <f>HYPERLINK("http://www.worldcat.org/oclc/627463","WorldCat Record")</f>
        <v>WorldCat Record</v>
      </c>
      <c r="AW574" s="2" t="s">
        <v>7124</v>
      </c>
      <c r="AX574" s="2" t="s">
        <v>7125</v>
      </c>
      <c r="AY574" s="2" t="s">
        <v>7126</v>
      </c>
      <c r="AZ574" s="2" t="s">
        <v>7126</v>
      </c>
      <c r="BA574" s="2" t="s">
        <v>7127</v>
      </c>
      <c r="BB574" s="2" t="s">
        <v>20</v>
      </c>
      <c r="BE574" s="2" t="s">
        <v>7128</v>
      </c>
      <c r="BF574" s="2" t="s">
        <v>7129</v>
      </c>
    </row>
    <row r="575" spans="1:58" ht="39.75" customHeight="1" x14ac:dyDescent="0.25">
      <c r="A575" s="7" t="s">
        <v>5</v>
      </c>
      <c r="B575" s="1" t="s">
        <v>0</v>
      </c>
      <c r="C575" s="1" t="s">
        <v>1</v>
      </c>
      <c r="D575" s="1" t="s">
        <v>7130</v>
      </c>
      <c r="E575" s="1" t="s">
        <v>7131</v>
      </c>
      <c r="F575" s="1" t="s">
        <v>7132</v>
      </c>
      <c r="H575" s="2" t="s">
        <v>5</v>
      </c>
      <c r="I575" s="2" t="s">
        <v>6</v>
      </c>
      <c r="J575" s="2" t="s">
        <v>5</v>
      </c>
      <c r="K575" s="2" t="s">
        <v>5</v>
      </c>
      <c r="L575" s="2" t="s">
        <v>7</v>
      </c>
      <c r="M575" s="1" t="s">
        <v>7133</v>
      </c>
      <c r="N575" s="1" t="s">
        <v>7134</v>
      </c>
      <c r="O575" s="2" t="s">
        <v>508</v>
      </c>
      <c r="Q575" s="2" t="s">
        <v>1151</v>
      </c>
      <c r="R575" s="2" t="s">
        <v>61</v>
      </c>
      <c r="S575" s="1" t="s">
        <v>7135</v>
      </c>
      <c r="T575" s="2" t="s">
        <v>13</v>
      </c>
      <c r="U575" s="3">
        <v>3</v>
      </c>
      <c r="V575" s="3">
        <v>3</v>
      </c>
      <c r="W575" s="4" t="s">
        <v>5590</v>
      </c>
      <c r="X575" s="4" t="s">
        <v>5590</v>
      </c>
      <c r="Y575" s="4" t="s">
        <v>7136</v>
      </c>
      <c r="Z575" s="4" t="s">
        <v>7136</v>
      </c>
      <c r="AA575" s="3">
        <v>115</v>
      </c>
      <c r="AB575" s="3">
        <v>84</v>
      </c>
      <c r="AC575" s="3">
        <v>86</v>
      </c>
      <c r="AD575" s="3">
        <v>2</v>
      </c>
      <c r="AE575" s="9">
        <v>2</v>
      </c>
      <c r="AF575" s="9">
        <v>4</v>
      </c>
      <c r="AG575" s="9">
        <v>4</v>
      </c>
      <c r="AH575" s="3">
        <v>0</v>
      </c>
      <c r="AI575" s="3">
        <v>0</v>
      </c>
      <c r="AJ575" s="3">
        <v>2</v>
      </c>
      <c r="AK575" s="3">
        <v>2</v>
      </c>
      <c r="AL575" s="3">
        <v>2</v>
      </c>
      <c r="AM575" s="3">
        <v>2</v>
      </c>
      <c r="AN575" s="3">
        <v>1</v>
      </c>
      <c r="AO575" s="3">
        <v>1</v>
      </c>
      <c r="AP575" s="3">
        <v>0</v>
      </c>
      <c r="AQ575" s="3">
        <v>0</v>
      </c>
      <c r="AR575" s="2" t="s">
        <v>5</v>
      </c>
      <c r="AS575" s="2" t="s">
        <v>46</v>
      </c>
      <c r="AT575" s="5" t="str">
        <f>HYPERLINK("http://catalog.hathitrust.org/Record/004122020","HathiTrust Record")</f>
        <v>HathiTrust Record</v>
      </c>
      <c r="AU575" s="5" t="str">
        <f>HYPERLINK("https://creighton-primo.hosted.exlibrisgroup.com/primo-explore/search?tab=default_tab&amp;search_scope=EVERYTHING&amp;vid=01CRU&amp;lang=en_US&amp;offset=0&amp;query=any,contains,991003478999702656","Catalog Record")</f>
        <v>Catalog Record</v>
      </c>
      <c r="AV575" s="5" t="str">
        <f>HYPERLINK("http://www.worldcat.org/oclc/41035339","WorldCat Record")</f>
        <v>WorldCat Record</v>
      </c>
      <c r="AW575" s="2" t="s">
        <v>7137</v>
      </c>
      <c r="AX575" s="2" t="s">
        <v>7138</v>
      </c>
      <c r="AY575" s="2" t="s">
        <v>7139</v>
      </c>
      <c r="AZ575" s="2" t="s">
        <v>7139</v>
      </c>
      <c r="BA575" s="2" t="s">
        <v>7140</v>
      </c>
      <c r="BB575" s="2" t="s">
        <v>20</v>
      </c>
      <c r="BD575" s="2" t="s">
        <v>7141</v>
      </c>
      <c r="BE575" s="2" t="s">
        <v>7142</v>
      </c>
      <c r="BF575" s="2" t="s">
        <v>7143</v>
      </c>
    </row>
    <row r="576" spans="1:58" ht="39.75" customHeight="1" x14ac:dyDescent="0.25">
      <c r="A576" s="7" t="s">
        <v>5</v>
      </c>
      <c r="B576" s="1" t="s">
        <v>0</v>
      </c>
      <c r="C576" s="1" t="s">
        <v>1</v>
      </c>
      <c r="D576" s="1" t="s">
        <v>7144</v>
      </c>
      <c r="E576" s="1" t="s">
        <v>7145</v>
      </c>
      <c r="F576" s="1" t="s">
        <v>7146</v>
      </c>
      <c r="H576" s="2" t="s">
        <v>5</v>
      </c>
      <c r="I576" s="2" t="s">
        <v>6</v>
      </c>
      <c r="J576" s="2" t="s">
        <v>5</v>
      </c>
      <c r="K576" s="2" t="s">
        <v>5</v>
      </c>
      <c r="L576" s="2" t="s">
        <v>7</v>
      </c>
      <c r="M576" s="1" t="s">
        <v>7147</v>
      </c>
      <c r="N576" s="1" t="s">
        <v>7148</v>
      </c>
      <c r="O576" s="2" t="s">
        <v>177</v>
      </c>
      <c r="Q576" s="2" t="s">
        <v>1151</v>
      </c>
      <c r="R576" s="2" t="s">
        <v>1152</v>
      </c>
      <c r="S576" s="1" t="s">
        <v>7149</v>
      </c>
      <c r="T576" s="2" t="s">
        <v>13</v>
      </c>
      <c r="U576" s="3">
        <v>1</v>
      </c>
      <c r="V576" s="3">
        <v>1</v>
      </c>
      <c r="W576" s="4" t="s">
        <v>7150</v>
      </c>
      <c r="X576" s="4" t="s">
        <v>7150</v>
      </c>
      <c r="Y576" s="4" t="s">
        <v>7012</v>
      </c>
      <c r="Z576" s="4" t="s">
        <v>7012</v>
      </c>
      <c r="AA576" s="3">
        <v>58</v>
      </c>
      <c r="AB576" s="3">
        <v>52</v>
      </c>
      <c r="AC576" s="3">
        <v>120</v>
      </c>
      <c r="AD576" s="3">
        <v>1</v>
      </c>
      <c r="AE576" s="9">
        <v>2</v>
      </c>
      <c r="AF576" s="9">
        <v>3</v>
      </c>
      <c r="AG576" s="9">
        <v>7</v>
      </c>
      <c r="AH576" s="3">
        <v>1</v>
      </c>
      <c r="AI576" s="3">
        <v>4</v>
      </c>
      <c r="AJ576" s="3">
        <v>1</v>
      </c>
      <c r="AK576" s="3">
        <v>2</v>
      </c>
      <c r="AL576" s="3">
        <v>2</v>
      </c>
      <c r="AM576" s="3">
        <v>4</v>
      </c>
      <c r="AN576" s="3">
        <v>0</v>
      </c>
      <c r="AO576" s="3">
        <v>1</v>
      </c>
      <c r="AP576" s="3">
        <v>0</v>
      </c>
      <c r="AQ576" s="3">
        <v>0</v>
      </c>
      <c r="AR576" s="2" t="s">
        <v>5</v>
      </c>
      <c r="AS576" s="2" t="s">
        <v>46</v>
      </c>
      <c r="AT576" s="5" t="str">
        <f>HYPERLINK("http://catalog.hathitrust.org/Record/009509667","HathiTrust Record")</f>
        <v>HathiTrust Record</v>
      </c>
      <c r="AU576" s="5" t="str">
        <f>HYPERLINK("https://creighton-primo.hosted.exlibrisgroup.com/primo-explore/search?tab=default_tab&amp;search_scope=EVERYTHING&amp;vid=01CRU&amp;lang=en_US&amp;offset=0&amp;query=any,contains,991003241589702656","Catalog Record")</f>
        <v>Catalog Record</v>
      </c>
      <c r="AV576" s="5" t="str">
        <f>HYPERLINK("http://www.worldcat.org/oclc/764401","WorldCat Record")</f>
        <v>WorldCat Record</v>
      </c>
      <c r="AW576" s="2" t="s">
        <v>7151</v>
      </c>
      <c r="AX576" s="2" t="s">
        <v>7152</v>
      </c>
      <c r="AY576" s="2" t="s">
        <v>7153</v>
      </c>
      <c r="AZ576" s="2" t="s">
        <v>7153</v>
      </c>
      <c r="BA576" s="2" t="s">
        <v>7154</v>
      </c>
      <c r="BB576" s="2" t="s">
        <v>20</v>
      </c>
      <c r="BE576" s="2" t="s">
        <v>7155</v>
      </c>
      <c r="BF576" s="2" t="s">
        <v>7156</v>
      </c>
    </row>
    <row r="577" spans="1:58" ht="39.75" customHeight="1" x14ac:dyDescent="0.25">
      <c r="A577" s="7" t="s">
        <v>5</v>
      </c>
      <c r="B577" s="1" t="s">
        <v>0</v>
      </c>
      <c r="C577" s="1" t="s">
        <v>1</v>
      </c>
      <c r="D577" s="1" t="s">
        <v>7157</v>
      </c>
      <c r="E577" s="1" t="s">
        <v>7158</v>
      </c>
      <c r="F577" s="1" t="s">
        <v>7159</v>
      </c>
      <c r="H577" s="2" t="s">
        <v>5</v>
      </c>
      <c r="I577" s="2" t="s">
        <v>6</v>
      </c>
      <c r="J577" s="2" t="s">
        <v>5</v>
      </c>
      <c r="K577" s="2" t="s">
        <v>5</v>
      </c>
      <c r="L577" s="2" t="s">
        <v>7</v>
      </c>
      <c r="N577" s="1" t="s">
        <v>7160</v>
      </c>
      <c r="O577" s="2" t="s">
        <v>3941</v>
      </c>
      <c r="Q577" s="2" t="s">
        <v>1151</v>
      </c>
      <c r="R577" s="2" t="s">
        <v>7161</v>
      </c>
      <c r="S577" s="1" t="s">
        <v>7162</v>
      </c>
      <c r="T577" s="2" t="s">
        <v>13</v>
      </c>
      <c r="U577" s="3">
        <v>2</v>
      </c>
      <c r="V577" s="3">
        <v>2</v>
      </c>
      <c r="W577" s="4" t="s">
        <v>6132</v>
      </c>
      <c r="X577" s="4" t="s">
        <v>6132</v>
      </c>
      <c r="Y577" s="4" t="s">
        <v>6132</v>
      </c>
      <c r="Z577" s="4" t="s">
        <v>6132</v>
      </c>
      <c r="AA577" s="3">
        <v>135</v>
      </c>
      <c r="AB577" s="3">
        <v>106</v>
      </c>
      <c r="AC577" s="3">
        <v>108</v>
      </c>
      <c r="AD577" s="3">
        <v>2</v>
      </c>
      <c r="AE577" s="9">
        <v>2</v>
      </c>
      <c r="AF577" s="9">
        <v>3</v>
      </c>
      <c r="AG577" s="9">
        <v>3</v>
      </c>
      <c r="AH577" s="3">
        <v>0</v>
      </c>
      <c r="AI577" s="3">
        <v>0</v>
      </c>
      <c r="AJ577" s="3">
        <v>1</v>
      </c>
      <c r="AK577" s="3">
        <v>1</v>
      </c>
      <c r="AL577" s="3">
        <v>2</v>
      </c>
      <c r="AM577" s="3">
        <v>2</v>
      </c>
      <c r="AN577" s="3">
        <v>1</v>
      </c>
      <c r="AO577" s="3">
        <v>1</v>
      </c>
      <c r="AP577" s="3">
        <v>0</v>
      </c>
      <c r="AQ577" s="3">
        <v>0</v>
      </c>
      <c r="AR577" s="2" t="s">
        <v>5</v>
      </c>
      <c r="AS577" s="2" t="s">
        <v>46</v>
      </c>
      <c r="AT577" s="5" t="str">
        <f>HYPERLINK("http://catalog.hathitrust.org/Record/004278054","HathiTrust Record")</f>
        <v>HathiTrust Record</v>
      </c>
      <c r="AU577" s="5" t="str">
        <f>HYPERLINK("https://creighton-primo.hosted.exlibrisgroup.com/primo-explore/search?tab=default_tab&amp;search_scope=EVERYTHING&amp;vid=01CRU&amp;lang=en_US&amp;offset=0&amp;query=any,contains,991004211939702656","Catalog Record")</f>
        <v>Catalog Record</v>
      </c>
      <c r="AV577" s="5" t="str">
        <f>HYPERLINK("http://www.worldcat.org/oclc/47052840","WorldCat Record")</f>
        <v>WorldCat Record</v>
      </c>
      <c r="AW577" s="2" t="s">
        <v>7163</v>
      </c>
      <c r="AX577" s="2" t="s">
        <v>7164</v>
      </c>
      <c r="AY577" s="2" t="s">
        <v>7165</v>
      </c>
      <c r="AZ577" s="2" t="s">
        <v>7165</v>
      </c>
      <c r="BA577" s="2" t="s">
        <v>7166</v>
      </c>
      <c r="BB577" s="2" t="s">
        <v>20</v>
      </c>
      <c r="BD577" s="2" t="s">
        <v>7167</v>
      </c>
      <c r="BE577" s="2" t="s">
        <v>7168</v>
      </c>
      <c r="BF577" s="2" t="s">
        <v>7169</v>
      </c>
    </row>
    <row r="578" spans="1:58" ht="39.75" customHeight="1" x14ac:dyDescent="0.25">
      <c r="A578" s="7" t="s">
        <v>5</v>
      </c>
      <c r="B578" s="1" t="s">
        <v>0</v>
      </c>
      <c r="C578" s="1" t="s">
        <v>1</v>
      </c>
      <c r="D578" s="1" t="s">
        <v>7170</v>
      </c>
      <c r="E578" s="1" t="s">
        <v>7171</v>
      </c>
      <c r="F578" s="1" t="s">
        <v>7172</v>
      </c>
      <c r="H578" s="2" t="s">
        <v>5</v>
      </c>
      <c r="I578" s="2" t="s">
        <v>6</v>
      </c>
      <c r="J578" s="2" t="s">
        <v>5</v>
      </c>
      <c r="K578" s="2" t="s">
        <v>5</v>
      </c>
      <c r="L578" s="2" t="s">
        <v>7</v>
      </c>
      <c r="M578" s="1" t="s">
        <v>7173</v>
      </c>
      <c r="N578" s="1" t="s">
        <v>7174</v>
      </c>
      <c r="O578" s="2" t="s">
        <v>10</v>
      </c>
      <c r="Q578" s="2" t="s">
        <v>1151</v>
      </c>
      <c r="R578" s="2" t="s">
        <v>1066</v>
      </c>
      <c r="S578" s="1" t="s">
        <v>7175</v>
      </c>
      <c r="T578" s="2" t="s">
        <v>13</v>
      </c>
      <c r="U578" s="3">
        <v>1</v>
      </c>
      <c r="V578" s="3">
        <v>1</v>
      </c>
      <c r="W578" s="4" t="s">
        <v>5086</v>
      </c>
      <c r="X578" s="4" t="s">
        <v>5086</v>
      </c>
      <c r="Y578" s="4" t="s">
        <v>5086</v>
      </c>
      <c r="Z578" s="4" t="s">
        <v>5086</v>
      </c>
      <c r="AA578" s="3">
        <v>64</v>
      </c>
      <c r="AB578" s="3">
        <v>60</v>
      </c>
      <c r="AC578" s="3">
        <v>61</v>
      </c>
      <c r="AD578" s="3">
        <v>2</v>
      </c>
      <c r="AE578" s="9">
        <v>2</v>
      </c>
      <c r="AF578" s="9">
        <v>2</v>
      </c>
      <c r="AG578" s="9">
        <v>2</v>
      </c>
      <c r="AH578" s="3">
        <v>1</v>
      </c>
      <c r="AI578" s="3">
        <v>1</v>
      </c>
      <c r="AJ578" s="3">
        <v>0</v>
      </c>
      <c r="AK578" s="3">
        <v>0</v>
      </c>
      <c r="AL578" s="3">
        <v>1</v>
      </c>
      <c r="AM578" s="3">
        <v>1</v>
      </c>
      <c r="AN578" s="3">
        <v>1</v>
      </c>
      <c r="AO578" s="3">
        <v>1</v>
      </c>
      <c r="AP578" s="3">
        <v>0</v>
      </c>
      <c r="AQ578" s="3">
        <v>0</v>
      </c>
      <c r="AR578" s="2" t="s">
        <v>5</v>
      </c>
      <c r="AS578" s="2" t="s">
        <v>46</v>
      </c>
      <c r="AT578" s="5" t="str">
        <f>HYPERLINK("http://catalog.hathitrust.org/Record/001680321","HathiTrust Record")</f>
        <v>HathiTrust Record</v>
      </c>
      <c r="AU578" s="5" t="str">
        <f>HYPERLINK("https://creighton-primo.hosted.exlibrisgroup.com/primo-explore/search?tab=default_tab&amp;search_scope=EVERYTHING&amp;vid=01CRU&amp;lang=en_US&amp;offset=0&amp;query=any,contains,991004523149702656","Catalog Record")</f>
        <v>Catalog Record</v>
      </c>
      <c r="AV578" s="5" t="str">
        <f>HYPERLINK("http://www.worldcat.org/oclc/3354788","WorldCat Record")</f>
        <v>WorldCat Record</v>
      </c>
      <c r="AW578" s="2" t="s">
        <v>7176</v>
      </c>
      <c r="AX578" s="2" t="s">
        <v>7177</v>
      </c>
      <c r="AY578" s="2" t="s">
        <v>7178</v>
      </c>
      <c r="AZ578" s="2" t="s">
        <v>7178</v>
      </c>
      <c r="BA578" s="2" t="s">
        <v>7179</v>
      </c>
      <c r="BB578" s="2" t="s">
        <v>20</v>
      </c>
      <c r="BE578" s="2" t="s">
        <v>7180</v>
      </c>
      <c r="BF578" s="2" t="s">
        <v>7181</v>
      </c>
    </row>
    <row r="579" spans="1:58" ht="39.75" customHeight="1" x14ac:dyDescent="0.25">
      <c r="A579" s="7" t="s">
        <v>5</v>
      </c>
      <c r="B579" s="1" t="s">
        <v>0</v>
      </c>
      <c r="C579" s="1" t="s">
        <v>1</v>
      </c>
      <c r="D579" s="1" t="s">
        <v>7182</v>
      </c>
      <c r="E579" s="1" t="s">
        <v>7183</v>
      </c>
      <c r="F579" s="1" t="s">
        <v>7184</v>
      </c>
      <c r="H579" s="2" t="s">
        <v>5</v>
      </c>
      <c r="I579" s="2" t="s">
        <v>6</v>
      </c>
      <c r="J579" s="2" t="s">
        <v>5</v>
      </c>
      <c r="K579" s="2" t="s">
        <v>5</v>
      </c>
      <c r="L579" s="2" t="s">
        <v>7</v>
      </c>
      <c r="M579" s="1" t="s">
        <v>7185</v>
      </c>
      <c r="N579" s="1" t="s">
        <v>7186</v>
      </c>
      <c r="O579" s="2" t="s">
        <v>1418</v>
      </c>
      <c r="Q579" s="2" t="s">
        <v>1151</v>
      </c>
      <c r="R579" s="2" t="s">
        <v>234</v>
      </c>
      <c r="S579" s="1" t="s">
        <v>7187</v>
      </c>
      <c r="T579" s="2" t="s">
        <v>13</v>
      </c>
      <c r="U579" s="3">
        <v>1</v>
      </c>
      <c r="V579" s="3">
        <v>1</v>
      </c>
      <c r="W579" s="4" t="s">
        <v>7011</v>
      </c>
      <c r="X579" s="4" t="s">
        <v>7011</v>
      </c>
      <c r="Y579" s="4" t="s">
        <v>7188</v>
      </c>
      <c r="Z579" s="4" t="s">
        <v>7188</v>
      </c>
      <c r="AA579" s="3">
        <v>142</v>
      </c>
      <c r="AB579" s="3">
        <v>102</v>
      </c>
      <c r="AC579" s="3">
        <v>177</v>
      </c>
      <c r="AD579" s="3">
        <v>2</v>
      </c>
      <c r="AE579" s="9">
        <v>2</v>
      </c>
      <c r="AF579" s="9">
        <v>5</v>
      </c>
      <c r="AG579" s="9">
        <v>9</v>
      </c>
      <c r="AH579" s="3">
        <v>1</v>
      </c>
      <c r="AI579" s="3">
        <v>1</v>
      </c>
      <c r="AJ579" s="3">
        <v>1</v>
      </c>
      <c r="AK579" s="3">
        <v>3</v>
      </c>
      <c r="AL579" s="3">
        <v>3</v>
      </c>
      <c r="AM579" s="3">
        <v>6</v>
      </c>
      <c r="AN579" s="3">
        <v>1</v>
      </c>
      <c r="AO579" s="3">
        <v>1</v>
      </c>
      <c r="AP579" s="3">
        <v>0</v>
      </c>
      <c r="AQ579" s="3">
        <v>0</v>
      </c>
      <c r="AR579" s="2" t="s">
        <v>5</v>
      </c>
      <c r="AS579" s="2" t="s">
        <v>46</v>
      </c>
      <c r="AT579" s="5" t="str">
        <f>HYPERLINK("http://catalog.hathitrust.org/Record/001037333","HathiTrust Record")</f>
        <v>HathiTrust Record</v>
      </c>
      <c r="AU579" s="5" t="str">
        <f>HYPERLINK("https://creighton-primo.hosted.exlibrisgroup.com/primo-explore/search?tab=default_tab&amp;search_scope=EVERYTHING&amp;vid=01CRU&amp;lang=en_US&amp;offset=0&amp;query=any,contains,991003142509702656","Catalog Record")</f>
        <v>Catalog Record</v>
      </c>
      <c r="AV579" s="5" t="str">
        <f>HYPERLINK("http://www.worldcat.org/oclc/683671","WorldCat Record")</f>
        <v>WorldCat Record</v>
      </c>
      <c r="AW579" s="2" t="s">
        <v>7189</v>
      </c>
      <c r="AX579" s="2" t="s">
        <v>7190</v>
      </c>
      <c r="AY579" s="2" t="s">
        <v>7191</v>
      </c>
      <c r="AZ579" s="2" t="s">
        <v>7191</v>
      </c>
      <c r="BA579" s="2" t="s">
        <v>7192</v>
      </c>
      <c r="BB579" s="2" t="s">
        <v>20</v>
      </c>
      <c r="BE579" s="2" t="s">
        <v>7193</v>
      </c>
      <c r="BF579" s="2" t="s">
        <v>7194</v>
      </c>
    </row>
    <row r="580" spans="1:58" ht="39.75" customHeight="1" x14ac:dyDescent="0.25">
      <c r="A580" s="7" t="s">
        <v>5</v>
      </c>
      <c r="B580" s="1" t="s">
        <v>0</v>
      </c>
      <c r="C580" s="1" t="s">
        <v>1</v>
      </c>
      <c r="D580" s="1" t="s">
        <v>7195</v>
      </c>
      <c r="E580" s="1" t="s">
        <v>7196</v>
      </c>
      <c r="F580" s="1" t="s">
        <v>7197</v>
      </c>
      <c r="H580" s="2" t="s">
        <v>5</v>
      </c>
      <c r="I580" s="2" t="s">
        <v>6</v>
      </c>
      <c r="J580" s="2" t="s">
        <v>5</v>
      </c>
      <c r="K580" s="2" t="s">
        <v>5</v>
      </c>
      <c r="L580" s="2" t="s">
        <v>7</v>
      </c>
      <c r="M580" s="1" t="s">
        <v>7198</v>
      </c>
      <c r="N580" s="1" t="s">
        <v>7199</v>
      </c>
      <c r="O580" s="2" t="s">
        <v>291</v>
      </c>
      <c r="Q580" s="2" t="s">
        <v>60</v>
      </c>
      <c r="R580" s="2" t="s">
        <v>3928</v>
      </c>
      <c r="T580" s="2" t="s">
        <v>13</v>
      </c>
      <c r="U580" s="3">
        <v>9</v>
      </c>
      <c r="V580" s="3">
        <v>9</v>
      </c>
      <c r="W580" s="4" t="s">
        <v>7011</v>
      </c>
      <c r="X580" s="4" t="s">
        <v>7011</v>
      </c>
      <c r="Y580" s="4" t="s">
        <v>7188</v>
      </c>
      <c r="Z580" s="4" t="s">
        <v>7188</v>
      </c>
      <c r="AA580" s="3">
        <v>379</v>
      </c>
      <c r="AB580" s="3">
        <v>328</v>
      </c>
      <c r="AC580" s="3">
        <v>333</v>
      </c>
      <c r="AD580" s="3">
        <v>4</v>
      </c>
      <c r="AE580" s="9">
        <v>4</v>
      </c>
      <c r="AF580" s="9">
        <v>21</v>
      </c>
      <c r="AG580" s="9">
        <v>22</v>
      </c>
      <c r="AH580" s="3">
        <v>7</v>
      </c>
      <c r="AI580" s="3">
        <v>7</v>
      </c>
      <c r="AJ580" s="3">
        <v>4</v>
      </c>
      <c r="AK580" s="3">
        <v>5</v>
      </c>
      <c r="AL580" s="3">
        <v>10</v>
      </c>
      <c r="AM580" s="3">
        <v>11</v>
      </c>
      <c r="AN580" s="3">
        <v>3</v>
      </c>
      <c r="AO580" s="3">
        <v>3</v>
      </c>
      <c r="AP580" s="3">
        <v>0</v>
      </c>
      <c r="AQ580" s="3">
        <v>0</v>
      </c>
      <c r="AR580" s="2" t="s">
        <v>5</v>
      </c>
      <c r="AS580" s="2" t="s">
        <v>46</v>
      </c>
      <c r="AT580" s="5" t="str">
        <f>HYPERLINK("http://catalog.hathitrust.org/Record/000745797","HathiTrust Record")</f>
        <v>HathiTrust Record</v>
      </c>
      <c r="AU580" s="5" t="str">
        <f>HYPERLINK("https://creighton-primo.hosted.exlibrisgroup.com/primo-explore/search?tab=default_tab&amp;search_scope=EVERYTHING&amp;vid=01CRU&amp;lang=en_US&amp;offset=0&amp;query=any,contains,991004129869702656","Catalog Record")</f>
        <v>Catalog Record</v>
      </c>
      <c r="AV580" s="5" t="str">
        <f>HYPERLINK("http://www.worldcat.org/oclc/2464613","WorldCat Record")</f>
        <v>WorldCat Record</v>
      </c>
      <c r="AW580" s="2" t="s">
        <v>7200</v>
      </c>
      <c r="AX580" s="2" t="s">
        <v>7201</v>
      </c>
      <c r="AY580" s="2" t="s">
        <v>7202</v>
      </c>
      <c r="AZ580" s="2" t="s">
        <v>7202</v>
      </c>
      <c r="BA580" s="2" t="s">
        <v>7203</v>
      </c>
      <c r="BB580" s="2" t="s">
        <v>20</v>
      </c>
      <c r="BD580" s="2" t="s">
        <v>7204</v>
      </c>
      <c r="BE580" s="2" t="s">
        <v>7205</v>
      </c>
      <c r="BF580" s="2" t="s">
        <v>7206</v>
      </c>
    </row>
    <row r="581" spans="1:58" ht="39.75" customHeight="1" x14ac:dyDescent="0.25">
      <c r="A581" s="7" t="s">
        <v>5</v>
      </c>
      <c r="B581" s="1" t="s">
        <v>0</v>
      </c>
      <c r="C581" s="1" t="s">
        <v>1</v>
      </c>
      <c r="D581" s="1" t="s">
        <v>7207</v>
      </c>
      <c r="E581" s="1" t="s">
        <v>7208</v>
      </c>
      <c r="F581" s="1" t="s">
        <v>7209</v>
      </c>
      <c r="H581" s="2" t="s">
        <v>5</v>
      </c>
      <c r="I581" s="2" t="s">
        <v>6</v>
      </c>
      <c r="J581" s="2" t="s">
        <v>5</v>
      </c>
      <c r="K581" s="2" t="s">
        <v>5</v>
      </c>
      <c r="L581" s="2" t="s">
        <v>7</v>
      </c>
      <c r="M581" s="1" t="s">
        <v>7210</v>
      </c>
      <c r="N581" s="1" t="s">
        <v>7211</v>
      </c>
      <c r="O581" s="2" t="s">
        <v>261</v>
      </c>
      <c r="Q581" s="2" t="s">
        <v>1151</v>
      </c>
      <c r="R581" s="2" t="s">
        <v>4146</v>
      </c>
      <c r="S581" s="1" t="s">
        <v>7212</v>
      </c>
      <c r="T581" s="2" t="s">
        <v>13</v>
      </c>
      <c r="U581" s="3">
        <v>3</v>
      </c>
      <c r="V581" s="3">
        <v>3</v>
      </c>
      <c r="W581" s="4" t="s">
        <v>5071</v>
      </c>
      <c r="X581" s="4" t="s">
        <v>5071</v>
      </c>
      <c r="Y581" s="4" t="s">
        <v>5071</v>
      </c>
      <c r="Z581" s="4" t="s">
        <v>5071</v>
      </c>
      <c r="AA581" s="3">
        <v>7</v>
      </c>
      <c r="AB581" s="3">
        <v>7</v>
      </c>
      <c r="AC581" s="3">
        <v>7</v>
      </c>
      <c r="AD581" s="3">
        <v>1</v>
      </c>
      <c r="AE581" s="9">
        <v>1</v>
      </c>
      <c r="AF581" s="9">
        <v>0</v>
      </c>
      <c r="AG581" s="9">
        <v>0</v>
      </c>
      <c r="AH581" s="3">
        <v>0</v>
      </c>
      <c r="AI581" s="3">
        <v>0</v>
      </c>
      <c r="AJ581" s="3">
        <v>0</v>
      </c>
      <c r="AK581" s="3">
        <v>0</v>
      </c>
      <c r="AL581" s="3">
        <v>0</v>
      </c>
      <c r="AM581" s="3">
        <v>0</v>
      </c>
      <c r="AN581" s="3">
        <v>0</v>
      </c>
      <c r="AO581" s="3">
        <v>0</v>
      </c>
      <c r="AP581" s="3">
        <v>0</v>
      </c>
      <c r="AQ581" s="3">
        <v>0</v>
      </c>
      <c r="AR581" s="2" t="s">
        <v>5</v>
      </c>
      <c r="AS581" s="2" t="s">
        <v>5</v>
      </c>
      <c r="AU581" s="5" t="str">
        <f>HYPERLINK("https://creighton-primo.hosted.exlibrisgroup.com/primo-explore/search?tab=default_tab&amp;search_scope=EVERYTHING&amp;vid=01CRU&amp;lang=en_US&amp;offset=0&amp;query=any,contains,991004337459702656","Catalog Record")</f>
        <v>Catalog Record</v>
      </c>
      <c r="AV581" s="5" t="str">
        <f>HYPERLINK("http://www.worldcat.org/oclc/17145102","WorldCat Record")</f>
        <v>WorldCat Record</v>
      </c>
      <c r="AW581" s="2" t="s">
        <v>7213</v>
      </c>
      <c r="AX581" s="2" t="s">
        <v>7214</v>
      </c>
      <c r="AY581" s="2" t="s">
        <v>7215</v>
      </c>
      <c r="AZ581" s="2" t="s">
        <v>7215</v>
      </c>
      <c r="BA581" s="2" t="s">
        <v>7216</v>
      </c>
      <c r="BB581" s="2" t="s">
        <v>20</v>
      </c>
      <c r="BE581" s="2" t="s">
        <v>7217</v>
      </c>
      <c r="BF581" s="2" t="s">
        <v>7218</v>
      </c>
    </row>
    <row r="582" spans="1:58" ht="39.75" customHeight="1" x14ac:dyDescent="0.25">
      <c r="A582" s="7" t="s">
        <v>5</v>
      </c>
      <c r="B582" s="1" t="s">
        <v>0</v>
      </c>
      <c r="C582" s="1" t="s">
        <v>1</v>
      </c>
      <c r="D582" s="1" t="s">
        <v>7219</v>
      </c>
      <c r="E582" s="1" t="s">
        <v>7220</v>
      </c>
      <c r="F582" s="1" t="s">
        <v>7221</v>
      </c>
      <c r="H582" s="2" t="s">
        <v>5</v>
      </c>
      <c r="I582" s="2" t="s">
        <v>6</v>
      </c>
      <c r="J582" s="2" t="s">
        <v>5</v>
      </c>
      <c r="K582" s="2" t="s">
        <v>5</v>
      </c>
      <c r="L582" s="2" t="s">
        <v>7</v>
      </c>
      <c r="M582" s="1" t="s">
        <v>7222</v>
      </c>
      <c r="N582" s="1" t="s">
        <v>7223</v>
      </c>
      <c r="O582" s="2" t="s">
        <v>7224</v>
      </c>
      <c r="Q582" s="2" t="s">
        <v>1151</v>
      </c>
      <c r="R582" s="2" t="s">
        <v>277</v>
      </c>
      <c r="S582" s="1" t="s">
        <v>1904</v>
      </c>
      <c r="T582" s="2" t="s">
        <v>13</v>
      </c>
      <c r="U582" s="3">
        <v>2</v>
      </c>
      <c r="V582" s="3">
        <v>2</v>
      </c>
      <c r="W582" s="4" t="s">
        <v>7225</v>
      </c>
      <c r="X582" s="4" t="s">
        <v>7225</v>
      </c>
      <c r="Y582" s="4" t="s">
        <v>5237</v>
      </c>
      <c r="Z582" s="4" t="s">
        <v>5237</v>
      </c>
      <c r="AA582" s="3">
        <v>100</v>
      </c>
      <c r="AB582" s="3">
        <v>98</v>
      </c>
      <c r="AC582" s="3">
        <v>165</v>
      </c>
      <c r="AD582" s="3">
        <v>1</v>
      </c>
      <c r="AE582" s="9">
        <v>1</v>
      </c>
      <c r="AF582" s="9">
        <v>8</v>
      </c>
      <c r="AG582" s="9">
        <v>9</v>
      </c>
      <c r="AH582" s="3">
        <v>4</v>
      </c>
      <c r="AI582" s="3">
        <v>4</v>
      </c>
      <c r="AJ582" s="3">
        <v>0</v>
      </c>
      <c r="AK582" s="3">
        <v>0</v>
      </c>
      <c r="AL582" s="3">
        <v>5</v>
      </c>
      <c r="AM582" s="3">
        <v>6</v>
      </c>
      <c r="AN582" s="3">
        <v>0</v>
      </c>
      <c r="AO582" s="3">
        <v>0</v>
      </c>
      <c r="AP582" s="3">
        <v>0</v>
      </c>
      <c r="AQ582" s="3">
        <v>0</v>
      </c>
      <c r="AR582" s="2" t="s">
        <v>5</v>
      </c>
      <c r="AS582" s="2" t="s">
        <v>46</v>
      </c>
      <c r="AT582" s="5" t="str">
        <f>HYPERLINK("http://catalog.hathitrust.org/Record/102114817","HathiTrust Record")</f>
        <v>HathiTrust Record</v>
      </c>
      <c r="AU582" s="5" t="str">
        <f>HYPERLINK("https://creighton-primo.hosted.exlibrisgroup.com/primo-explore/search?tab=default_tab&amp;search_scope=EVERYTHING&amp;vid=01CRU&amp;lang=en_US&amp;offset=0&amp;query=any,contains,991004265699702656","Catalog Record")</f>
        <v>Catalog Record</v>
      </c>
      <c r="AV582" s="5" t="str">
        <f>HYPERLINK("http://www.worldcat.org/oclc/2864839","WorldCat Record")</f>
        <v>WorldCat Record</v>
      </c>
      <c r="AW582" s="2" t="s">
        <v>7226</v>
      </c>
      <c r="AX582" s="2" t="s">
        <v>7227</v>
      </c>
      <c r="AY582" s="2" t="s">
        <v>7228</v>
      </c>
      <c r="AZ582" s="2" t="s">
        <v>7228</v>
      </c>
      <c r="BA582" s="2" t="s">
        <v>7229</v>
      </c>
      <c r="BB582" s="2" t="s">
        <v>20</v>
      </c>
      <c r="BE582" s="2" t="s">
        <v>7230</v>
      </c>
      <c r="BF582" s="2" t="s">
        <v>7231</v>
      </c>
    </row>
    <row r="583" spans="1:58" ht="39.75" customHeight="1" x14ac:dyDescent="0.25">
      <c r="A583" s="7" t="s">
        <v>5</v>
      </c>
      <c r="B583" s="1" t="s">
        <v>0</v>
      </c>
      <c r="C583" s="1" t="s">
        <v>1</v>
      </c>
      <c r="D583" s="1" t="s">
        <v>7232</v>
      </c>
      <c r="E583" s="1" t="s">
        <v>7233</v>
      </c>
      <c r="F583" s="1" t="s">
        <v>7234</v>
      </c>
      <c r="H583" s="2" t="s">
        <v>5</v>
      </c>
      <c r="I583" s="2" t="s">
        <v>6</v>
      </c>
      <c r="J583" s="2" t="s">
        <v>5</v>
      </c>
      <c r="K583" s="2" t="s">
        <v>5</v>
      </c>
      <c r="L583" s="2" t="s">
        <v>7</v>
      </c>
      <c r="M583" s="1" t="s">
        <v>7235</v>
      </c>
      <c r="N583" s="1" t="s">
        <v>7236</v>
      </c>
      <c r="O583" s="2" t="s">
        <v>6554</v>
      </c>
      <c r="P583" s="1" t="s">
        <v>7237</v>
      </c>
      <c r="Q583" s="2" t="s">
        <v>1151</v>
      </c>
      <c r="R583" s="2" t="s">
        <v>1152</v>
      </c>
      <c r="S583" s="1" t="s">
        <v>7238</v>
      </c>
      <c r="T583" s="2" t="s">
        <v>13</v>
      </c>
      <c r="U583" s="3">
        <v>6</v>
      </c>
      <c r="V583" s="3">
        <v>6</v>
      </c>
      <c r="W583" s="4" t="s">
        <v>7239</v>
      </c>
      <c r="X583" s="4" t="s">
        <v>7239</v>
      </c>
      <c r="Y583" s="4" t="s">
        <v>7012</v>
      </c>
      <c r="Z583" s="4" t="s">
        <v>7012</v>
      </c>
      <c r="AA583" s="3">
        <v>131</v>
      </c>
      <c r="AB583" s="3">
        <v>104</v>
      </c>
      <c r="AC583" s="3">
        <v>104</v>
      </c>
      <c r="AD583" s="3">
        <v>2</v>
      </c>
      <c r="AE583" s="9">
        <v>2</v>
      </c>
      <c r="AF583" s="9">
        <v>7</v>
      </c>
      <c r="AG583" s="9">
        <v>7</v>
      </c>
      <c r="AH583" s="3">
        <v>2</v>
      </c>
      <c r="AI583" s="3">
        <v>2</v>
      </c>
      <c r="AJ583" s="3">
        <v>2</v>
      </c>
      <c r="AK583" s="3">
        <v>2</v>
      </c>
      <c r="AL583" s="3">
        <v>3</v>
      </c>
      <c r="AM583" s="3">
        <v>3</v>
      </c>
      <c r="AN583" s="3">
        <v>1</v>
      </c>
      <c r="AO583" s="3">
        <v>1</v>
      </c>
      <c r="AP583" s="3">
        <v>0</v>
      </c>
      <c r="AQ583" s="3">
        <v>0</v>
      </c>
      <c r="AR583" s="2" t="s">
        <v>5</v>
      </c>
      <c r="AS583" s="2" t="s">
        <v>46</v>
      </c>
      <c r="AT583" s="5" t="str">
        <f>HYPERLINK("http://catalog.hathitrust.org/Record/001521060","HathiTrust Record")</f>
        <v>HathiTrust Record</v>
      </c>
      <c r="AU583" s="5" t="str">
        <f>HYPERLINK("https://creighton-primo.hosted.exlibrisgroup.com/primo-explore/search?tab=default_tab&amp;search_scope=EVERYTHING&amp;vid=01CRU&amp;lang=en_US&amp;offset=0&amp;query=any,contains,991002691409702656","Catalog Record")</f>
        <v>Catalog Record</v>
      </c>
      <c r="AV583" s="5" t="str">
        <f>HYPERLINK("http://www.worldcat.org/oclc/35154750","WorldCat Record")</f>
        <v>WorldCat Record</v>
      </c>
      <c r="AW583" s="2" t="s">
        <v>7240</v>
      </c>
      <c r="AX583" s="2" t="s">
        <v>7241</v>
      </c>
      <c r="AY583" s="2" t="s">
        <v>7242</v>
      </c>
      <c r="AZ583" s="2" t="s">
        <v>7242</v>
      </c>
      <c r="BA583" s="2" t="s">
        <v>7243</v>
      </c>
      <c r="BB583" s="2" t="s">
        <v>20</v>
      </c>
      <c r="BE583" s="2" t="s">
        <v>7244</v>
      </c>
      <c r="BF583" s="2" t="s">
        <v>7245</v>
      </c>
    </row>
    <row r="584" spans="1:58" ht="39.75" customHeight="1" x14ac:dyDescent="0.25">
      <c r="A584" s="7" t="s">
        <v>5</v>
      </c>
      <c r="B584" s="1" t="s">
        <v>0</v>
      </c>
      <c r="C584" s="1" t="s">
        <v>1</v>
      </c>
      <c r="D584" s="1" t="s">
        <v>7246</v>
      </c>
      <c r="E584" s="1" t="s">
        <v>7247</v>
      </c>
      <c r="F584" s="1" t="s">
        <v>7248</v>
      </c>
      <c r="H584" s="2" t="s">
        <v>5</v>
      </c>
      <c r="I584" s="2" t="s">
        <v>6</v>
      </c>
      <c r="J584" s="2" t="s">
        <v>5</v>
      </c>
      <c r="K584" s="2" t="s">
        <v>5</v>
      </c>
      <c r="L584" s="2" t="s">
        <v>7</v>
      </c>
      <c r="M584" s="1" t="s">
        <v>7249</v>
      </c>
      <c r="N584" s="1" t="s">
        <v>7250</v>
      </c>
      <c r="O584" s="2" t="s">
        <v>2859</v>
      </c>
      <c r="Q584" s="2" t="s">
        <v>1151</v>
      </c>
      <c r="R584" s="2" t="s">
        <v>2758</v>
      </c>
      <c r="S584" s="1" t="s">
        <v>7251</v>
      </c>
      <c r="T584" s="2" t="s">
        <v>13</v>
      </c>
      <c r="U584" s="3">
        <v>1</v>
      </c>
      <c r="V584" s="3">
        <v>1</v>
      </c>
      <c r="W584" s="4" t="s">
        <v>309</v>
      </c>
      <c r="X584" s="4" t="s">
        <v>309</v>
      </c>
      <c r="Y584" s="4" t="s">
        <v>6741</v>
      </c>
      <c r="Z584" s="4" t="s">
        <v>6741</v>
      </c>
      <c r="AA584" s="3">
        <v>125</v>
      </c>
      <c r="AB584" s="3">
        <v>93</v>
      </c>
      <c r="AC584" s="3">
        <v>101</v>
      </c>
      <c r="AD584" s="3">
        <v>3</v>
      </c>
      <c r="AE584" s="9">
        <v>3</v>
      </c>
      <c r="AF584" s="9">
        <v>6</v>
      </c>
      <c r="AG584" s="9">
        <v>6</v>
      </c>
      <c r="AH584" s="3">
        <v>0</v>
      </c>
      <c r="AI584" s="3">
        <v>0</v>
      </c>
      <c r="AJ584" s="3">
        <v>3</v>
      </c>
      <c r="AK584" s="3">
        <v>3</v>
      </c>
      <c r="AL584" s="3">
        <v>3</v>
      </c>
      <c r="AM584" s="3">
        <v>3</v>
      </c>
      <c r="AN584" s="3">
        <v>2</v>
      </c>
      <c r="AO584" s="3">
        <v>2</v>
      </c>
      <c r="AP584" s="3">
        <v>0</v>
      </c>
      <c r="AQ584" s="3">
        <v>0</v>
      </c>
      <c r="AR584" s="2" t="s">
        <v>5</v>
      </c>
      <c r="AS584" s="2" t="s">
        <v>46</v>
      </c>
      <c r="AT584" s="5" t="str">
        <f>HYPERLINK("http://catalog.hathitrust.org/Record/000601933","HathiTrust Record")</f>
        <v>HathiTrust Record</v>
      </c>
      <c r="AU584" s="5" t="str">
        <f>HYPERLINK("https://creighton-primo.hosted.exlibrisgroup.com/primo-explore/search?tab=default_tab&amp;search_scope=EVERYTHING&amp;vid=01CRU&amp;lang=en_US&amp;offset=0&amp;query=any,contains,991000646549702656","Catalog Record")</f>
        <v>Catalog Record</v>
      </c>
      <c r="AV584" s="5" t="str">
        <f>HYPERLINK("http://www.worldcat.org/oclc/12134568","WorldCat Record")</f>
        <v>WorldCat Record</v>
      </c>
      <c r="AW584" s="2" t="s">
        <v>7252</v>
      </c>
      <c r="AX584" s="2" t="s">
        <v>7253</v>
      </c>
      <c r="AY584" s="2" t="s">
        <v>7254</v>
      </c>
      <c r="AZ584" s="2" t="s">
        <v>7254</v>
      </c>
      <c r="BA584" s="2" t="s">
        <v>7255</v>
      </c>
      <c r="BB584" s="2" t="s">
        <v>20</v>
      </c>
      <c r="BD584" s="2" t="s">
        <v>7256</v>
      </c>
      <c r="BE584" s="2" t="s">
        <v>7257</v>
      </c>
      <c r="BF584" s="2" t="s">
        <v>7258</v>
      </c>
    </row>
    <row r="585" spans="1:58" ht="39.75" customHeight="1" x14ac:dyDescent="0.25">
      <c r="A585" s="7" t="s">
        <v>5</v>
      </c>
      <c r="B585" s="1" t="s">
        <v>0</v>
      </c>
      <c r="C585" s="1" t="s">
        <v>1</v>
      </c>
      <c r="D585" s="1" t="s">
        <v>7259</v>
      </c>
      <c r="E585" s="1" t="s">
        <v>7260</v>
      </c>
      <c r="F585" s="1" t="s">
        <v>7261</v>
      </c>
      <c r="H585" s="2" t="s">
        <v>5</v>
      </c>
      <c r="I585" s="2" t="s">
        <v>6</v>
      </c>
      <c r="J585" s="2" t="s">
        <v>5</v>
      </c>
      <c r="K585" s="2" t="s">
        <v>5</v>
      </c>
      <c r="L585" s="2" t="s">
        <v>7</v>
      </c>
      <c r="M585" s="1" t="s">
        <v>7262</v>
      </c>
      <c r="N585" s="1" t="s">
        <v>7263</v>
      </c>
      <c r="O585" s="2" t="s">
        <v>291</v>
      </c>
      <c r="P585" s="1" t="s">
        <v>2908</v>
      </c>
      <c r="Q585" s="2" t="s">
        <v>1151</v>
      </c>
      <c r="R585" s="2" t="s">
        <v>1152</v>
      </c>
      <c r="S585" s="1" t="s">
        <v>7264</v>
      </c>
      <c r="T585" s="2" t="s">
        <v>13</v>
      </c>
      <c r="U585" s="3">
        <v>2</v>
      </c>
      <c r="V585" s="3">
        <v>2</v>
      </c>
      <c r="W585" s="4" t="s">
        <v>5086</v>
      </c>
      <c r="X585" s="4" t="s">
        <v>5086</v>
      </c>
      <c r="Y585" s="4" t="s">
        <v>5086</v>
      </c>
      <c r="Z585" s="4" t="s">
        <v>5086</v>
      </c>
      <c r="AA585" s="3">
        <v>129</v>
      </c>
      <c r="AB585" s="3">
        <v>94</v>
      </c>
      <c r="AC585" s="3">
        <v>115</v>
      </c>
      <c r="AD585" s="3">
        <v>1</v>
      </c>
      <c r="AE585" s="9">
        <v>1</v>
      </c>
      <c r="AF585" s="9">
        <v>7</v>
      </c>
      <c r="AG585" s="9">
        <v>8</v>
      </c>
      <c r="AH585" s="3">
        <v>1</v>
      </c>
      <c r="AI585" s="3">
        <v>1</v>
      </c>
      <c r="AJ585" s="3">
        <v>2</v>
      </c>
      <c r="AK585" s="3">
        <v>3</v>
      </c>
      <c r="AL585" s="3">
        <v>5</v>
      </c>
      <c r="AM585" s="3">
        <v>5</v>
      </c>
      <c r="AN585" s="3">
        <v>0</v>
      </c>
      <c r="AO585" s="3">
        <v>0</v>
      </c>
      <c r="AP585" s="3">
        <v>0</v>
      </c>
      <c r="AQ585" s="3">
        <v>0</v>
      </c>
      <c r="AR585" s="2" t="s">
        <v>5</v>
      </c>
      <c r="AS585" s="2" t="s">
        <v>5</v>
      </c>
      <c r="AU585" s="5" t="str">
        <f>HYPERLINK("https://creighton-primo.hosted.exlibrisgroup.com/primo-explore/search?tab=default_tab&amp;search_scope=EVERYTHING&amp;vid=01CRU&amp;lang=en_US&amp;offset=0&amp;query=any,contains,991004523049702656","Catalog Record")</f>
        <v>Catalog Record</v>
      </c>
      <c r="AV585" s="5" t="str">
        <f>HYPERLINK("http://www.worldcat.org/oclc/3606978","WorldCat Record")</f>
        <v>WorldCat Record</v>
      </c>
      <c r="AW585" s="2" t="s">
        <v>7265</v>
      </c>
      <c r="AX585" s="2" t="s">
        <v>7266</v>
      </c>
      <c r="AY585" s="2" t="s">
        <v>7267</v>
      </c>
      <c r="AZ585" s="2" t="s">
        <v>7267</v>
      </c>
      <c r="BA585" s="2" t="s">
        <v>7268</v>
      </c>
      <c r="BB585" s="2" t="s">
        <v>20</v>
      </c>
      <c r="BD585" s="2" t="s">
        <v>7269</v>
      </c>
      <c r="BE585" s="2" t="s">
        <v>7270</v>
      </c>
      <c r="BF585" s="2" t="s">
        <v>7271</v>
      </c>
    </row>
    <row r="586" spans="1:58" ht="39.75" customHeight="1" x14ac:dyDescent="0.25">
      <c r="A586" s="7" t="s">
        <v>5</v>
      </c>
      <c r="B586" s="1" t="s">
        <v>0</v>
      </c>
      <c r="C586" s="1" t="s">
        <v>1</v>
      </c>
      <c r="D586" s="1" t="s">
        <v>7272</v>
      </c>
      <c r="E586" s="1" t="s">
        <v>7273</v>
      </c>
      <c r="F586" s="1" t="s">
        <v>7274</v>
      </c>
      <c r="H586" s="2" t="s">
        <v>5</v>
      </c>
      <c r="I586" s="2" t="s">
        <v>6</v>
      </c>
      <c r="J586" s="2" t="s">
        <v>5</v>
      </c>
      <c r="K586" s="2" t="s">
        <v>5</v>
      </c>
      <c r="L586" s="2" t="s">
        <v>7</v>
      </c>
      <c r="M586" s="1" t="s">
        <v>7275</v>
      </c>
      <c r="N586" s="1" t="s">
        <v>7276</v>
      </c>
      <c r="O586" s="2" t="s">
        <v>108</v>
      </c>
      <c r="Q586" s="2" t="s">
        <v>1151</v>
      </c>
      <c r="R586" s="2" t="s">
        <v>234</v>
      </c>
      <c r="T586" s="2" t="s">
        <v>13</v>
      </c>
      <c r="U586" s="3">
        <v>2</v>
      </c>
      <c r="V586" s="3">
        <v>2</v>
      </c>
      <c r="W586" s="4" t="s">
        <v>7277</v>
      </c>
      <c r="X586" s="4" t="s">
        <v>7277</v>
      </c>
      <c r="Y586" s="4" t="s">
        <v>7188</v>
      </c>
      <c r="Z586" s="4" t="s">
        <v>7188</v>
      </c>
      <c r="AA586" s="3">
        <v>168</v>
      </c>
      <c r="AB586" s="3">
        <v>130</v>
      </c>
      <c r="AC586" s="3">
        <v>138</v>
      </c>
      <c r="AD586" s="3">
        <v>1</v>
      </c>
      <c r="AE586" s="9">
        <v>2</v>
      </c>
      <c r="AF586" s="9">
        <v>4</v>
      </c>
      <c r="AG586" s="9">
        <v>5</v>
      </c>
      <c r="AH586" s="3">
        <v>0</v>
      </c>
      <c r="AI586" s="3">
        <v>0</v>
      </c>
      <c r="AJ586" s="3">
        <v>2</v>
      </c>
      <c r="AK586" s="3">
        <v>2</v>
      </c>
      <c r="AL586" s="3">
        <v>3</v>
      </c>
      <c r="AM586" s="3">
        <v>3</v>
      </c>
      <c r="AN586" s="3">
        <v>0</v>
      </c>
      <c r="AO586" s="3">
        <v>1</v>
      </c>
      <c r="AP586" s="3">
        <v>0</v>
      </c>
      <c r="AQ586" s="3">
        <v>0</v>
      </c>
      <c r="AR586" s="2" t="s">
        <v>5</v>
      </c>
      <c r="AS586" s="2" t="s">
        <v>46</v>
      </c>
      <c r="AT586" s="5" t="str">
        <f>HYPERLINK("http://catalog.hathitrust.org/Record/001051094","HathiTrust Record")</f>
        <v>HathiTrust Record</v>
      </c>
      <c r="AU586" s="5" t="str">
        <f>HYPERLINK("https://creighton-primo.hosted.exlibrisgroup.com/primo-explore/search?tab=default_tab&amp;search_scope=EVERYTHING&amp;vid=01CRU&amp;lang=en_US&amp;offset=0&amp;query=any,contains,991003052409702656","Catalog Record")</f>
        <v>Catalog Record</v>
      </c>
      <c r="AV586" s="5" t="str">
        <f>HYPERLINK("http://www.worldcat.org/oclc/611790","WorldCat Record")</f>
        <v>WorldCat Record</v>
      </c>
      <c r="AW586" s="2" t="s">
        <v>7278</v>
      </c>
      <c r="AX586" s="2" t="s">
        <v>7279</v>
      </c>
      <c r="AY586" s="2" t="s">
        <v>7280</v>
      </c>
      <c r="AZ586" s="2" t="s">
        <v>7280</v>
      </c>
      <c r="BA586" s="2" t="s">
        <v>7281</v>
      </c>
      <c r="BB586" s="2" t="s">
        <v>20</v>
      </c>
      <c r="BE586" s="2" t="s">
        <v>7282</v>
      </c>
      <c r="BF586" s="2" t="s">
        <v>7283</v>
      </c>
    </row>
    <row r="587" spans="1:58" ht="39.75" customHeight="1" x14ac:dyDescent="0.25">
      <c r="A587" s="7" t="s">
        <v>5</v>
      </c>
      <c r="B587" s="1" t="s">
        <v>0</v>
      </c>
      <c r="C587" s="1" t="s">
        <v>1</v>
      </c>
      <c r="D587" s="1" t="s">
        <v>7284</v>
      </c>
      <c r="E587" s="1" t="s">
        <v>7285</v>
      </c>
      <c r="F587" s="1" t="s">
        <v>7286</v>
      </c>
      <c r="H587" s="2" t="s">
        <v>5</v>
      </c>
      <c r="I587" s="2" t="s">
        <v>6</v>
      </c>
      <c r="J587" s="2" t="s">
        <v>5</v>
      </c>
      <c r="K587" s="2" t="s">
        <v>5</v>
      </c>
      <c r="L587" s="2" t="s">
        <v>7</v>
      </c>
      <c r="M587" s="1" t="s">
        <v>7287</v>
      </c>
      <c r="N587" s="1" t="s">
        <v>7288</v>
      </c>
      <c r="O587" s="2" t="s">
        <v>108</v>
      </c>
      <c r="Q587" s="2" t="s">
        <v>1151</v>
      </c>
      <c r="R587" s="2" t="s">
        <v>3002</v>
      </c>
      <c r="T587" s="2" t="s">
        <v>13</v>
      </c>
      <c r="U587" s="3">
        <v>2</v>
      </c>
      <c r="V587" s="3">
        <v>2</v>
      </c>
      <c r="W587" s="4" t="s">
        <v>5137</v>
      </c>
      <c r="X587" s="4" t="s">
        <v>5137</v>
      </c>
      <c r="Y587" s="4" t="s">
        <v>5137</v>
      </c>
      <c r="Z587" s="4" t="s">
        <v>5137</v>
      </c>
      <c r="AA587" s="3">
        <v>25</v>
      </c>
      <c r="AB587" s="3">
        <v>22</v>
      </c>
      <c r="AC587" s="3">
        <v>30</v>
      </c>
      <c r="AD587" s="3">
        <v>2</v>
      </c>
      <c r="AE587" s="9">
        <v>2</v>
      </c>
      <c r="AF587" s="9">
        <v>2</v>
      </c>
      <c r="AG587" s="9">
        <v>2</v>
      </c>
      <c r="AH587" s="3">
        <v>0</v>
      </c>
      <c r="AI587" s="3">
        <v>0</v>
      </c>
      <c r="AJ587" s="3">
        <v>0</v>
      </c>
      <c r="AK587" s="3">
        <v>0</v>
      </c>
      <c r="AL587" s="3">
        <v>1</v>
      </c>
      <c r="AM587" s="3">
        <v>1</v>
      </c>
      <c r="AN587" s="3">
        <v>1</v>
      </c>
      <c r="AO587" s="3">
        <v>1</v>
      </c>
      <c r="AP587" s="3">
        <v>0</v>
      </c>
      <c r="AQ587" s="3">
        <v>0</v>
      </c>
      <c r="AR587" s="2" t="s">
        <v>5</v>
      </c>
      <c r="AS587" s="2" t="s">
        <v>46</v>
      </c>
      <c r="AT587" s="5" t="str">
        <f>HYPERLINK("http://catalog.hathitrust.org/Record/009506574","HathiTrust Record")</f>
        <v>HathiTrust Record</v>
      </c>
      <c r="AU587" s="5" t="str">
        <f>HYPERLINK("https://creighton-primo.hosted.exlibrisgroup.com/primo-explore/search?tab=default_tab&amp;search_scope=EVERYTHING&amp;vid=01CRU&amp;lang=en_US&amp;offset=0&amp;query=any,contains,991004509859702656","Catalog Record")</f>
        <v>Catalog Record</v>
      </c>
      <c r="AV587" s="5" t="str">
        <f>HYPERLINK("http://www.worldcat.org/oclc/664572","WorldCat Record")</f>
        <v>WorldCat Record</v>
      </c>
      <c r="AW587" s="2" t="s">
        <v>7289</v>
      </c>
      <c r="AX587" s="2" t="s">
        <v>7290</v>
      </c>
      <c r="AY587" s="2" t="s">
        <v>7291</v>
      </c>
      <c r="AZ587" s="2" t="s">
        <v>7291</v>
      </c>
      <c r="BA587" s="2" t="s">
        <v>7292</v>
      </c>
      <c r="BB587" s="2" t="s">
        <v>20</v>
      </c>
      <c r="BE587" s="2" t="s">
        <v>7293</v>
      </c>
      <c r="BF587" s="2" t="s">
        <v>7294</v>
      </c>
    </row>
    <row r="588" spans="1:58" ht="39.75" customHeight="1" x14ac:dyDescent="0.25">
      <c r="A588" s="7" t="s">
        <v>5</v>
      </c>
      <c r="B588" s="1" t="s">
        <v>0</v>
      </c>
      <c r="C588" s="1" t="s">
        <v>1</v>
      </c>
      <c r="D588" s="1" t="s">
        <v>7295</v>
      </c>
      <c r="E588" s="1" t="s">
        <v>7296</v>
      </c>
      <c r="F588" s="1" t="s">
        <v>7297</v>
      </c>
      <c r="H588" s="2" t="s">
        <v>5</v>
      </c>
      <c r="I588" s="2" t="s">
        <v>6</v>
      </c>
      <c r="J588" s="2" t="s">
        <v>5</v>
      </c>
      <c r="K588" s="2" t="s">
        <v>5</v>
      </c>
      <c r="L588" s="2" t="s">
        <v>7</v>
      </c>
      <c r="M588" s="1" t="s">
        <v>7298</v>
      </c>
      <c r="N588" s="1" t="s">
        <v>7299</v>
      </c>
      <c r="O588" s="2" t="s">
        <v>3817</v>
      </c>
      <c r="Q588" s="2" t="s">
        <v>1151</v>
      </c>
      <c r="R588" s="2" t="s">
        <v>7161</v>
      </c>
      <c r="S588" s="1" t="s">
        <v>7300</v>
      </c>
      <c r="T588" s="2" t="s">
        <v>13</v>
      </c>
      <c r="U588" s="3">
        <v>2</v>
      </c>
      <c r="V588" s="3">
        <v>2</v>
      </c>
      <c r="W588" s="4" t="s">
        <v>5032</v>
      </c>
      <c r="X588" s="4" t="s">
        <v>5032</v>
      </c>
      <c r="Y588" s="4" t="s">
        <v>5032</v>
      </c>
      <c r="Z588" s="4" t="s">
        <v>5032</v>
      </c>
      <c r="AA588" s="3">
        <v>79</v>
      </c>
      <c r="AB588" s="3">
        <v>56</v>
      </c>
      <c r="AC588" s="3">
        <v>58</v>
      </c>
      <c r="AD588" s="3">
        <v>1</v>
      </c>
      <c r="AE588" s="9">
        <v>1</v>
      </c>
      <c r="AF588" s="9">
        <v>1</v>
      </c>
      <c r="AG588" s="9">
        <v>1</v>
      </c>
      <c r="AH588" s="3">
        <v>0</v>
      </c>
      <c r="AI588" s="3">
        <v>0</v>
      </c>
      <c r="AJ588" s="3">
        <v>0</v>
      </c>
      <c r="AK588" s="3">
        <v>0</v>
      </c>
      <c r="AL588" s="3">
        <v>1</v>
      </c>
      <c r="AM588" s="3">
        <v>1</v>
      </c>
      <c r="AN588" s="3">
        <v>0</v>
      </c>
      <c r="AO588" s="3">
        <v>0</v>
      </c>
      <c r="AP588" s="3">
        <v>0</v>
      </c>
      <c r="AQ588" s="3">
        <v>0</v>
      </c>
      <c r="AR588" s="2" t="s">
        <v>5</v>
      </c>
      <c r="AS588" s="2" t="s">
        <v>46</v>
      </c>
      <c r="AT588" s="5" t="str">
        <f>HYPERLINK("http://catalog.hathitrust.org/Record/003324555","HathiTrust Record")</f>
        <v>HathiTrust Record</v>
      </c>
      <c r="AU588" s="5" t="str">
        <f>HYPERLINK("https://creighton-primo.hosted.exlibrisgroup.com/primo-explore/search?tab=default_tab&amp;search_scope=EVERYTHING&amp;vid=01CRU&amp;lang=en_US&amp;offset=0&amp;query=any,contains,991004489789702656","Catalog Record")</f>
        <v>Catalog Record</v>
      </c>
      <c r="AV588" s="5" t="str">
        <f>HYPERLINK("http://www.worldcat.org/oclc/37715500","WorldCat Record")</f>
        <v>WorldCat Record</v>
      </c>
      <c r="AW588" s="2" t="s">
        <v>7301</v>
      </c>
      <c r="AX588" s="2" t="s">
        <v>7302</v>
      </c>
      <c r="AY588" s="2" t="s">
        <v>7303</v>
      </c>
      <c r="AZ588" s="2" t="s">
        <v>7303</v>
      </c>
      <c r="BA588" s="2" t="s">
        <v>7304</v>
      </c>
      <c r="BB588" s="2" t="s">
        <v>20</v>
      </c>
      <c r="BD588" s="2" t="s">
        <v>7305</v>
      </c>
      <c r="BE588" s="2" t="s">
        <v>7306</v>
      </c>
      <c r="BF588" s="2" t="s">
        <v>7307</v>
      </c>
    </row>
    <row r="589" spans="1:58" ht="39.75" customHeight="1" x14ac:dyDescent="0.25">
      <c r="A589" s="7" t="s">
        <v>5</v>
      </c>
      <c r="B589" s="1" t="s">
        <v>0</v>
      </c>
      <c r="C589" s="1" t="s">
        <v>1</v>
      </c>
      <c r="D589" s="1" t="s">
        <v>7308</v>
      </c>
      <c r="E589" s="1" t="s">
        <v>7309</v>
      </c>
      <c r="F589" s="1" t="s">
        <v>7310</v>
      </c>
      <c r="H589" s="2" t="s">
        <v>5</v>
      </c>
      <c r="I589" s="2" t="s">
        <v>6</v>
      </c>
      <c r="J589" s="2" t="s">
        <v>5</v>
      </c>
      <c r="K589" s="2" t="s">
        <v>5</v>
      </c>
      <c r="L589" s="2" t="s">
        <v>7</v>
      </c>
      <c r="M589" s="1" t="s">
        <v>7311</v>
      </c>
      <c r="N589" s="1" t="s">
        <v>7312</v>
      </c>
      <c r="O589" s="2" t="s">
        <v>639</v>
      </c>
      <c r="Q589" s="2" t="s">
        <v>1151</v>
      </c>
      <c r="R589" s="2" t="s">
        <v>1152</v>
      </c>
      <c r="T589" s="2" t="s">
        <v>13</v>
      </c>
      <c r="U589" s="3">
        <v>2</v>
      </c>
      <c r="V589" s="3">
        <v>2</v>
      </c>
      <c r="W589" s="4" t="s">
        <v>5032</v>
      </c>
      <c r="X589" s="4" t="s">
        <v>5032</v>
      </c>
      <c r="Y589" s="4" t="s">
        <v>5032</v>
      </c>
      <c r="Z589" s="4" t="s">
        <v>5032</v>
      </c>
      <c r="AA589" s="3">
        <v>60</v>
      </c>
      <c r="AB589" s="3">
        <v>37</v>
      </c>
      <c r="AC589" s="3">
        <v>39</v>
      </c>
      <c r="AD589" s="3">
        <v>2</v>
      </c>
      <c r="AE589" s="9">
        <v>2</v>
      </c>
      <c r="AF589" s="9">
        <v>2</v>
      </c>
      <c r="AG589" s="9">
        <v>2</v>
      </c>
      <c r="AH589" s="3">
        <v>0</v>
      </c>
      <c r="AI589" s="3">
        <v>0</v>
      </c>
      <c r="AJ589" s="3">
        <v>1</v>
      </c>
      <c r="AK589" s="3">
        <v>1</v>
      </c>
      <c r="AL589" s="3">
        <v>1</v>
      </c>
      <c r="AM589" s="3">
        <v>1</v>
      </c>
      <c r="AN589" s="3">
        <v>1</v>
      </c>
      <c r="AO589" s="3">
        <v>1</v>
      </c>
      <c r="AP589" s="3">
        <v>0</v>
      </c>
      <c r="AQ589" s="3">
        <v>0</v>
      </c>
      <c r="AR589" s="2" t="s">
        <v>5</v>
      </c>
      <c r="AS589" s="2" t="s">
        <v>46</v>
      </c>
      <c r="AT589" s="5" t="str">
        <f>HYPERLINK("http://catalog.hathitrust.org/Record/001536462","HathiTrust Record")</f>
        <v>HathiTrust Record</v>
      </c>
      <c r="AU589" s="5" t="str">
        <f>HYPERLINK("https://creighton-primo.hosted.exlibrisgroup.com/primo-explore/search?tab=default_tab&amp;search_scope=EVERYTHING&amp;vid=01CRU&amp;lang=en_US&amp;offset=0&amp;query=any,contains,991004490389702656","Catalog Record")</f>
        <v>Catalog Record</v>
      </c>
      <c r="AV589" s="5" t="str">
        <f>HYPERLINK("http://www.worldcat.org/oclc/20071659","WorldCat Record")</f>
        <v>WorldCat Record</v>
      </c>
      <c r="AW589" s="2" t="s">
        <v>7313</v>
      </c>
      <c r="AX589" s="2" t="s">
        <v>7314</v>
      </c>
      <c r="AY589" s="2" t="s">
        <v>7315</v>
      </c>
      <c r="AZ589" s="2" t="s">
        <v>7315</v>
      </c>
      <c r="BA589" s="2" t="s">
        <v>7316</v>
      </c>
      <c r="BB589" s="2" t="s">
        <v>20</v>
      </c>
      <c r="BD589" s="2" t="s">
        <v>7317</v>
      </c>
      <c r="BE589" s="2" t="s">
        <v>7318</v>
      </c>
      <c r="BF589" s="2" t="s">
        <v>7319</v>
      </c>
    </row>
    <row r="590" spans="1:58" ht="39.75" customHeight="1" x14ac:dyDescent="0.25">
      <c r="A590" s="7" t="s">
        <v>5</v>
      </c>
      <c r="B590" s="1" t="s">
        <v>0</v>
      </c>
      <c r="C590" s="1" t="s">
        <v>1</v>
      </c>
      <c r="D590" s="1" t="s">
        <v>7320</v>
      </c>
      <c r="E590" s="1" t="s">
        <v>7321</v>
      </c>
      <c r="F590" s="1" t="s">
        <v>7322</v>
      </c>
      <c r="H590" s="2" t="s">
        <v>5</v>
      </c>
      <c r="I590" s="2" t="s">
        <v>6</v>
      </c>
      <c r="J590" s="2" t="s">
        <v>5</v>
      </c>
      <c r="K590" s="2" t="s">
        <v>5</v>
      </c>
      <c r="L590" s="2" t="s">
        <v>7</v>
      </c>
      <c r="M590" s="1" t="s">
        <v>7323</v>
      </c>
      <c r="N590" s="1" t="s">
        <v>7324</v>
      </c>
      <c r="O590" s="2" t="s">
        <v>639</v>
      </c>
      <c r="P590" s="1" t="s">
        <v>6210</v>
      </c>
      <c r="Q590" s="2" t="s">
        <v>1151</v>
      </c>
      <c r="R590" s="2" t="s">
        <v>1152</v>
      </c>
      <c r="S590" s="1" t="s">
        <v>7325</v>
      </c>
      <c r="T590" s="2" t="s">
        <v>13</v>
      </c>
      <c r="U590" s="3">
        <v>3</v>
      </c>
      <c r="V590" s="3">
        <v>3</v>
      </c>
      <c r="W590" s="4" t="s">
        <v>7326</v>
      </c>
      <c r="X590" s="4" t="s">
        <v>7326</v>
      </c>
      <c r="Y590" s="4" t="s">
        <v>7327</v>
      </c>
      <c r="Z590" s="4" t="s">
        <v>7327</v>
      </c>
      <c r="AA590" s="3">
        <v>24</v>
      </c>
      <c r="AB590" s="3">
        <v>13</v>
      </c>
      <c r="AC590" s="3">
        <v>125</v>
      </c>
      <c r="AD590" s="3">
        <v>1</v>
      </c>
      <c r="AE590" s="9">
        <v>1</v>
      </c>
      <c r="AF590" s="9">
        <v>0</v>
      </c>
      <c r="AG590" s="9">
        <v>4</v>
      </c>
      <c r="AH590" s="3">
        <v>0</v>
      </c>
      <c r="AI590" s="3">
        <v>1</v>
      </c>
      <c r="AJ590" s="3">
        <v>0</v>
      </c>
      <c r="AK590" s="3">
        <v>4</v>
      </c>
      <c r="AL590" s="3">
        <v>0</v>
      </c>
      <c r="AM590" s="3">
        <v>1</v>
      </c>
      <c r="AN590" s="3">
        <v>0</v>
      </c>
      <c r="AO590" s="3">
        <v>0</v>
      </c>
      <c r="AP590" s="3">
        <v>0</v>
      </c>
      <c r="AQ590" s="3">
        <v>0</v>
      </c>
      <c r="AR590" s="2" t="s">
        <v>5</v>
      </c>
      <c r="AS590" s="2" t="s">
        <v>5</v>
      </c>
      <c r="AU590" s="5" t="str">
        <f>HYPERLINK("https://creighton-primo.hosted.exlibrisgroup.com/primo-explore/search?tab=default_tab&amp;search_scope=EVERYTHING&amp;vid=01CRU&amp;lang=en_US&amp;offset=0&amp;query=any,contains,991001739529702656","Catalog Record")</f>
        <v>Catalog Record</v>
      </c>
      <c r="AV590" s="5" t="str">
        <f>HYPERLINK("http://www.worldcat.org/oclc/21978774","WorldCat Record")</f>
        <v>WorldCat Record</v>
      </c>
      <c r="AW590" s="2" t="s">
        <v>7328</v>
      </c>
      <c r="AX590" s="2" t="s">
        <v>7329</v>
      </c>
      <c r="AY590" s="2" t="s">
        <v>7330</v>
      </c>
      <c r="AZ590" s="2" t="s">
        <v>7330</v>
      </c>
      <c r="BA590" s="2" t="s">
        <v>7331</v>
      </c>
      <c r="BB590" s="2" t="s">
        <v>20</v>
      </c>
      <c r="BD590" s="2" t="s">
        <v>7332</v>
      </c>
      <c r="BE590" s="2" t="s">
        <v>7333</v>
      </c>
      <c r="BF590" s="2" t="s">
        <v>7334</v>
      </c>
    </row>
    <row r="591" spans="1:58" ht="39.75" customHeight="1" x14ac:dyDescent="0.25">
      <c r="A591" s="7" t="s">
        <v>5</v>
      </c>
      <c r="B591" s="1" t="s">
        <v>0</v>
      </c>
      <c r="C591" s="1" t="s">
        <v>1</v>
      </c>
      <c r="D591" s="1" t="s">
        <v>7335</v>
      </c>
      <c r="E591" s="1" t="s">
        <v>7336</v>
      </c>
      <c r="F591" s="1" t="s">
        <v>7337</v>
      </c>
      <c r="H591" s="2" t="s">
        <v>5</v>
      </c>
      <c r="I591" s="2" t="s">
        <v>6</v>
      </c>
      <c r="J591" s="2" t="s">
        <v>5</v>
      </c>
      <c r="K591" s="2" t="s">
        <v>5</v>
      </c>
      <c r="L591" s="2" t="s">
        <v>7</v>
      </c>
      <c r="M591" s="1" t="s">
        <v>7323</v>
      </c>
      <c r="N591" s="1" t="s">
        <v>7338</v>
      </c>
      <c r="O591" s="2" t="s">
        <v>736</v>
      </c>
      <c r="P591" s="1" t="s">
        <v>7339</v>
      </c>
      <c r="Q591" s="2" t="s">
        <v>1151</v>
      </c>
      <c r="R591" s="2" t="s">
        <v>1152</v>
      </c>
      <c r="S591" s="1" t="s">
        <v>7340</v>
      </c>
      <c r="T591" s="2" t="s">
        <v>13</v>
      </c>
      <c r="U591" s="3">
        <v>4</v>
      </c>
      <c r="V591" s="3">
        <v>4</v>
      </c>
      <c r="W591" s="4" t="s">
        <v>7326</v>
      </c>
      <c r="X591" s="4" t="s">
        <v>7326</v>
      </c>
      <c r="Y591" s="4" t="s">
        <v>7341</v>
      </c>
      <c r="Z591" s="4" t="s">
        <v>7341</v>
      </c>
      <c r="AA591" s="3">
        <v>16</v>
      </c>
      <c r="AB591" s="3">
        <v>12</v>
      </c>
      <c r="AC591" s="3">
        <v>387</v>
      </c>
      <c r="AD591" s="3">
        <v>1</v>
      </c>
      <c r="AE591" s="9">
        <v>3</v>
      </c>
      <c r="AF591" s="9">
        <v>0</v>
      </c>
      <c r="AG591" s="9">
        <v>20</v>
      </c>
      <c r="AH591" s="3">
        <v>0</v>
      </c>
      <c r="AI591" s="3">
        <v>7</v>
      </c>
      <c r="AJ591" s="3">
        <v>0</v>
      </c>
      <c r="AK591" s="3">
        <v>8</v>
      </c>
      <c r="AL591" s="3">
        <v>0</v>
      </c>
      <c r="AM591" s="3">
        <v>8</v>
      </c>
      <c r="AN591" s="3">
        <v>0</v>
      </c>
      <c r="AO591" s="3">
        <v>2</v>
      </c>
      <c r="AP591" s="3">
        <v>0</v>
      </c>
      <c r="AQ591" s="3">
        <v>0</v>
      </c>
      <c r="AR591" s="2" t="s">
        <v>5</v>
      </c>
      <c r="AS591" s="2" t="s">
        <v>5</v>
      </c>
      <c r="AU591" s="5" t="str">
        <f>HYPERLINK("https://creighton-primo.hosted.exlibrisgroup.com/primo-explore/search?tab=default_tab&amp;search_scope=EVERYTHING&amp;vid=01CRU&amp;lang=en_US&amp;offset=0&amp;query=any,contains,991002290719702656","Catalog Record")</f>
        <v>Catalog Record</v>
      </c>
      <c r="AV591" s="5" t="str">
        <f>HYPERLINK("http://www.worldcat.org/oclc/29693788","WorldCat Record")</f>
        <v>WorldCat Record</v>
      </c>
      <c r="AW591" s="2" t="s">
        <v>7342</v>
      </c>
      <c r="AX591" s="2" t="s">
        <v>7343</v>
      </c>
      <c r="AY591" s="2" t="s">
        <v>7344</v>
      </c>
      <c r="AZ591" s="2" t="s">
        <v>7344</v>
      </c>
      <c r="BA591" s="2" t="s">
        <v>7345</v>
      </c>
      <c r="BB591" s="2" t="s">
        <v>20</v>
      </c>
      <c r="BD591" s="2" t="s">
        <v>7346</v>
      </c>
      <c r="BE591" s="2" t="s">
        <v>7347</v>
      </c>
      <c r="BF591" s="2" t="s">
        <v>7348</v>
      </c>
    </row>
    <row r="592" spans="1:58" ht="39.75" customHeight="1" x14ac:dyDescent="0.25">
      <c r="A592" s="7" t="s">
        <v>5</v>
      </c>
      <c r="B592" s="1" t="s">
        <v>0</v>
      </c>
      <c r="C592" s="1" t="s">
        <v>1</v>
      </c>
      <c r="D592" s="1" t="s">
        <v>7349</v>
      </c>
      <c r="E592" s="1" t="s">
        <v>7350</v>
      </c>
      <c r="F592" s="1" t="s">
        <v>7351</v>
      </c>
      <c r="H592" s="2" t="s">
        <v>5</v>
      </c>
      <c r="I592" s="2" t="s">
        <v>6</v>
      </c>
      <c r="J592" s="2" t="s">
        <v>5</v>
      </c>
      <c r="K592" s="2" t="s">
        <v>5</v>
      </c>
      <c r="L592" s="2" t="s">
        <v>7</v>
      </c>
      <c r="M592" s="1" t="s">
        <v>7352</v>
      </c>
      <c r="N592" s="1" t="s">
        <v>7353</v>
      </c>
      <c r="O592" s="2" t="s">
        <v>524</v>
      </c>
      <c r="Q592" s="2" t="s">
        <v>1151</v>
      </c>
      <c r="R592" s="2" t="s">
        <v>234</v>
      </c>
      <c r="S592" s="1" t="s">
        <v>7354</v>
      </c>
      <c r="T592" s="2" t="s">
        <v>13</v>
      </c>
      <c r="U592" s="3">
        <v>2</v>
      </c>
      <c r="V592" s="3">
        <v>2</v>
      </c>
      <c r="W592" s="4" t="s">
        <v>7326</v>
      </c>
      <c r="X592" s="4" t="s">
        <v>7326</v>
      </c>
      <c r="Y592" s="4" t="s">
        <v>7188</v>
      </c>
      <c r="Z592" s="4" t="s">
        <v>7188</v>
      </c>
      <c r="AA592" s="3">
        <v>69</v>
      </c>
      <c r="AB592" s="3">
        <v>52</v>
      </c>
      <c r="AC592" s="3">
        <v>54</v>
      </c>
      <c r="AD592" s="3">
        <v>2</v>
      </c>
      <c r="AE592" s="9">
        <v>2</v>
      </c>
      <c r="AF592" s="9">
        <v>4</v>
      </c>
      <c r="AG592" s="9">
        <v>4</v>
      </c>
      <c r="AH592" s="3">
        <v>1</v>
      </c>
      <c r="AI592" s="3">
        <v>1</v>
      </c>
      <c r="AJ592" s="3">
        <v>1</v>
      </c>
      <c r="AK592" s="3">
        <v>1</v>
      </c>
      <c r="AL592" s="3">
        <v>3</v>
      </c>
      <c r="AM592" s="3">
        <v>3</v>
      </c>
      <c r="AN592" s="3">
        <v>1</v>
      </c>
      <c r="AO592" s="3">
        <v>1</v>
      </c>
      <c r="AP592" s="3">
        <v>0</v>
      </c>
      <c r="AQ592" s="3">
        <v>0</v>
      </c>
      <c r="AR592" s="2" t="s">
        <v>5</v>
      </c>
      <c r="AS592" s="2" t="s">
        <v>46</v>
      </c>
      <c r="AT592" s="5" t="str">
        <f>HYPERLINK("http://catalog.hathitrust.org/Record/001051642","HathiTrust Record")</f>
        <v>HathiTrust Record</v>
      </c>
      <c r="AU592" s="5" t="str">
        <f>HYPERLINK("https://creighton-primo.hosted.exlibrisgroup.com/primo-explore/search?tab=default_tab&amp;search_scope=EVERYTHING&amp;vid=01CRU&amp;lang=en_US&amp;offset=0&amp;query=any,contains,991003555869702656","Catalog Record")</f>
        <v>Catalog Record</v>
      </c>
      <c r="AV592" s="5" t="str">
        <f>HYPERLINK("http://www.worldcat.org/oclc/1124196","WorldCat Record")</f>
        <v>WorldCat Record</v>
      </c>
      <c r="AW592" s="2" t="s">
        <v>7355</v>
      </c>
      <c r="AX592" s="2" t="s">
        <v>7356</v>
      </c>
      <c r="AY592" s="2" t="s">
        <v>7357</v>
      </c>
      <c r="AZ592" s="2" t="s">
        <v>7357</v>
      </c>
      <c r="BA592" s="2" t="s">
        <v>7358</v>
      </c>
      <c r="BB592" s="2" t="s">
        <v>20</v>
      </c>
      <c r="BE592" s="2" t="s">
        <v>7359</v>
      </c>
      <c r="BF592" s="2" t="s">
        <v>7360</v>
      </c>
    </row>
    <row r="593" spans="1:58" ht="39.75" customHeight="1" x14ac:dyDescent="0.25">
      <c r="A593" s="7" t="s">
        <v>5</v>
      </c>
      <c r="B593" s="1" t="s">
        <v>0</v>
      </c>
      <c r="C593" s="1" t="s">
        <v>1</v>
      </c>
      <c r="D593" s="1" t="s">
        <v>7361</v>
      </c>
      <c r="E593" s="1" t="s">
        <v>7362</v>
      </c>
      <c r="F593" s="1" t="s">
        <v>7363</v>
      </c>
      <c r="H593" s="2" t="s">
        <v>5</v>
      </c>
      <c r="I593" s="2" t="s">
        <v>6</v>
      </c>
      <c r="J593" s="2" t="s">
        <v>5</v>
      </c>
      <c r="K593" s="2" t="s">
        <v>5</v>
      </c>
      <c r="L593" s="2" t="s">
        <v>7</v>
      </c>
      <c r="M593" s="1" t="s">
        <v>7364</v>
      </c>
      <c r="N593" s="1" t="s">
        <v>7365</v>
      </c>
      <c r="O593" s="2" t="s">
        <v>524</v>
      </c>
      <c r="P593" s="1" t="s">
        <v>5373</v>
      </c>
      <c r="Q593" s="2" t="s">
        <v>1151</v>
      </c>
      <c r="R593" s="2" t="s">
        <v>1152</v>
      </c>
      <c r="S593" s="1" t="s">
        <v>7366</v>
      </c>
      <c r="T593" s="2" t="s">
        <v>13</v>
      </c>
      <c r="U593" s="3">
        <v>3</v>
      </c>
      <c r="V593" s="3">
        <v>3</v>
      </c>
      <c r="W593" s="4" t="s">
        <v>7367</v>
      </c>
      <c r="X593" s="4" t="s">
        <v>7367</v>
      </c>
      <c r="Y593" s="4" t="s">
        <v>5237</v>
      </c>
      <c r="Z593" s="4" t="s">
        <v>5237</v>
      </c>
      <c r="AA593" s="3">
        <v>353</v>
      </c>
      <c r="AB593" s="3">
        <v>289</v>
      </c>
      <c r="AC593" s="3">
        <v>416</v>
      </c>
      <c r="AD593" s="3">
        <v>3</v>
      </c>
      <c r="AE593" s="9">
        <v>5</v>
      </c>
      <c r="AF593" s="9">
        <v>14</v>
      </c>
      <c r="AG593" s="9">
        <v>23</v>
      </c>
      <c r="AH593" s="3">
        <v>6</v>
      </c>
      <c r="AI593" s="3">
        <v>9</v>
      </c>
      <c r="AJ593" s="3">
        <v>3</v>
      </c>
      <c r="AK593" s="3">
        <v>5</v>
      </c>
      <c r="AL593" s="3">
        <v>8</v>
      </c>
      <c r="AM593" s="3">
        <v>12</v>
      </c>
      <c r="AN593" s="3">
        <v>2</v>
      </c>
      <c r="AO593" s="3">
        <v>4</v>
      </c>
      <c r="AP593" s="3">
        <v>0</v>
      </c>
      <c r="AQ593" s="3">
        <v>0</v>
      </c>
      <c r="AR593" s="2" t="s">
        <v>5</v>
      </c>
      <c r="AS593" s="2" t="s">
        <v>46</v>
      </c>
      <c r="AT593" s="5" t="str">
        <f>HYPERLINK("http://catalog.hathitrust.org/Record/008453593","HathiTrust Record")</f>
        <v>HathiTrust Record</v>
      </c>
      <c r="AU593" s="5" t="str">
        <f>HYPERLINK("https://creighton-primo.hosted.exlibrisgroup.com/primo-explore/search?tab=default_tab&amp;search_scope=EVERYTHING&amp;vid=01CRU&amp;lang=en_US&amp;offset=0&amp;query=any,contains,991002428869702656","Catalog Record")</f>
        <v>Catalog Record</v>
      </c>
      <c r="AV593" s="5" t="str">
        <f>HYPERLINK("http://www.worldcat.org/oclc/346078","WorldCat Record")</f>
        <v>WorldCat Record</v>
      </c>
      <c r="AW593" s="2" t="s">
        <v>7368</v>
      </c>
      <c r="AX593" s="2" t="s">
        <v>7369</v>
      </c>
      <c r="AY593" s="2" t="s">
        <v>7370</v>
      </c>
      <c r="AZ593" s="2" t="s">
        <v>7370</v>
      </c>
      <c r="BA593" s="2" t="s">
        <v>7371</v>
      </c>
      <c r="BB593" s="2" t="s">
        <v>20</v>
      </c>
      <c r="BE593" s="2" t="s">
        <v>7372</v>
      </c>
      <c r="BF593" s="2" t="s">
        <v>7373</v>
      </c>
    </row>
    <row r="594" spans="1:58" ht="39.75" customHeight="1" x14ac:dyDescent="0.25">
      <c r="A594" s="7" t="s">
        <v>5</v>
      </c>
      <c r="B594" s="1" t="s">
        <v>0</v>
      </c>
      <c r="C594" s="1" t="s">
        <v>1</v>
      </c>
      <c r="D594" s="1" t="s">
        <v>7374</v>
      </c>
      <c r="E594" s="1" t="s">
        <v>7375</v>
      </c>
      <c r="F594" s="1" t="s">
        <v>7376</v>
      </c>
      <c r="H594" s="2" t="s">
        <v>5</v>
      </c>
      <c r="I594" s="2" t="s">
        <v>6</v>
      </c>
      <c r="J594" s="2" t="s">
        <v>5</v>
      </c>
      <c r="K594" s="2" t="s">
        <v>5</v>
      </c>
      <c r="L594" s="2" t="s">
        <v>7</v>
      </c>
      <c r="M594" s="1" t="s">
        <v>7377</v>
      </c>
      <c r="N594" s="1" t="s">
        <v>7378</v>
      </c>
      <c r="O594" s="2" t="s">
        <v>76</v>
      </c>
      <c r="Q594" s="2" t="s">
        <v>1151</v>
      </c>
      <c r="R594" s="2" t="s">
        <v>1152</v>
      </c>
      <c r="S594" s="1" t="s">
        <v>6061</v>
      </c>
      <c r="T594" s="2" t="s">
        <v>13</v>
      </c>
      <c r="U594" s="3">
        <v>5</v>
      </c>
      <c r="V594" s="3">
        <v>5</v>
      </c>
      <c r="W594" s="4" t="s">
        <v>7379</v>
      </c>
      <c r="X594" s="4" t="s">
        <v>7379</v>
      </c>
      <c r="Y594" s="4" t="s">
        <v>5237</v>
      </c>
      <c r="Z594" s="4" t="s">
        <v>5237</v>
      </c>
      <c r="AA594" s="3">
        <v>341</v>
      </c>
      <c r="AB594" s="3">
        <v>268</v>
      </c>
      <c r="AC594" s="3">
        <v>290</v>
      </c>
      <c r="AD594" s="3">
        <v>2</v>
      </c>
      <c r="AE594" s="9">
        <v>3</v>
      </c>
      <c r="AF594" s="9">
        <v>13</v>
      </c>
      <c r="AG594" s="9">
        <v>14</v>
      </c>
      <c r="AH594" s="3">
        <v>6</v>
      </c>
      <c r="AI594" s="3">
        <v>6</v>
      </c>
      <c r="AJ594" s="3">
        <v>3</v>
      </c>
      <c r="AK594" s="3">
        <v>3</v>
      </c>
      <c r="AL594" s="3">
        <v>8</v>
      </c>
      <c r="AM594" s="3">
        <v>8</v>
      </c>
      <c r="AN594" s="3">
        <v>1</v>
      </c>
      <c r="AO594" s="3">
        <v>2</v>
      </c>
      <c r="AP594" s="3">
        <v>0</v>
      </c>
      <c r="AQ594" s="3">
        <v>0</v>
      </c>
      <c r="AR594" s="2" t="s">
        <v>5</v>
      </c>
      <c r="AS594" s="2" t="s">
        <v>46</v>
      </c>
      <c r="AT594" s="5" t="str">
        <f>HYPERLINK("http://catalog.hathitrust.org/Record/001051703","HathiTrust Record")</f>
        <v>HathiTrust Record</v>
      </c>
      <c r="AU594" s="5" t="str">
        <f>HYPERLINK("https://creighton-primo.hosted.exlibrisgroup.com/primo-explore/search?tab=default_tab&amp;search_scope=EVERYTHING&amp;vid=01CRU&amp;lang=en_US&amp;offset=0&amp;query=any,contains,991002431749702656","Catalog Record")</f>
        <v>Catalog Record</v>
      </c>
      <c r="AV594" s="5" t="str">
        <f>HYPERLINK("http://www.worldcat.org/oclc/347381","WorldCat Record")</f>
        <v>WorldCat Record</v>
      </c>
      <c r="AW594" s="2" t="s">
        <v>7380</v>
      </c>
      <c r="AX594" s="2" t="s">
        <v>7381</v>
      </c>
      <c r="AY594" s="2" t="s">
        <v>7382</v>
      </c>
      <c r="AZ594" s="2" t="s">
        <v>7382</v>
      </c>
      <c r="BA594" s="2" t="s">
        <v>7383</v>
      </c>
      <c r="BB594" s="2" t="s">
        <v>20</v>
      </c>
      <c r="BE594" s="2" t="s">
        <v>7384</v>
      </c>
      <c r="BF594" s="2" t="s">
        <v>7385</v>
      </c>
    </row>
    <row r="595" spans="1:58" ht="39.75" customHeight="1" x14ac:dyDescent="0.25">
      <c r="A595" s="7" t="s">
        <v>5</v>
      </c>
      <c r="B595" s="1" t="s">
        <v>0</v>
      </c>
      <c r="C595" s="1" t="s">
        <v>1</v>
      </c>
      <c r="D595" s="1" t="s">
        <v>7386</v>
      </c>
      <c r="E595" s="1" t="s">
        <v>7387</v>
      </c>
      <c r="F595" s="1" t="s">
        <v>7388</v>
      </c>
      <c r="H595" s="2" t="s">
        <v>5</v>
      </c>
      <c r="I595" s="2" t="s">
        <v>6</v>
      </c>
      <c r="J595" s="2" t="s">
        <v>5</v>
      </c>
      <c r="K595" s="2" t="s">
        <v>5</v>
      </c>
      <c r="L595" s="2" t="s">
        <v>7</v>
      </c>
      <c r="M595" s="1" t="s">
        <v>7389</v>
      </c>
      <c r="N595" s="1" t="s">
        <v>7390</v>
      </c>
      <c r="O595" s="2" t="s">
        <v>2859</v>
      </c>
      <c r="P595" s="1" t="s">
        <v>7391</v>
      </c>
      <c r="Q595" s="2" t="s">
        <v>1151</v>
      </c>
      <c r="R595" s="2" t="s">
        <v>193</v>
      </c>
      <c r="S595" s="1" t="s">
        <v>7392</v>
      </c>
      <c r="T595" s="2" t="s">
        <v>13</v>
      </c>
      <c r="U595" s="3">
        <v>2</v>
      </c>
      <c r="V595" s="3">
        <v>2</v>
      </c>
      <c r="W595" s="4" t="s">
        <v>5518</v>
      </c>
      <c r="X595" s="4" t="s">
        <v>5518</v>
      </c>
      <c r="Y595" s="4" t="s">
        <v>5518</v>
      </c>
      <c r="Z595" s="4" t="s">
        <v>5518</v>
      </c>
      <c r="AA595" s="3">
        <v>33</v>
      </c>
      <c r="AB595" s="3">
        <v>31</v>
      </c>
      <c r="AC595" s="3">
        <v>32</v>
      </c>
      <c r="AD595" s="3">
        <v>2</v>
      </c>
      <c r="AE595" s="9">
        <v>2</v>
      </c>
      <c r="AF595" s="9">
        <v>3</v>
      </c>
      <c r="AG595" s="9">
        <v>3</v>
      </c>
      <c r="AH595" s="3">
        <v>1</v>
      </c>
      <c r="AI595" s="3">
        <v>1</v>
      </c>
      <c r="AJ595" s="3">
        <v>0</v>
      </c>
      <c r="AK595" s="3">
        <v>0</v>
      </c>
      <c r="AL595" s="3">
        <v>1</v>
      </c>
      <c r="AM595" s="3">
        <v>1</v>
      </c>
      <c r="AN595" s="3">
        <v>1</v>
      </c>
      <c r="AO595" s="3">
        <v>1</v>
      </c>
      <c r="AP595" s="3">
        <v>0</v>
      </c>
      <c r="AQ595" s="3">
        <v>0</v>
      </c>
      <c r="AR595" s="2" t="s">
        <v>5</v>
      </c>
      <c r="AS595" s="2" t="s">
        <v>5</v>
      </c>
      <c r="AU595" s="5" t="str">
        <f>HYPERLINK("https://creighton-primo.hosted.exlibrisgroup.com/primo-explore/search?tab=default_tab&amp;search_scope=EVERYTHING&amp;vid=01CRU&amp;lang=en_US&amp;offset=0&amp;query=any,contains,991004508359702656","Catalog Record")</f>
        <v>Catalog Record</v>
      </c>
      <c r="AV595" s="5" t="str">
        <f>HYPERLINK("http://www.worldcat.org/oclc/11904870","WorldCat Record")</f>
        <v>WorldCat Record</v>
      </c>
      <c r="AW595" s="2" t="s">
        <v>7393</v>
      </c>
      <c r="AX595" s="2" t="s">
        <v>7394</v>
      </c>
      <c r="AY595" s="2" t="s">
        <v>7395</v>
      </c>
      <c r="AZ595" s="2" t="s">
        <v>7395</v>
      </c>
      <c r="BA595" s="2" t="s">
        <v>7396</v>
      </c>
      <c r="BB595" s="2" t="s">
        <v>20</v>
      </c>
      <c r="BD595" s="2" t="s">
        <v>7397</v>
      </c>
      <c r="BE595" s="2" t="s">
        <v>7398</v>
      </c>
      <c r="BF595" s="2" t="s">
        <v>7399</v>
      </c>
    </row>
    <row r="596" spans="1:58" ht="39.75" customHeight="1" x14ac:dyDescent="0.25">
      <c r="A596" s="7" t="s">
        <v>5</v>
      </c>
      <c r="B596" s="1" t="s">
        <v>0</v>
      </c>
      <c r="C596" s="1" t="s">
        <v>1</v>
      </c>
      <c r="D596" s="1" t="s">
        <v>7400</v>
      </c>
      <c r="E596" s="1" t="s">
        <v>7401</v>
      </c>
      <c r="F596" s="1" t="s">
        <v>7402</v>
      </c>
      <c r="H596" s="2" t="s">
        <v>5</v>
      </c>
      <c r="I596" s="2" t="s">
        <v>6</v>
      </c>
      <c r="J596" s="2" t="s">
        <v>5</v>
      </c>
      <c r="K596" s="2" t="s">
        <v>5</v>
      </c>
      <c r="L596" s="2" t="s">
        <v>7</v>
      </c>
      <c r="M596" s="1" t="s">
        <v>7403</v>
      </c>
      <c r="N596" s="1" t="s">
        <v>7404</v>
      </c>
      <c r="O596" s="2" t="s">
        <v>108</v>
      </c>
      <c r="Q596" s="2" t="s">
        <v>60</v>
      </c>
      <c r="R596" s="2" t="s">
        <v>61</v>
      </c>
      <c r="S596" s="1" t="s">
        <v>7405</v>
      </c>
      <c r="T596" s="2" t="s">
        <v>13</v>
      </c>
      <c r="U596" s="3">
        <v>10</v>
      </c>
      <c r="V596" s="3">
        <v>10</v>
      </c>
      <c r="W596" s="4" t="s">
        <v>2316</v>
      </c>
      <c r="X596" s="4" t="s">
        <v>2316</v>
      </c>
      <c r="Y596" s="4" t="s">
        <v>7406</v>
      </c>
      <c r="Z596" s="4" t="s">
        <v>7406</v>
      </c>
      <c r="AA596" s="3">
        <v>661</v>
      </c>
      <c r="AB596" s="3">
        <v>587</v>
      </c>
      <c r="AC596" s="3">
        <v>595</v>
      </c>
      <c r="AD596" s="3">
        <v>6</v>
      </c>
      <c r="AE596" s="9">
        <v>6</v>
      </c>
      <c r="AF596" s="9">
        <v>32</v>
      </c>
      <c r="AG596" s="9">
        <v>32</v>
      </c>
      <c r="AH596" s="3">
        <v>12</v>
      </c>
      <c r="AI596" s="3">
        <v>12</v>
      </c>
      <c r="AJ596" s="3">
        <v>7</v>
      </c>
      <c r="AK596" s="3">
        <v>7</v>
      </c>
      <c r="AL596" s="3">
        <v>18</v>
      </c>
      <c r="AM596" s="3">
        <v>18</v>
      </c>
      <c r="AN596" s="3">
        <v>5</v>
      </c>
      <c r="AO596" s="3">
        <v>5</v>
      </c>
      <c r="AP596" s="3">
        <v>0</v>
      </c>
      <c r="AQ596" s="3">
        <v>0</v>
      </c>
      <c r="AR596" s="2" t="s">
        <v>5</v>
      </c>
      <c r="AS596" s="2" t="s">
        <v>46</v>
      </c>
      <c r="AT596" s="5" t="str">
        <f>HYPERLINK("http://catalog.hathitrust.org/Record/001051705","HathiTrust Record")</f>
        <v>HathiTrust Record</v>
      </c>
      <c r="AU596" s="5" t="str">
        <f>HYPERLINK("https://creighton-primo.hosted.exlibrisgroup.com/primo-explore/search?tab=default_tab&amp;search_scope=EVERYTHING&amp;vid=01CRU&amp;lang=en_US&amp;offset=0&amp;query=any,contains,991002434119702656","Catalog Record")</f>
        <v>Catalog Record</v>
      </c>
      <c r="AV596" s="5" t="str">
        <f>HYPERLINK("http://www.worldcat.org/oclc/348308","WorldCat Record")</f>
        <v>WorldCat Record</v>
      </c>
      <c r="AW596" s="2" t="s">
        <v>7407</v>
      </c>
      <c r="AX596" s="2" t="s">
        <v>7408</v>
      </c>
      <c r="AY596" s="2" t="s">
        <v>7409</v>
      </c>
      <c r="AZ596" s="2" t="s">
        <v>7409</v>
      </c>
      <c r="BA596" s="2" t="s">
        <v>7410</v>
      </c>
      <c r="BB596" s="2" t="s">
        <v>20</v>
      </c>
      <c r="BE596" s="2" t="s">
        <v>7411</v>
      </c>
      <c r="BF596" s="2" t="s">
        <v>7412</v>
      </c>
    </row>
    <row r="597" spans="1:58" ht="39.75" customHeight="1" x14ac:dyDescent="0.25">
      <c r="A597" s="7" t="s">
        <v>5</v>
      </c>
      <c r="B597" s="1" t="s">
        <v>0</v>
      </c>
      <c r="C597" s="1" t="s">
        <v>1</v>
      </c>
      <c r="D597" s="1" t="s">
        <v>7413</v>
      </c>
      <c r="E597" s="1" t="s">
        <v>7414</v>
      </c>
      <c r="F597" s="1" t="s">
        <v>7415</v>
      </c>
      <c r="H597" s="2" t="s">
        <v>5</v>
      </c>
      <c r="I597" s="2" t="s">
        <v>6</v>
      </c>
      <c r="J597" s="2" t="s">
        <v>5</v>
      </c>
      <c r="K597" s="2" t="s">
        <v>46</v>
      </c>
      <c r="L597" s="2" t="s">
        <v>7</v>
      </c>
      <c r="M597" s="1" t="s">
        <v>7416</v>
      </c>
      <c r="N597" s="1" t="s">
        <v>7417</v>
      </c>
      <c r="O597" s="2" t="s">
        <v>480</v>
      </c>
      <c r="Q597" s="2" t="s">
        <v>60</v>
      </c>
      <c r="R597" s="2" t="s">
        <v>292</v>
      </c>
      <c r="T597" s="2" t="s">
        <v>13</v>
      </c>
      <c r="U597" s="3">
        <v>2</v>
      </c>
      <c r="V597" s="3">
        <v>2</v>
      </c>
      <c r="W597" s="4" t="s">
        <v>6582</v>
      </c>
      <c r="X597" s="4" t="s">
        <v>6582</v>
      </c>
      <c r="Y597" s="4" t="s">
        <v>7418</v>
      </c>
      <c r="Z597" s="4" t="s">
        <v>7418</v>
      </c>
      <c r="AA597" s="3">
        <v>93</v>
      </c>
      <c r="AB597" s="3">
        <v>90</v>
      </c>
      <c r="AC597" s="3">
        <v>1209</v>
      </c>
      <c r="AD597" s="3">
        <v>2</v>
      </c>
      <c r="AE597" s="9">
        <v>12</v>
      </c>
      <c r="AF597" s="9">
        <v>11</v>
      </c>
      <c r="AG597" s="9">
        <v>39</v>
      </c>
      <c r="AH597" s="3">
        <v>3</v>
      </c>
      <c r="AI597" s="3">
        <v>12</v>
      </c>
      <c r="AJ597" s="3">
        <v>2</v>
      </c>
      <c r="AK597" s="3">
        <v>9</v>
      </c>
      <c r="AL597" s="3">
        <v>9</v>
      </c>
      <c r="AM597" s="3">
        <v>21</v>
      </c>
      <c r="AN597" s="3">
        <v>1</v>
      </c>
      <c r="AO597" s="3">
        <v>6</v>
      </c>
      <c r="AP597" s="3">
        <v>0</v>
      </c>
      <c r="AQ597" s="3">
        <v>1</v>
      </c>
      <c r="AR597" s="2" t="s">
        <v>5</v>
      </c>
      <c r="AS597" s="2" t="s">
        <v>46</v>
      </c>
      <c r="AT597" s="5" t="str">
        <f>HYPERLINK("http://catalog.hathitrust.org/Record/001051736","HathiTrust Record")</f>
        <v>HathiTrust Record</v>
      </c>
      <c r="AU597" s="5" t="str">
        <f>HYPERLINK("https://creighton-primo.hosted.exlibrisgroup.com/primo-explore/search?tab=default_tab&amp;search_scope=EVERYTHING&amp;vid=01CRU&amp;lang=en_US&amp;offset=0&amp;query=any,contains,991002687439702656","Catalog Record")</f>
        <v>Catalog Record</v>
      </c>
      <c r="AV597" s="5" t="str">
        <f>HYPERLINK("http://www.worldcat.org/oclc/1058525","WorldCat Record")</f>
        <v>WorldCat Record</v>
      </c>
      <c r="AW597" s="2" t="s">
        <v>7419</v>
      </c>
      <c r="AX597" s="2" t="s">
        <v>7420</v>
      </c>
      <c r="AY597" s="2" t="s">
        <v>7421</v>
      </c>
      <c r="AZ597" s="2" t="s">
        <v>7421</v>
      </c>
      <c r="BA597" s="2" t="s">
        <v>7422</v>
      </c>
      <c r="BB597" s="2" t="s">
        <v>20</v>
      </c>
      <c r="BE597" s="2" t="s">
        <v>7423</v>
      </c>
      <c r="BF597" s="2" t="s">
        <v>7424</v>
      </c>
    </row>
    <row r="598" spans="1:58" ht="39.75" customHeight="1" x14ac:dyDescent="0.25">
      <c r="A598" s="7" t="s">
        <v>5</v>
      </c>
      <c r="B598" s="1" t="s">
        <v>0</v>
      </c>
      <c r="C598" s="1" t="s">
        <v>1</v>
      </c>
      <c r="D598" s="1" t="s">
        <v>7425</v>
      </c>
      <c r="E598" s="1" t="s">
        <v>7426</v>
      </c>
      <c r="F598" s="1" t="s">
        <v>7427</v>
      </c>
      <c r="H598" s="2" t="s">
        <v>5</v>
      </c>
      <c r="I598" s="2" t="s">
        <v>6</v>
      </c>
      <c r="J598" s="2" t="s">
        <v>5</v>
      </c>
      <c r="K598" s="2" t="s">
        <v>5</v>
      </c>
      <c r="L598" s="2" t="s">
        <v>7</v>
      </c>
      <c r="N598" s="1" t="s">
        <v>7428</v>
      </c>
      <c r="O598" s="2" t="s">
        <v>6611</v>
      </c>
      <c r="P598" s="1" t="s">
        <v>2908</v>
      </c>
      <c r="Q598" s="2" t="s">
        <v>1151</v>
      </c>
      <c r="R598" s="2" t="s">
        <v>4146</v>
      </c>
      <c r="T598" s="2" t="s">
        <v>13</v>
      </c>
      <c r="U598" s="3">
        <v>2</v>
      </c>
      <c r="V598" s="3">
        <v>2</v>
      </c>
      <c r="W598" s="4" t="s">
        <v>5071</v>
      </c>
      <c r="X598" s="4" t="s">
        <v>5071</v>
      </c>
      <c r="Y598" s="4" t="s">
        <v>5071</v>
      </c>
      <c r="Z598" s="4" t="s">
        <v>5071</v>
      </c>
      <c r="AA598" s="3">
        <v>16</v>
      </c>
      <c r="AB598" s="3">
        <v>16</v>
      </c>
      <c r="AC598" s="3">
        <v>18</v>
      </c>
      <c r="AD598" s="3">
        <v>1</v>
      </c>
      <c r="AE598" s="9">
        <v>1</v>
      </c>
      <c r="AF598" s="9">
        <v>1</v>
      </c>
      <c r="AG598" s="9">
        <v>1</v>
      </c>
      <c r="AH598" s="3">
        <v>0</v>
      </c>
      <c r="AI598" s="3">
        <v>0</v>
      </c>
      <c r="AJ598" s="3">
        <v>1</v>
      </c>
      <c r="AK598" s="3">
        <v>1</v>
      </c>
      <c r="AL598" s="3">
        <v>1</v>
      </c>
      <c r="AM598" s="3">
        <v>1</v>
      </c>
      <c r="AN598" s="3">
        <v>0</v>
      </c>
      <c r="AO598" s="3">
        <v>0</v>
      </c>
      <c r="AP598" s="3">
        <v>0</v>
      </c>
      <c r="AQ598" s="3">
        <v>0</v>
      </c>
      <c r="AR598" s="2" t="s">
        <v>5</v>
      </c>
      <c r="AS598" s="2" t="s">
        <v>46</v>
      </c>
      <c r="AT598" s="5" t="str">
        <f>HYPERLINK("http://catalog.hathitrust.org/Record/101094626","HathiTrust Record")</f>
        <v>HathiTrust Record</v>
      </c>
      <c r="AU598" s="5" t="str">
        <f>HYPERLINK("https://creighton-primo.hosted.exlibrisgroup.com/primo-explore/search?tab=default_tab&amp;search_scope=EVERYTHING&amp;vid=01CRU&amp;lang=en_US&amp;offset=0&amp;query=any,contains,991004336939702656","Catalog Record")</f>
        <v>Catalog Record</v>
      </c>
      <c r="AV598" s="5" t="str">
        <f>HYPERLINK("http://www.worldcat.org/oclc/36713350","WorldCat Record")</f>
        <v>WorldCat Record</v>
      </c>
      <c r="AW598" s="2" t="s">
        <v>7429</v>
      </c>
      <c r="AX598" s="2" t="s">
        <v>7430</v>
      </c>
      <c r="AY598" s="2" t="s">
        <v>7431</v>
      </c>
      <c r="AZ598" s="2" t="s">
        <v>7431</v>
      </c>
      <c r="BA598" s="2" t="s">
        <v>7432</v>
      </c>
      <c r="BB598" s="2" t="s">
        <v>20</v>
      </c>
      <c r="BD598" s="2" t="s">
        <v>7433</v>
      </c>
      <c r="BE598" s="2" t="s">
        <v>7434</v>
      </c>
      <c r="BF598" s="2" t="s">
        <v>7435</v>
      </c>
    </row>
    <row r="599" spans="1:58" ht="39.75" customHeight="1" x14ac:dyDescent="0.25">
      <c r="A599" s="7" t="s">
        <v>5</v>
      </c>
      <c r="B599" s="1" t="s">
        <v>0</v>
      </c>
      <c r="C599" s="1" t="s">
        <v>1</v>
      </c>
      <c r="D599" s="1" t="s">
        <v>7436</v>
      </c>
      <c r="E599" s="1" t="s">
        <v>7437</v>
      </c>
      <c r="F599" s="1" t="s">
        <v>7438</v>
      </c>
      <c r="H599" s="2" t="s">
        <v>5</v>
      </c>
      <c r="I599" s="2" t="s">
        <v>6</v>
      </c>
      <c r="J599" s="2" t="s">
        <v>5</v>
      </c>
      <c r="K599" s="2" t="s">
        <v>5</v>
      </c>
      <c r="L599" s="2" t="s">
        <v>7</v>
      </c>
      <c r="M599" s="1" t="s">
        <v>7439</v>
      </c>
      <c r="N599" s="1" t="s">
        <v>7440</v>
      </c>
      <c r="O599" s="2" t="s">
        <v>2610</v>
      </c>
      <c r="Q599" s="2" t="s">
        <v>1151</v>
      </c>
      <c r="R599" s="2" t="s">
        <v>2758</v>
      </c>
      <c r="S599" s="1" t="s">
        <v>7441</v>
      </c>
      <c r="T599" s="2" t="s">
        <v>13</v>
      </c>
      <c r="U599" s="3">
        <v>2</v>
      </c>
      <c r="V599" s="3">
        <v>2</v>
      </c>
      <c r="W599" s="4" t="s">
        <v>5032</v>
      </c>
      <c r="X599" s="4" t="s">
        <v>5032</v>
      </c>
      <c r="Y599" s="4" t="s">
        <v>5032</v>
      </c>
      <c r="Z599" s="4" t="s">
        <v>5032</v>
      </c>
      <c r="AA599" s="3">
        <v>111</v>
      </c>
      <c r="AB599" s="3">
        <v>93</v>
      </c>
      <c r="AC599" s="3">
        <v>100</v>
      </c>
      <c r="AD599" s="3">
        <v>1</v>
      </c>
      <c r="AE599" s="9">
        <v>1</v>
      </c>
      <c r="AF599" s="9">
        <v>6</v>
      </c>
      <c r="AG599" s="9">
        <v>6</v>
      </c>
      <c r="AH599" s="3">
        <v>0</v>
      </c>
      <c r="AI599" s="3">
        <v>0</v>
      </c>
      <c r="AJ599" s="3">
        <v>3</v>
      </c>
      <c r="AK599" s="3">
        <v>3</v>
      </c>
      <c r="AL599" s="3">
        <v>5</v>
      </c>
      <c r="AM599" s="3">
        <v>5</v>
      </c>
      <c r="AN599" s="3">
        <v>0</v>
      </c>
      <c r="AO599" s="3">
        <v>0</v>
      </c>
      <c r="AP599" s="3">
        <v>0</v>
      </c>
      <c r="AQ599" s="3">
        <v>0</v>
      </c>
      <c r="AR599" s="2" t="s">
        <v>5</v>
      </c>
      <c r="AS599" s="2" t="s">
        <v>46</v>
      </c>
      <c r="AT599" s="5" t="str">
        <f>HYPERLINK("http://catalog.hathitrust.org/Record/001841203","HathiTrust Record")</f>
        <v>HathiTrust Record</v>
      </c>
      <c r="AU599" s="5" t="str">
        <f>HYPERLINK("https://creighton-primo.hosted.exlibrisgroup.com/primo-explore/search?tab=default_tab&amp;search_scope=EVERYTHING&amp;vid=01CRU&amp;lang=en_US&amp;offset=0&amp;query=any,contains,991004490099702656","Catalog Record")</f>
        <v>Catalog Record</v>
      </c>
      <c r="AV599" s="5" t="str">
        <f>HYPERLINK("http://www.worldcat.org/oclc/20077808","WorldCat Record")</f>
        <v>WorldCat Record</v>
      </c>
      <c r="AW599" s="2" t="s">
        <v>7442</v>
      </c>
      <c r="AX599" s="2" t="s">
        <v>7443</v>
      </c>
      <c r="AY599" s="2" t="s">
        <v>7444</v>
      </c>
      <c r="AZ599" s="2" t="s">
        <v>7444</v>
      </c>
      <c r="BA599" s="2" t="s">
        <v>7445</v>
      </c>
      <c r="BB599" s="2" t="s">
        <v>20</v>
      </c>
      <c r="BD599" s="2" t="s">
        <v>7446</v>
      </c>
      <c r="BE599" s="2" t="s">
        <v>7447</v>
      </c>
      <c r="BF599" s="2" t="s">
        <v>7448</v>
      </c>
    </row>
    <row r="600" spans="1:58" ht="39.75" customHeight="1" x14ac:dyDescent="0.25">
      <c r="A600" s="7" t="s">
        <v>5</v>
      </c>
      <c r="B600" s="1" t="s">
        <v>0</v>
      </c>
      <c r="C600" s="1" t="s">
        <v>1</v>
      </c>
      <c r="D600" s="1" t="s">
        <v>7449</v>
      </c>
      <c r="E600" s="1" t="s">
        <v>7450</v>
      </c>
      <c r="F600" s="1" t="s">
        <v>7451</v>
      </c>
      <c r="H600" s="2" t="s">
        <v>5</v>
      </c>
      <c r="I600" s="2" t="s">
        <v>6</v>
      </c>
      <c r="J600" s="2" t="s">
        <v>5</v>
      </c>
      <c r="K600" s="2" t="s">
        <v>5</v>
      </c>
      <c r="L600" s="2" t="s">
        <v>7</v>
      </c>
      <c r="M600" s="1" t="s">
        <v>7452</v>
      </c>
      <c r="N600" s="1" t="s">
        <v>7453</v>
      </c>
      <c r="O600" s="2" t="s">
        <v>886</v>
      </c>
      <c r="Q600" s="2" t="s">
        <v>60</v>
      </c>
      <c r="R600" s="2" t="s">
        <v>61</v>
      </c>
      <c r="S600" s="1" t="s">
        <v>7454</v>
      </c>
      <c r="T600" s="2" t="s">
        <v>13</v>
      </c>
      <c r="U600" s="3">
        <v>12</v>
      </c>
      <c r="V600" s="3">
        <v>12</v>
      </c>
      <c r="W600" s="4" t="s">
        <v>6542</v>
      </c>
      <c r="X600" s="4" t="s">
        <v>6542</v>
      </c>
      <c r="Y600" s="4" t="s">
        <v>7406</v>
      </c>
      <c r="Z600" s="4" t="s">
        <v>7406</v>
      </c>
      <c r="AA600" s="3">
        <v>631</v>
      </c>
      <c r="AB600" s="3">
        <v>563</v>
      </c>
      <c r="AC600" s="3">
        <v>570</v>
      </c>
      <c r="AD600" s="3">
        <v>5</v>
      </c>
      <c r="AE600" s="9">
        <v>5</v>
      </c>
      <c r="AF600" s="9">
        <v>35</v>
      </c>
      <c r="AG600" s="9">
        <v>35</v>
      </c>
      <c r="AH600" s="3">
        <v>15</v>
      </c>
      <c r="AI600" s="3">
        <v>15</v>
      </c>
      <c r="AJ600" s="3">
        <v>7</v>
      </c>
      <c r="AK600" s="3">
        <v>7</v>
      </c>
      <c r="AL600" s="3">
        <v>19</v>
      </c>
      <c r="AM600" s="3">
        <v>19</v>
      </c>
      <c r="AN600" s="3">
        <v>4</v>
      </c>
      <c r="AO600" s="3">
        <v>4</v>
      </c>
      <c r="AP600" s="3">
        <v>0</v>
      </c>
      <c r="AQ600" s="3">
        <v>0</v>
      </c>
      <c r="AR600" s="2" t="s">
        <v>5</v>
      </c>
      <c r="AS600" s="2" t="s">
        <v>46</v>
      </c>
      <c r="AT600" s="5" t="str">
        <f>HYPERLINK("http://catalog.hathitrust.org/Record/001037791","HathiTrust Record")</f>
        <v>HathiTrust Record</v>
      </c>
      <c r="AU600" s="5" t="str">
        <f>HYPERLINK("https://creighton-primo.hosted.exlibrisgroup.com/primo-explore/search?tab=default_tab&amp;search_scope=EVERYTHING&amp;vid=01CRU&amp;lang=en_US&amp;offset=0&amp;query=any,contains,991003165729702656","Catalog Record")</f>
        <v>Catalog Record</v>
      </c>
      <c r="AV600" s="5" t="str">
        <f>HYPERLINK("http://www.worldcat.org/oclc/703208","WorldCat Record")</f>
        <v>WorldCat Record</v>
      </c>
      <c r="AW600" s="2" t="s">
        <v>7455</v>
      </c>
      <c r="AX600" s="2" t="s">
        <v>7456</v>
      </c>
      <c r="AY600" s="2" t="s">
        <v>7457</v>
      </c>
      <c r="AZ600" s="2" t="s">
        <v>7457</v>
      </c>
      <c r="BA600" s="2" t="s">
        <v>7458</v>
      </c>
      <c r="BB600" s="2" t="s">
        <v>20</v>
      </c>
      <c r="BD600" s="2" t="s">
        <v>7459</v>
      </c>
      <c r="BE600" s="2" t="s">
        <v>7460</v>
      </c>
      <c r="BF600" s="2" t="s">
        <v>7461</v>
      </c>
    </row>
    <row r="601" spans="1:58" ht="39.75" customHeight="1" x14ac:dyDescent="0.25">
      <c r="A601" s="7" t="s">
        <v>5</v>
      </c>
      <c r="B601" s="1" t="s">
        <v>0</v>
      </c>
      <c r="C601" s="1" t="s">
        <v>1</v>
      </c>
      <c r="D601" s="1" t="s">
        <v>7462</v>
      </c>
      <c r="E601" s="1" t="s">
        <v>7463</v>
      </c>
      <c r="F601" s="1" t="s">
        <v>7464</v>
      </c>
      <c r="H601" s="2" t="s">
        <v>5</v>
      </c>
      <c r="I601" s="2" t="s">
        <v>6</v>
      </c>
      <c r="J601" s="2" t="s">
        <v>5</v>
      </c>
      <c r="K601" s="2" t="s">
        <v>5</v>
      </c>
      <c r="L601" s="2" t="s">
        <v>7</v>
      </c>
      <c r="M601" s="1" t="s">
        <v>7465</v>
      </c>
      <c r="N601" s="1" t="s">
        <v>7466</v>
      </c>
      <c r="O601" s="2" t="s">
        <v>162</v>
      </c>
      <c r="Q601" s="2" t="s">
        <v>1151</v>
      </c>
      <c r="R601" s="2" t="s">
        <v>234</v>
      </c>
      <c r="T601" s="2" t="s">
        <v>13</v>
      </c>
      <c r="U601" s="3">
        <v>3</v>
      </c>
      <c r="V601" s="3">
        <v>3</v>
      </c>
      <c r="W601" s="4" t="s">
        <v>7467</v>
      </c>
      <c r="X601" s="4" t="s">
        <v>7467</v>
      </c>
      <c r="Y601" s="4" t="s">
        <v>7468</v>
      </c>
      <c r="Z601" s="4" t="s">
        <v>7468</v>
      </c>
      <c r="AA601" s="3">
        <v>139</v>
      </c>
      <c r="AB601" s="3">
        <v>98</v>
      </c>
      <c r="AC601" s="3">
        <v>100</v>
      </c>
      <c r="AD601" s="3">
        <v>2</v>
      </c>
      <c r="AE601" s="9">
        <v>2</v>
      </c>
      <c r="AF601" s="9">
        <v>8</v>
      </c>
      <c r="AG601" s="9">
        <v>8</v>
      </c>
      <c r="AH601" s="3">
        <v>1</v>
      </c>
      <c r="AI601" s="3">
        <v>1</v>
      </c>
      <c r="AJ601" s="3">
        <v>2</v>
      </c>
      <c r="AK601" s="3">
        <v>2</v>
      </c>
      <c r="AL601" s="3">
        <v>4</v>
      </c>
      <c r="AM601" s="3">
        <v>4</v>
      </c>
      <c r="AN601" s="3">
        <v>1</v>
      </c>
      <c r="AO601" s="3">
        <v>1</v>
      </c>
      <c r="AP601" s="3">
        <v>0</v>
      </c>
      <c r="AQ601" s="3">
        <v>0</v>
      </c>
      <c r="AR601" s="2" t="s">
        <v>5</v>
      </c>
      <c r="AS601" s="2" t="s">
        <v>46</v>
      </c>
      <c r="AT601" s="5" t="str">
        <f>HYPERLINK("http://catalog.hathitrust.org/Record/000005217","HathiTrust Record")</f>
        <v>HathiTrust Record</v>
      </c>
      <c r="AU601" s="5" t="str">
        <f>HYPERLINK("https://creighton-primo.hosted.exlibrisgroup.com/primo-explore/search?tab=default_tab&amp;search_scope=EVERYTHING&amp;vid=01CRU&amp;lang=en_US&amp;offset=0&amp;query=any,contains,991002550129702656","Catalog Record")</f>
        <v>Catalog Record</v>
      </c>
      <c r="AV601" s="5" t="str">
        <f>HYPERLINK("http://www.worldcat.org/oclc/369473","WorldCat Record")</f>
        <v>WorldCat Record</v>
      </c>
      <c r="AW601" s="2" t="s">
        <v>7469</v>
      </c>
      <c r="AX601" s="2" t="s">
        <v>7470</v>
      </c>
      <c r="AY601" s="2" t="s">
        <v>7471</v>
      </c>
      <c r="AZ601" s="2" t="s">
        <v>7471</v>
      </c>
      <c r="BA601" s="2" t="s">
        <v>7472</v>
      </c>
      <c r="BB601" s="2" t="s">
        <v>20</v>
      </c>
      <c r="BE601" s="2" t="s">
        <v>7473</v>
      </c>
      <c r="BF601" s="2" t="s">
        <v>7474</v>
      </c>
    </row>
    <row r="602" spans="1:58" ht="39.75" customHeight="1" x14ac:dyDescent="0.25">
      <c r="A602" s="7" t="s">
        <v>5</v>
      </c>
      <c r="B602" s="1" t="s">
        <v>0</v>
      </c>
      <c r="C602" s="1" t="s">
        <v>1</v>
      </c>
      <c r="D602" s="1" t="s">
        <v>7475</v>
      </c>
      <c r="E602" s="1" t="s">
        <v>7476</v>
      </c>
      <c r="F602" s="1" t="s">
        <v>7477</v>
      </c>
      <c r="H602" s="2" t="s">
        <v>5</v>
      </c>
      <c r="I602" s="2" t="s">
        <v>6</v>
      </c>
      <c r="J602" s="2" t="s">
        <v>5</v>
      </c>
      <c r="K602" s="2" t="s">
        <v>5</v>
      </c>
      <c r="L602" s="2" t="s">
        <v>7</v>
      </c>
      <c r="M602" s="1" t="s">
        <v>7478</v>
      </c>
      <c r="N602" s="1" t="s">
        <v>7479</v>
      </c>
      <c r="O602" s="2" t="s">
        <v>108</v>
      </c>
      <c r="Q602" s="2" t="s">
        <v>1151</v>
      </c>
      <c r="R602" s="2" t="s">
        <v>1152</v>
      </c>
      <c r="T602" s="2" t="s">
        <v>13</v>
      </c>
      <c r="U602" s="3">
        <v>2</v>
      </c>
      <c r="V602" s="3">
        <v>2</v>
      </c>
      <c r="W602" s="4" t="s">
        <v>7480</v>
      </c>
      <c r="X602" s="4" t="s">
        <v>7480</v>
      </c>
      <c r="Y602" s="4" t="s">
        <v>7406</v>
      </c>
      <c r="Z602" s="4" t="s">
        <v>7406</v>
      </c>
      <c r="AA602" s="3">
        <v>5</v>
      </c>
      <c r="AB602" s="3">
        <v>4</v>
      </c>
      <c r="AC602" s="3">
        <v>510</v>
      </c>
      <c r="AD602" s="3">
        <v>1</v>
      </c>
      <c r="AE602" s="9">
        <v>2</v>
      </c>
      <c r="AF602" s="9">
        <v>0</v>
      </c>
      <c r="AG602" s="9">
        <v>23</v>
      </c>
      <c r="AH602" s="3">
        <v>0</v>
      </c>
      <c r="AI602" s="3">
        <v>10</v>
      </c>
      <c r="AJ602" s="3">
        <v>0</v>
      </c>
      <c r="AK602" s="3">
        <v>6</v>
      </c>
      <c r="AL602" s="3">
        <v>0</v>
      </c>
      <c r="AM602" s="3">
        <v>14</v>
      </c>
      <c r="AN602" s="3">
        <v>0</v>
      </c>
      <c r="AO602" s="3">
        <v>1</v>
      </c>
      <c r="AP602" s="3">
        <v>0</v>
      </c>
      <c r="AQ602" s="3">
        <v>0</v>
      </c>
      <c r="AR602" s="2" t="s">
        <v>5</v>
      </c>
      <c r="AS602" s="2" t="s">
        <v>5</v>
      </c>
      <c r="AU602" s="5" t="str">
        <f>HYPERLINK("https://creighton-primo.hosted.exlibrisgroup.com/primo-explore/search?tab=default_tab&amp;search_scope=EVERYTHING&amp;vid=01CRU&amp;lang=en_US&amp;offset=0&amp;query=any,contains,991005148519702656","Catalog Record")</f>
        <v>Catalog Record</v>
      </c>
      <c r="AV602" s="5" t="str">
        <f>HYPERLINK("http://www.worldcat.org/oclc/7678284","WorldCat Record")</f>
        <v>WorldCat Record</v>
      </c>
      <c r="AW602" s="2" t="s">
        <v>7481</v>
      </c>
      <c r="AX602" s="2" t="s">
        <v>7482</v>
      </c>
      <c r="AY602" s="2" t="s">
        <v>7483</v>
      </c>
      <c r="AZ602" s="2" t="s">
        <v>7483</v>
      </c>
      <c r="BA602" s="2" t="s">
        <v>7484</v>
      </c>
      <c r="BB602" s="2" t="s">
        <v>20</v>
      </c>
      <c r="BE602" s="2" t="s">
        <v>7485</v>
      </c>
      <c r="BF602" s="2" t="s">
        <v>7486</v>
      </c>
    </row>
    <row r="603" spans="1:58" ht="39.75" customHeight="1" x14ac:dyDescent="0.25">
      <c r="A603" s="7" t="s">
        <v>5</v>
      </c>
      <c r="B603" s="1" t="s">
        <v>0</v>
      </c>
      <c r="C603" s="1" t="s">
        <v>1</v>
      </c>
      <c r="D603" s="1" t="s">
        <v>7487</v>
      </c>
      <c r="E603" s="1" t="s">
        <v>7488</v>
      </c>
      <c r="F603" s="1" t="s">
        <v>7489</v>
      </c>
      <c r="H603" s="2" t="s">
        <v>5</v>
      </c>
      <c r="I603" s="2" t="s">
        <v>6</v>
      </c>
      <c r="J603" s="2" t="s">
        <v>5</v>
      </c>
      <c r="K603" s="2" t="s">
        <v>5</v>
      </c>
      <c r="L603" s="2" t="s">
        <v>7</v>
      </c>
      <c r="M603" s="1" t="s">
        <v>7490</v>
      </c>
      <c r="N603" s="1" t="s">
        <v>7491</v>
      </c>
      <c r="O603" s="2" t="s">
        <v>27</v>
      </c>
      <c r="Q603" s="2" t="s">
        <v>60</v>
      </c>
      <c r="R603" s="2" t="s">
        <v>193</v>
      </c>
      <c r="S603" s="1" t="s">
        <v>7492</v>
      </c>
      <c r="T603" s="2" t="s">
        <v>13</v>
      </c>
      <c r="U603" s="3">
        <v>3</v>
      </c>
      <c r="V603" s="3">
        <v>3</v>
      </c>
      <c r="W603" s="4" t="s">
        <v>5032</v>
      </c>
      <c r="X603" s="4" t="s">
        <v>5032</v>
      </c>
      <c r="Y603" s="4" t="s">
        <v>5032</v>
      </c>
      <c r="Z603" s="4" t="s">
        <v>5032</v>
      </c>
      <c r="AA603" s="3">
        <v>198</v>
      </c>
      <c r="AB603" s="3">
        <v>142</v>
      </c>
      <c r="AC603" s="3">
        <v>142</v>
      </c>
      <c r="AD603" s="3">
        <v>2</v>
      </c>
      <c r="AE603" s="9">
        <v>2</v>
      </c>
      <c r="AF603" s="9">
        <v>9</v>
      </c>
      <c r="AG603" s="9">
        <v>9</v>
      </c>
      <c r="AH603" s="3">
        <v>1</v>
      </c>
      <c r="AI603" s="3">
        <v>1</v>
      </c>
      <c r="AJ603" s="3">
        <v>3</v>
      </c>
      <c r="AK603" s="3">
        <v>3</v>
      </c>
      <c r="AL603" s="3">
        <v>6</v>
      </c>
      <c r="AM603" s="3">
        <v>6</v>
      </c>
      <c r="AN603" s="3">
        <v>1</v>
      </c>
      <c r="AO603" s="3">
        <v>1</v>
      </c>
      <c r="AP603" s="3">
        <v>0</v>
      </c>
      <c r="AQ603" s="3">
        <v>0</v>
      </c>
      <c r="AR603" s="2" t="s">
        <v>5</v>
      </c>
      <c r="AS603" s="2" t="s">
        <v>5</v>
      </c>
      <c r="AU603" s="5" t="str">
        <f>HYPERLINK("https://creighton-primo.hosted.exlibrisgroup.com/primo-explore/search?tab=default_tab&amp;search_scope=EVERYTHING&amp;vid=01CRU&amp;lang=en_US&amp;offset=0&amp;query=any,contains,991004490869702656","Catalog Record")</f>
        <v>Catalog Record</v>
      </c>
      <c r="AV603" s="5" t="str">
        <f>HYPERLINK("http://www.worldcat.org/oclc/27639504","WorldCat Record")</f>
        <v>WorldCat Record</v>
      </c>
      <c r="AW603" s="2" t="s">
        <v>7493</v>
      </c>
      <c r="AX603" s="2" t="s">
        <v>7494</v>
      </c>
      <c r="AY603" s="2" t="s">
        <v>7495</v>
      </c>
      <c r="AZ603" s="2" t="s">
        <v>7495</v>
      </c>
      <c r="BA603" s="2" t="s">
        <v>7496</v>
      </c>
      <c r="BB603" s="2" t="s">
        <v>20</v>
      </c>
      <c r="BD603" s="2" t="s">
        <v>7497</v>
      </c>
      <c r="BE603" s="2" t="s">
        <v>7498</v>
      </c>
      <c r="BF603" s="2" t="s">
        <v>7499</v>
      </c>
    </row>
    <row r="604" spans="1:58" ht="39.75" customHeight="1" x14ac:dyDescent="0.25">
      <c r="A604" s="7" t="s">
        <v>5</v>
      </c>
      <c r="B604" s="1" t="s">
        <v>0</v>
      </c>
      <c r="C604" s="1" t="s">
        <v>1</v>
      </c>
      <c r="D604" s="1" t="s">
        <v>7500</v>
      </c>
      <c r="E604" s="1" t="s">
        <v>7501</v>
      </c>
      <c r="F604" s="1" t="s">
        <v>7502</v>
      </c>
      <c r="H604" s="2" t="s">
        <v>5</v>
      </c>
      <c r="I604" s="2" t="s">
        <v>6</v>
      </c>
      <c r="J604" s="2" t="s">
        <v>5</v>
      </c>
      <c r="K604" s="2" t="s">
        <v>5</v>
      </c>
      <c r="L604" s="2" t="s">
        <v>7</v>
      </c>
      <c r="M604" s="1" t="s">
        <v>7503</v>
      </c>
      <c r="N604" s="1" t="s">
        <v>7504</v>
      </c>
      <c r="O604" s="2" t="s">
        <v>4479</v>
      </c>
      <c r="Q604" s="2" t="s">
        <v>1151</v>
      </c>
      <c r="R604" s="2" t="s">
        <v>1152</v>
      </c>
      <c r="S604" s="1" t="s">
        <v>7505</v>
      </c>
      <c r="T604" s="2" t="s">
        <v>13</v>
      </c>
      <c r="U604" s="3">
        <v>3</v>
      </c>
      <c r="V604" s="3">
        <v>3</v>
      </c>
      <c r="W604" s="4" t="s">
        <v>7506</v>
      </c>
      <c r="X604" s="4" t="s">
        <v>7506</v>
      </c>
      <c r="Y604" s="4" t="s">
        <v>5237</v>
      </c>
      <c r="Z604" s="4" t="s">
        <v>5237</v>
      </c>
      <c r="AA604" s="3">
        <v>165</v>
      </c>
      <c r="AB604" s="3">
        <v>136</v>
      </c>
      <c r="AC604" s="3">
        <v>234</v>
      </c>
      <c r="AD604" s="3">
        <v>1</v>
      </c>
      <c r="AE604" s="9">
        <v>1</v>
      </c>
      <c r="AF604" s="9">
        <v>6</v>
      </c>
      <c r="AG604" s="9">
        <v>17</v>
      </c>
      <c r="AH604" s="3">
        <v>2</v>
      </c>
      <c r="AI604" s="3">
        <v>5</v>
      </c>
      <c r="AJ604" s="3">
        <v>2</v>
      </c>
      <c r="AK604" s="3">
        <v>5</v>
      </c>
      <c r="AL604" s="3">
        <v>5</v>
      </c>
      <c r="AM604" s="3">
        <v>12</v>
      </c>
      <c r="AN604" s="3">
        <v>0</v>
      </c>
      <c r="AO604" s="3">
        <v>0</v>
      </c>
      <c r="AP604" s="3">
        <v>0</v>
      </c>
      <c r="AQ604" s="3">
        <v>0</v>
      </c>
      <c r="AR604" s="2" t="s">
        <v>5</v>
      </c>
      <c r="AS604" s="2" t="s">
        <v>46</v>
      </c>
      <c r="AT604" s="5" t="str">
        <f>HYPERLINK("http://catalog.hathitrust.org/Record/001111599","HathiTrust Record")</f>
        <v>HathiTrust Record</v>
      </c>
      <c r="AU604" s="5" t="str">
        <f>HYPERLINK("https://creighton-primo.hosted.exlibrisgroup.com/primo-explore/search?tab=default_tab&amp;search_scope=EVERYTHING&amp;vid=01CRU&amp;lang=en_US&amp;offset=0&amp;query=any,contains,991004160929702656","Catalog Record")</f>
        <v>Catalog Record</v>
      </c>
      <c r="AV604" s="5" t="str">
        <f>HYPERLINK("http://www.worldcat.org/oclc/2551419","WorldCat Record")</f>
        <v>WorldCat Record</v>
      </c>
      <c r="AW604" s="2" t="s">
        <v>7507</v>
      </c>
      <c r="AX604" s="2" t="s">
        <v>7508</v>
      </c>
      <c r="AY604" s="2" t="s">
        <v>7509</v>
      </c>
      <c r="AZ604" s="2" t="s">
        <v>7509</v>
      </c>
      <c r="BA604" s="2" t="s">
        <v>7510</v>
      </c>
      <c r="BB604" s="2" t="s">
        <v>20</v>
      </c>
      <c r="BE604" s="2" t="s">
        <v>7511</v>
      </c>
      <c r="BF604" s="2" t="s">
        <v>7512</v>
      </c>
    </row>
    <row r="605" spans="1:58" ht="39.75" customHeight="1" x14ac:dyDescent="0.25">
      <c r="A605" s="7" t="s">
        <v>5</v>
      </c>
      <c r="B605" s="1" t="s">
        <v>0</v>
      </c>
      <c r="C605" s="1" t="s">
        <v>1</v>
      </c>
      <c r="D605" s="1" t="s">
        <v>7513</v>
      </c>
      <c r="E605" s="1" t="s">
        <v>7514</v>
      </c>
      <c r="F605" s="1" t="s">
        <v>7515</v>
      </c>
      <c r="H605" s="2" t="s">
        <v>5</v>
      </c>
      <c r="I605" s="2" t="s">
        <v>6</v>
      </c>
      <c r="J605" s="2" t="s">
        <v>5</v>
      </c>
      <c r="K605" s="2" t="s">
        <v>5</v>
      </c>
      <c r="L605" s="2" t="s">
        <v>7</v>
      </c>
      <c r="M605" s="1" t="s">
        <v>7503</v>
      </c>
      <c r="N605" s="1" t="s">
        <v>7516</v>
      </c>
      <c r="O605" s="2" t="s">
        <v>121</v>
      </c>
      <c r="Q605" s="2" t="s">
        <v>1151</v>
      </c>
      <c r="R605" s="2" t="s">
        <v>1152</v>
      </c>
      <c r="T605" s="2" t="s">
        <v>13</v>
      </c>
      <c r="U605" s="3">
        <v>3</v>
      </c>
      <c r="V605" s="3">
        <v>3</v>
      </c>
      <c r="W605" s="4" t="s">
        <v>7506</v>
      </c>
      <c r="X605" s="4" t="s">
        <v>7506</v>
      </c>
      <c r="Y605" s="4" t="s">
        <v>5237</v>
      </c>
      <c r="Z605" s="4" t="s">
        <v>5237</v>
      </c>
      <c r="AA605" s="3">
        <v>26</v>
      </c>
      <c r="AB605" s="3">
        <v>25</v>
      </c>
      <c r="AC605" s="3">
        <v>74</v>
      </c>
      <c r="AD605" s="3">
        <v>1</v>
      </c>
      <c r="AE605" s="9">
        <v>1</v>
      </c>
      <c r="AF605" s="9">
        <v>2</v>
      </c>
      <c r="AG605" s="9">
        <v>3</v>
      </c>
      <c r="AH605" s="3">
        <v>1</v>
      </c>
      <c r="AI605" s="3">
        <v>1</v>
      </c>
      <c r="AJ605" s="3">
        <v>1</v>
      </c>
      <c r="AK605" s="3">
        <v>1</v>
      </c>
      <c r="AL605" s="3">
        <v>1</v>
      </c>
      <c r="AM605" s="3">
        <v>2</v>
      </c>
      <c r="AN605" s="3">
        <v>0</v>
      </c>
      <c r="AO605" s="3">
        <v>0</v>
      </c>
      <c r="AP605" s="3">
        <v>0</v>
      </c>
      <c r="AQ605" s="3">
        <v>0</v>
      </c>
      <c r="AR605" s="2" t="s">
        <v>5</v>
      </c>
      <c r="AS605" s="2" t="s">
        <v>5</v>
      </c>
      <c r="AU605" s="5" t="str">
        <f>HYPERLINK("https://creighton-primo.hosted.exlibrisgroup.com/primo-explore/search?tab=default_tab&amp;search_scope=EVERYTHING&amp;vid=01CRU&amp;lang=en_US&amp;offset=0&amp;query=any,contains,991004145879702656","Catalog Record")</f>
        <v>Catalog Record</v>
      </c>
      <c r="AV605" s="5" t="str">
        <f>HYPERLINK("http://www.worldcat.org/oclc/2509942","WorldCat Record")</f>
        <v>WorldCat Record</v>
      </c>
      <c r="AW605" s="2" t="s">
        <v>7517</v>
      </c>
      <c r="AX605" s="2" t="s">
        <v>7518</v>
      </c>
      <c r="AY605" s="2" t="s">
        <v>7519</v>
      </c>
      <c r="AZ605" s="2" t="s">
        <v>7519</v>
      </c>
      <c r="BA605" s="2" t="s">
        <v>7520</v>
      </c>
      <c r="BB605" s="2" t="s">
        <v>20</v>
      </c>
      <c r="BE605" s="2" t="s">
        <v>7521</v>
      </c>
      <c r="BF605" s="2" t="s">
        <v>7522</v>
      </c>
    </row>
    <row r="606" spans="1:58" ht="39.75" customHeight="1" x14ac:dyDescent="0.25">
      <c r="A606" s="7" t="s">
        <v>5</v>
      </c>
      <c r="B606" s="1" t="s">
        <v>0</v>
      </c>
      <c r="C606" s="1" t="s">
        <v>1</v>
      </c>
      <c r="D606" s="1" t="s">
        <v>7523</v>
      </c>
      <c r="E606" s="1" t="s">
        <v>7524</v>
      </c>
      <c r="F606" s="1" t="s">
        <v>7525</v>
      </c>
      <c r="H606" s="2" t="s">
        <v>5</v>
      </c>
      <c r="I606" s="2" t="s">
        <v>6</v>
      </c>
      <c r="J606" s="2" t="s">
        <v>5</v>
      </c>
      <c r="K606" s="2" t="s">
        <v>46</v>
      </c>
      <c r="L606" s="2" t="s">
        <v>7</v>
      </c>
      <c r="M606" s="1" t="s">
        <v>7526</v>
      </c>
      <c r="N606" s="1" t="s">
        <v>7527</v>
      </c>
      <c r="O606" s="2" t="s">
        <v>508</v>
      </c>
      <c r="Q606" s="2" t="s">
        <v>1151</v>
      </c>
      <c r="R606" s="2" t="s">
        <v>61</v>
      </c>
      <c r="S606" s="1" t="s">
        <v>7528</v>
      </c>
      <c r="T606" s="2" t="s">
        <v>13</v>
      </c>
      <c r="U606" s="3">
        <v>2</v>
      </c>
      <c r="V606" s="3">
        <v>2</v>
      </c>
      <c r="W606" s="4" t="s">
        <v>7529</v>
      </c>
      <c r="X606" s="4" t="s">
        <v>7529</v>
      </c>
      <c r="Y606" s="4" t="s">
        <v>7529</v>
      </c>
      <c r="Z606" s="4" t="s">
        <v>7529</v>
      </c>
      <c r="AA606" s="3">
        <v>87</v>
      </c>
      <c r="AB606" s="3">
        <v>66</v>
      </c>
      <c r="AC606" s="3">
        <v>347</v>
      </c>
      <c r="AD606" s="3">
        <v>1</v>
      </c>
      <c r="AE606" s="9">
        <v>2</v>
      </c>
      <c r="AF606" s="9">
        <v>3</v>
      </c>
      <c r="AG606" s="9">
        <v>13</v>
      </c>
      <c r="AH606" s="3">
        <v>1</v>
      </c>
      <c r="AI606" s="3">
        <v>5</v>
      </c>
      <c r="AJ606" s="3">
        <v>2</v>
      </c>
      <c r="AK606" s="3">
        <v>6</v>
      </c>
      <c r="AL606" s="3">
        <v>2</v>
      </c>
      <c r="AM606" s="3">
        <v>5</v>
      </c>
      <c r="AN606" s="3">
        <v>0</v>
      </c>
      <c r="AO606" s="3">
        <v>1</v>
      </c>
      <c r="AP606" s="3">
        <v>0</v>
      </c>
      <c r="AQ606" s="3">
        <v>0</v>
      </c>
      <c r="AR606" s="2" t="s">
        <v>5</v>
      </c>
      <c r="AS606" s="2" t="s">
        <v>46</v>
      </c>
      <c r="AT606" s="5" t="str">
        <f>HYPERLINK("http://catalog.hathitrust.org/Record/008323798","HathiTrust Record")</f>
        <v>HathiTrust Record</v>
      </c>
      <c r="AU606" s="5" t="str">
        <f>HYPERLINK("https://creighton-primo.hosted.exlibrisgroup.com/primo-explore/search?tab=default_tab&amp;search_scope=EVERYTHING&amp;vid=01CRU&amp;lang=en_US&amp;offset=0&amp;query=any,contains,991003478839702656","Catalog Record")</f>
        <v>Catalog Record</v>
      </c>
      <c r="AV606" s="5" t="str">
        <f>HYPERLINK("http://www.worldcat.org/oclc/42823682","WorldCat Record")</f>
        <v>WorldCat Record</v>
      </c>
      <c r="AW606" s="2" t="s">
        <v>7530</v>
      </c>
      <c r="AX606" s="2" t="s">
        <v>7531</v>
      </c>
      <c r="AY606" s="2" t="s">
        <v>7532</v>
      </c>
      <c r="AZ606" s="2" t="s">
        <v>7532</v>
      </c>
      <c r="BA606" s="2" t="s">
        <v>7533</v>
      </c>
      <c r="BB606" s="2" t="s">
        <v>20</v>
      </c>
      <c r="BD606" s="2" t="s">
        <v>7534</v>
      </c>
      <c r="BE606" s="2" t="s">
        <v>7535</v>
      </c>
      <c r="BF606" s="2" t="s">
        <v>7536</v>
      </c>
    </row>
    <row r="607" spans="1:58" ht="39.75" customHeight="1" x14ac:dyDescent="0.25">
      <c r="A607" s="7" t="s">
        <v>5</v>
      </c>
      <c r="B607" s="1" t="s">
        <v>0</v>
      </c>
      <c r="C607" s="1" t="s">
        <v>1</v>
      </c>
      <c r="D607" s="1" t="s">
        <v>7537</v>
      </c>
      <c r="E607" s="1" t="s">
        <v>7538</v>
      </c>
      <c r="F607" s="1" t="s">
        <v>7539</v>
      </c>
      <c r="H607" s="2" t="s">
        <v>5</v>
      </c>
      <c r="I607" s="2" t="s">
        <v>6</v>
      </c>
      <c r="J607" s="2" t="s">
        <v>5</v>
      </c>
      <c r="K607" s="2" t="s">
        <v>5</v>
      </c>
      <c r="L607" s="2" t="s">
        <v>7</v>
      </c>
      <c r="M607" s="1" t="s">
        <v>7540</v>
      </c>
      <c r="N607" s="1" t="s">
        <v>7541</v>
      </c>
      <c r="O607" s="2" t="s">
        <v>554</v>
      </c>
      <c r="Q607" s="2" t="s">
        <v>1151</v>
      </c>
      <c r="R607" s="2" t="s">
        <v>1152</v>
      </c>
      <c r="S607" s="1" t="s">
        <v>7542</v>
      </c>
      <c r="T607" s="2" t="s">
        <v>13</v>
      </c>
      <c r="U607" s="3">
        <v>2</v>
      </c>
      <c r="V607" s="3">
        <v>2</v>
      </c>
      <c r="W607" s="4" t="s">
        <v>7543</v>
      </c>
      <c r="X607" s="4" t="s">
        <v>7543</v>
      </c>
      <c r="Y607" s="4" t="s">
        <v>7406</v>
      </c>
      <c r="Z607" s="4" t="s">
        <v>7406</v>
      </c>
      <c r="AA607" s="3">
        <v>74</v>
      </c>
      <c r="AB607" s="3">
        <v>51</v>
      </c>
      <c r="AC607" s="3">
        <v>58</v>
      </c>
      <c r="AD607" s="3">
        <v>2</v>
      </c>
      <c r="AE607" s="9">
        <v>2</v>
      </c>
      <c r="AF607" s="9">
        <v>5</v>
      </c>
      <c r="AG607" s="9">
        <v>5</v>
      </c>
      <c r="AH607" s="3">
        <v>0</v>
      </c>
      <c r="AI607" s="3">
        <v>0</v>
      </c>
      <c r="AJ607" s="3">
        <v>3</v>
      </c>
      <c r="AK607" s="3">
        <v>3</v>
      </c>
      <c r="AL607" s="3">
        <v>2</v>
      </c>
      <c r="AM607" s="3">
        <v>2</v>
      </c>
      <c r="AN607" s="3">
        <v>1</v>
      </c>
      <c r="AO607" s="3">
        <v>1</v>
      </c>
      <c r="AP607" s="3">
        <v>0</v>
      </c>
      <c r="AQ607" s="3">
        <v>0</v>
      </c>
      <c r="AR607" s="2" t="s">
        <v>5</v>
      </c>
      <c r="AS607" s="2" t="s">
        <v>46</v>
      </c>
      <c r="AT607" s="5" t="str">
        <f>HYPERLINK("http://catalog.hathitrust.org/Record/000470377","HathiTrust Record")</f>
        <v>HathiTrust Record</v>
      </c>
      <c r="AU607" s="5" t="str">
        <f>HYPERLINK("https://creighton-primo.hosted.exlibrisgroup.com/primo-explore/search?tab=default_tab&amp;search_scope=EVERYTHING&amp;vid=01CRU&amp;lang=en_US&amp;offset=0&amp;query=any,contains,991000896509702656","Catalog Record")</f>
        <v>Catalog Record</v>
      </c>
      <c r="AV607" s="5" t="str">
        <f>HYPERLINK("http://www.worldcat.org/oclc/13991436","WorldCat Record")</f>
        <v>WorldCat Record</v>
      </c>
      <c r="AW607" s="2" t="s">
        <v>7544</v>
      </c>
      <c r="AX607" s="2" t="s">
        <v>7545</v>
      </c>
      <c r="AY607" s="2" t="s">
        <v>7546</v>
      </c>
      <c r="AZ607" s="2" t="s">
        <v>7546</v>
      </c>
      <c r="BA607" s="2" t="s">
        <v>7547</v>
      </c>
      <c r="BB607" s="2" t="s">
        <v>20</v>
      </c>
      <c r="BD607" s="2" t="s">
        <v>7548</v>
      </c>
      <c r="BE607" s="2" t="s">
        <v>7549</v>
      </c>
      <c r="BF607" s="2" t="s">
        <v>7550</v>
      </c>
    </row>
    <row r="608" spans="1:58" ht="39.75" customHeight="1" x14ac:dyDescent="0.25">
      <c r="A608" s="7" t="s">
        <v>5</v>
      </c>
      <c r="B608" s="1" t="s">
        <v>0</v>
      </c>
      <c r="C608" s="1" t="s">
        <v>1</v>
      </c>
      <c r="D608" s="1" t="s">
        <v>7551</v>
      </c>
      <c r="E608" s="1" t="s">
        <v>7552</v>
      </c>
      <c r="F608" s="1" t="s">
        <v>7553</v>
      </c>
      <c r="H608" s="2" t="s">
        <v>5</v>
      </c>
      <c r="I608" s="2" t="s">
        <v>6</v>
      </c>
      <c r="J608" s="2" t="s">
        <v>5</v>
      </c>
      <c r="K608" s="2" t="s">
        <v>5</v>
      </c>
      <c r="L608" s="2" t="s">
        <v>7</v>
      </c>
      <c r="M608" s="1" t="s">
        <v>7554</v>
      </c>
      <c r="N608" s="1" t="s">
        <v>7555</v>
      </c>
      <c r="Q608" s="2" t="s">
        <v>1151</v>
      </c>
      <c r="R608" s="2" t="s">
        <v>1152</v>
      </c>
      <c r="S608" s="1" t="s">
        <v>7556</v>
      </c>
      <c r="T608" s="2" t="s">
        <v>13</v>
      </c>
      <c r="U608" s="3">
        <v>3</v>
      </c>
      <c r="V608" s="3">
        <v>3</v>
      </c>
      <c r="W608" s="4" t="s">
        <v>7506</v>
      </c>
      <c r="X608" s="4" t="s">
        <v>7506</v>
      </c>
      <c r="Y608" s="4" t="s">
        <v>7557</v>
      </c>
      <c r="Z608" s="4" t="s">
        <v>7557</v>
      </c>
      <c r="AA608" s="3">
        <v>6</v>
      </c>
      <c r="AB608" s="3">
        <v>5</v>
      </c>
      <c r="AC608" s="3">
        <v>36</v>
      </c>
      <c r="AD608" s="3">
        <v>1</v>
      </c>
      <c r="AE608" s="9">
        <v>1</v>
      </c>
      <c r="AF608" s="9">
        <v>0</v>
      </c>
      <c r="AG608" s="9">
        <v>0</v>
      </c>
      <c r="AH608" s="3">
        <v>0</v>
      </c>
      <c r="AI608" s="3">
        <v>0</v>
      </c>
      <c r="AJ608" s="3">
        <v>0</v>
      </c>
      <c r="AK608" s="3">
        <v>0</v>
      </c>
      <c r="AL608" s="3">
        <v>0</v>
      </c>
      <c r="AM608" s="3">
        <v>0</v>
      </c>
      <c r="AN608" s="3">
        <v>0</v>
      </c>
      <c r="AO608" s="3">
        <v>0</v>
      </c>
      <c r="AP608" s="3">
        <v>0</v>
      </c>
      <c r="AQ608" s="3">
        <v>0</v>
      </c>
      <c r="AR608" s="2" t="s">
        <v>5</v>
      </c>
      <c r="AS608" s="2" t="s">
        <v>5</v>
      </c>
      <c r="AU608" s="5" t="str">
        <f>HYPERLINK("https://creighton-primo.hosted.exlibrisgroup.com/primo-explore/search?tab=default_tab&amp;search_scope=EVERYTHING&amp;vid=01CRU&amp;lang=en_US&amp;offset=0&amp;query=any,contains,991001176009702656","Catalog Record")</f>
        <v>Catalog Record</v>
      </c>
      <c r="AV608" s="5" t="str">
        <f>HYPERLINK("http://www.worldcat.org/oclc/17010657","WorldCat Record")</f>
        <v>WorldCat Record</v>
      </c>
      <c r="AW608" s="2" t="s">
        <v>7558</v>
      </c>
      <c r="AX608" s="2" t="s">
        <v>7559</v>
      </c>
      <c r="AY608" s="2" t="s">
        <v>7560</v>
      </c>
      <c r="AZ608" s="2" t="s">
        <v>7560</v>
      </c>
      <c r="BA608" s="2" t="s">
        <v>7561</v>
      </c>
      <c r="BB608" s="2" t="s">
        <v>20</v>
      </c>
      <c r="BE608" s="2" t="s">
        <v>7562</v>
      </c>
      <c r="BF608" s="2" t="s">
        <v>7563</v>
      </c>
    </row>
    <row r="609" spans="1:58" ht="39.75" customHeight="1" x14ac:dyDescent="0.25">
      <c r="A609" s="7" t="s">
        <v>5</v>
      </c>
      <c r="B609" s="1" t="s">
        <v>0</v>
      </c>
      <c r="C609" s="1" t="s">
        <v>1</v>
      </c>
      <c r="D609" s="1" t="s">
        <v>7564</v>
      </c>
      <c r="E609" s="1" t="s">
        <v>7565</v>
      </c>
      <c r="F609" s="1" t="s">
        <v>7566</v>
      </c>
      <c r="H609" s="2" t="s">
        <v>5</v>
      </c>
      <c r="I609" s="2" t="s">
        <v>6</v>
      </c>
      <c r="J609" s="2" t="s">
        <v>5</v>
      </c>
      <c r="K609" s="2" t="s">
        <v>5</v>
      </c>
      <c r="L609" s="2" t="s">
        <v>7</v>
      </c>
      <c r="M609" s="1" t="s">
        <v>5097</v>
      </c>
      <c r="N609" s="1" t="s">
        <v>7567</v>
      </c>
      <c r="O609" s="2" t="s">
        <v>995</v>
      </c>
      <c r="P609" s="1" t="s">
        <v>5939</v>
      </c>
      <c r="Q609" s="2" t="s">
        <v>1151</v>
      </c>
      <c r="R609" s="2" t="s">
        <v>1152</v>
      </c>
      <c r="S609" s="1" t="s">
        <v>7568</v>
      </c>
      <c r="T609" s="2" t="s">
        <v>13</v>
      </c>
      <c r="U609" s="3">
        <v>5</v>
      </c>
      <c r="V609" s="3">
        <v>5</v>
      </c>
      <c r="W609" s="4" t="s">
        <v>7506</v>
      </c>
      <c r="X609" s="4" t="s">
        <v>7506</v>
      </c>
      <c r="Y609" s="4" t="s">
        <v>7569</v>
      </c>
      <c r="Z609" s="4" t="s">
        <v>7569</v>
      </c>
      <c r="AA609" s="3">
        <v>32</v>
      </c>
      <c r="AB609" s="3">
        <v>26</v>
      </c>
      <c r="AC609" s="3">
        <v>74</v>
      </c>
      <c r="AD609" s="3">
        <v>2</v>
      </c>
      <c r="AE609" s="9">
        <v>2</v>
      </c>
      <c r="AF609" s="9">
        <v>2</v>
      </c>
      <c r="AG609" s="9">
        <v>8</v>
      </c>
      <c r="AH609" s="3">
        <v>0</v>
      </c>
      <c r="AI609" s="3">
        <v>3</v>
      </c>
      <c r="AJ609" s="3">
        <v>1</v>
      </c>
      <c r="AK609" s="3">
        <v>3</v>
      </c>
      <c r="AL609" s="3">
        <v>0</v>
      </c>
      <c r="AM609" s="3">
        <v>3</v>
      </c>
      <c r="AN609" s="3">
        <v>1</v>
      </c>
      <c r="AO609" s="3">
        <v>1</v>
      </c>
      <c r="AP609" s="3">
        <v>0</v>
      </c>
      <c r="AQ609" s="3">
        <v>0</v>
      </c>
      <c r="AR609" s="2" t="s">
        <v>5</v>
      </c>
      <c r="AS609" s="2" t="s">
        <v>5</v>
      </c>
      <c r="AU609" s="5" t="str">
        <f>HYPERLINK("https://creighton-primo.hosted.exlibrisgroup.com/primo-explore/search?tab=default_tab&amp;search_scope=EVERYTHING&amp;vid=01CRU&amp;lang=en_US&amp;offset=0&amp;query=any,contains,991000467499702656","Catalog Record")</f>
        <v>Catalog Record</v>
      </c>
      <c r="AV609" s="5" t="str">
        <f>HYPERLINK("http://www.worldcat.org/oclc/10984580","WorldCat Record")</f>
        <v>WorldCat Record</v>
      </c>
      <c r="AW609" s="2" t="s">
        <v>7570</v>
      </c>
      <c r="AX609" s="2" t="s">
        <v>7571</v>
      </c>
      <c r="AY609" s="2" t="s">
        <v>7572</v>
      </c>
      <c r="AZ609" s="2" t="s">
        <v>7572</v>
      </c>
      <c r="BA609" s="2" t="s">
        <v>7573</v>
      </c>
      <c r="BB609" s="2" t="s">
        <v>20</v>
      </c>
      <c r="BD609" s="2" t="s">
        <v>7574</v>
      </c>
      <c r="BE609" s="2" t="s">
        <v>7575</v>
      </c>
      <c r="BF609" s="2" t="s">
        <v>7576</v>
      </c>
    </row>
    <row r="610" spans="1:58" ht="39.75" customHeight="1" x14ac:dyDescent="0.25">
      <c r="A610" s="7" t="s">
        <v>5</v>
      </c>
      <c r="B610" s="1" t="s">
        <v>0</v>
      </c>
      <c r="C610" s="1" t="s">
        <v>1</v>
      </c>
      <c r="D610" s="1" t="s">
        <v>7577</v>
      </c>
      <c r="E610" s="1" t="s">
        <v>7578</v>
      </c>
      <c r="F610" s="1" t="s">
        <v>7579</v>
      </c>
      <c r="H610" s="2" t="s">
        <v>5</v>
      </c>
      <c r="I610" s="2" t="s">
        <v>6</v>
      </c>
      <c r="J610" s="2" t="s">
        <v>5</v>
      </c>
      <c r="K610" s="2" t="s">
        <v>5</v>
      </c>
      <c r="L610" s="2" t="s">
        <v>7</v>
      </c>
      <c r="M610" s="1" t="s">
        <v>7580</v>
      </c>
      <c r="N610" s="1" t="s">
        <v>5489</v>
      </c>
      <c r="O610" s="2" t="s">
        <v>468</v>
      </c>
      <c r="Q610" s="2" t="s">
        <v>1151</v>
      </c>
      <c r="R610" s="2" t="s">
        <v>1152</v>
      </c>
      <c r="S610" s="1" t="s">
        <v>7581</v>
      </c>
      <c r="T610" s="2" t="s">
        <v>13</v>
      </c>
      <c r="U610" s="3">
        <v>3</v>
      </c>
      <c r="V610" s="3">
        <v>3</v>
      </c>
      <c r="W610" s="4" t="s">
        <v>7506</v>
      </c>
      <c r="X610" s="4" t="s">
        <v>7506</v>
      </c>
      <c r="Y610" s="4" t="s">
        <v>5237</v>
      </c>
      <c r="Z610" s="4" t="s">
        <v>5237</v>
      </c>
      <c r="AA610" s="3">
        <v>368</v>
      </c>
      <c r="AB610" s="3">
        <v>302</v>
      </c>
      <c r="AC610" s="3">
        <v>305</v>
      </c>
      <c r="AD610" s="3">
        <v>3</v>
      </c>
      <c r="AE610" s="9">
        <v>3</v>
      </c>
      <c r="AF610" s="9">
        <v>16</v>
      </c>
      <c r="AG610" s="9">
        <v>16</v>
      </c>
      <c r="AH610" s="3">
        <v>5</v>
      </c>
      <c r="AI610" s="3">
        <v>5</v>
      </c>
      <c r="AJ610" s="3">
        <v>5</v>
      </c>
      <c r="AK610" s="3">
        <v>5</v>
      </c>
      <c r="AL610" s="3">
        <v>9</v>
      </c>
      <c r="AM610" s="3">
        <v>9</v>
      </c>
      <c r="AN610" s="3">
        <v>2</v>
      </c>
      <c r="AO610" s="3">
        <v>2</v>
      </c>
      <c r="AP610" s="3">
        <v>0</v>
      </c>
      <c r="AQ610" s="3">
        <v>0</v>
      </c>
      <c r="AR610" s="2" t="s">
        <v>5</v>
      </c>
      <c r="AS610" s="2" t="s">
        <v>5</v>
      </c>
      <c r="AU610" s="5" t="str">
        <f>HYPERLINK("https://creighton-primo.hosted.exlibrisgroup.com/primo-explore/search?tab=default_tab&amp;search_scope=EVERYTHING&amp;vid=01CRU&amp;lang=en_US&amp;offset=0&amp;query=any,contains,991003557219702656","Catalog Record")</f>
        <v>Catalog Record</v>
      </c>
      <c r="AV610" s="5" t="str">
        <f>HYPERLINK("http://www.worldcat.org/oclc/1125990","WorldCat Record")</f>
        <v>WorldCat Record</v>
      </c>
      <c r="AW610" s="2" t="s">
        <v>7582</v>
      </c>
      <c r="AX610" s="2" t="s">
        <v>7583</v>
      </c>
      <c r="AY610" s="2" t="s">
        <v>7584</v>
      </c>
      <c r="AZ610" s="2" t="s">
        <v>7584</v>
      </c>
      <c r="BA610" s="2" t="s">
        <v>7585</v>
      </c>
      <c r="BB610" s="2" t="s">
        <v>20</v>
      </c>
      <c r="BE610" s="2" t="s">
        <v>7586</v>
      </c>
      <c r="BF610" s="2" t="s">
        <v>7587</v>
      </c>
    </row>
    <row r="611" spans="1:58" ht="39.75" customHeight="1" x14ac:dyDescent="0.25">
      <c r="A611" s="7" t="s">
        <v>5</v>
      </c>
      <c r="B611" s="1" t="s">
        <v>0</v>
      </c>
      <c r="C611" s="1" t="s">
        <v>1</v>
      </c>
      <c r="D611" s="1" t="s">
        <v>7588</v>
      </c>
      <c r="E611" s="1" t="s">
        <v>7589</v>
      </c>
      <c r="F611" s="1" t="s">
        <v>7590</v>
      </c>
      <c r="H611" s="2" t="s">
        <v>5</v>
      </c>
      <c r="I611" s="2" t="s">
        <v>6</v>
      </c>
      <c r="J611" s="2" t="s">
        <v>5</v>
      </c>
      <c r="K611" s="2" t="s">
        <v>5</v>
      </c>
      <c r="L611" s="2" t="s">
        <v>7</v>
      </c>
      <c r="M611" s="1" t="s">
        <v>7591</v>
      </c>
      <c r="N611" s="1" t="s">
        <v>1650</v>
      </c>
      <c r="O611" s="2" t="s">
        <v>276</v>
      </c>
      <c r="Q611" s="2" t="s">
        <v>60</v>
      </c>
      <c r="R611" s="2" t="s">
        <v>277</v>
      </c>
      <c r="S611" s="1" t="s">
        <v>7592</v>
      </c>
      <c r="T611" s="2" t="s">
        <v>13</v>
      </c>
      <c r="U611" s="3">
        <v>3</v>
      </c>
      <c r="V611" s="3">
        <v>3</v>
      </c>
      <c r="W611" s="4" t="s">
        <v>7593</v>
      </c>
      <c r="X611" s="4" t="s">
        <v>7593</v>
      </c>
      <c r="Y611" s="4" t="s">
        <v>7406</v>
      </c>
      <c r="Z611" s="4" t="s">
        <v>7406</v>
      </c>
      <c r="AA611" s="3">
        <v>501</v>
      </c>
      <c r="AB611" s="3">
        <v>444</v>
      </c>
      <c r="AC611" s="3">
        <v>451</v>
      </c>
      <c r="AD611" s="3">
        <v>4</v>
      </c>
      <c r="AE611" s="9">
        <v>4</v>
      </c>
      <c r="AF611" s="9">
        <v>21</v>
      </c>
      <c r="AG611" s="9">
        <v>21</v>
      </c>
      <c r="AH611" s="3">
        <v>9</v>
      </c>
      <c r="AI611" s="3">
        <v>9</v>
      </c>
      <c r="AJ611" s="3">
        <v>5</v>
      </c>
      <c r="AK611" s="3">
        <v>5</v>
      </c>
      <c r="AL611" s="3">
        <v>11</v>
      </c>
      <c r="AM611" s="3">
        <v>11</v>
      </c>
      <c r="AN611" s="3">
        <v>3</v>
      </c>
      <c r="AO611" s="3">
        <v>3</v>
      </c>
      <c r="AP611" s="3">
        <v>0</v>
      </c>
      <c r="AQ611" s="3">
        <v>0</v>
      </c>
      <c r="AR611" s="2" t="s">
        <v>5</v>
      </c>
      <c r="AS611" s="2" t="s">
        <v>46</v>
      </c>
      <c r="AT611" s="5" t="str">
        <f>HYPERLINK("http://catalog.hathitrust.org/Record/000746635","HathiTrust Record")</f>
        <v>HathiTrust Record</v>
      </c>
      <c r="AU611" s="5" t="str">
        <f>HYPERLINK("https://creighton-primo.hosted.exlibrisgroup.com/primo-explore/search?tab=default_tab&amp;search_scope=EVERYTHING&amp;vid=01CRU&amp;lang=en_US&amp;offset=0&amp;query=any,contains,991004132139702656","Catalog Record")</f>
        <v>Catalog Record</v>
      </c>
      <c r="AV611" s="5" t="str">
        <f>HYPERLINK("http://www.worldcat.org/oclc/2473563","WorldCat Record")</f>
        <v>WorldCat Record</v>
      </c>
      <c r="AW611" s="2" t="s">
        <v>7594</v>
      </c>
      <c r="AX611" s="2" t="s">
        <v>7595</v>
      </c>
      <c r="AY611" s="2" t="s">
        <v>7596</v>
      </c>
      <c r="AZ611" s="2" t="s">
        <v>7596</v>
      </c>
      <c r="BA611" s="2" t="s">
        <v>7597</v>
      </c>
      <c r="BB611" s="2" t="s">
        <v>20</v>
      </c>
      <c r="BD611" s="2" t="s">
        <v>7598</v>
      </c>
      <c r="BE611" s="2" t="s">
        <v>7599</v>
      </c>
      <c r="BF611" s="2" t="s">
        <v>7600</v>
      </c>
    </row>
    <row r="612" spans="1:58" ht="39.75" customHeight="1" x14ac:dyDescent="0.25">
      <c r="A612" s="7" t="s">
        <v>5</v>
      </c>
      <c r="B612" s="1" t="s">
        <v>0</v>
      </c>
      <c r="C612" s="1" t="s">
        <v>1</v>
      </c>
      <c r="D612" s="1" t="s">
        <v>7601</v>
      </c>
      <c r="E612" s="1" t="s">
        <v>7602</v>
      </c>
      <c r="F612" s="1" t="s">
        <v>7603</v>
      </c>
      <c r="H612" s="2" t="s">
        <v>5</v>
      </c>
      <c r="I612" s="2" t="s">
        <v>6</v>
      </c>
      <c r="J612" s="2" t="s">
        <v>5</v>
      </c>
      <c r="K612" s="2" t="s">
        <v>5</v>
      </c>
      <c r="L612" s="2" t="s">
        <v>7</v>
      </c>
      <c r="N612" s="1" t="s">
        <v>7604</v>
      </c>
      <c r="O612" s="2" t="s">
        <v>1273</v>
      </c>
      <c r="Q612" s="2" t="s">
        <v>1151</v>
      </c>
      <c r="R612" s="2" t="s">
        <v>2758</v>
      </c>
      <c r="S612" s="1" t="s">
        <v>7605</v>
      </c>
      <c r="T612" s="2" t="s">
        <v>13</v>
      </c>
      <c r="U612" s="3">
        <v>2</v>
      </c>
      <c r="V612" s="3">
        <v>2</v>
      </c>
      <c r="W612" s="4" t="s">
        <v>5032</v>
      </c>
      <c r="X612" s="4" t="s">
        <v>5032</v>
      </c>
      <c r="Y612" s="4" t="s">
        <v>5032</v>
      </c>
      <c r="Z612" s="4" t="s">
        <v>5032</v>
      </c>
      <c r="AA612" s="3">
        <v>124</v>
      </c>
      <c r="AB612" s="3">
        <v>98</v>
      </c>
      <c r="AC612" s="3">
        <v>109</v>
      </c>
      <c r="AD612" s="3">
        <v>2</v>
      </c>
      <c r="AE612" s="9">
        <v>2</v>
      </c>
      <c r="AF612" s="9">
        <v>6</v>
      </c>
      <c r="AG612" s="9">
        <v>6</v>
      </c>
      <c r="AH612" s="3">
        <v>1</v>
      </c>
      <c r="AI612" s="3">
        <v>1</v>
      </c>
      <c r="AJ612" s="3">
        <v>2</v>
      </c>
      <c r="AK612" s="3">
        <v>2</v>
      </c>
      <c r="AL612" s="3">
        <v>5</v>
      </c>
      <c r="AM612" s="3">
        <v>5</v>
      </c>
      <c r="AN612" s="3">
        <v>1</v>
      </c>
      <c r="AO612" s="3">
        <v>1</v>
      </c>
      <c r="AP612" s="3">
        <v>0</v>
      </c>
      <c r="AQ612" s="3">
        <v>0</v>
      </c>
      <c r="AR612" s="2" t="s">
        <v>5</v>
      </c>
      <c r="AS612" s="2" t="s">
        <v>5</v>
      </c>
      <c r="AU612" s="5" t="str">
        <f>HYPERLINK("https://creighton-primo.hosted.exlibrisgroup.com/primo-explore/search?tab=default_tab&amp;search_scope=EVERYTHING&amp;vid=01CRU&amp;lang=en_US&amp;offset=0&amp;query=any,contains,991004489739702656","Catalog Record")</f>
        <v>Catalog Record</v>
      </c>
      <c r="AV612" s="5" t="str">
        <f>HYPERLINK("http://www.worldcat.org/oclc/15197110","WorldCat Record")</f>
        <v>WorldCat Record</v>
      </c>
      <c r="AW612" s="2" t="s">
        <v>7606</v>
      </c>
      <c r="AX612" s="2" t="s">
        <v>7607</v>
      </c>
      <c r="AY612" s="2" t="s">
        <v>7608</v>
      </c>
      <c r="AZ612" s="2" t="s">
        <v>7608</v>
      </c>
      <c r="BA612" s="2" t="s">
        <v>7609</v>
      </c>
      <c r="BB612" s="2" t="s">
        <v>20</v>
      </c>
      <c r="BD612" s="2" t="s">
        <v>7610</v>
      </c>
      <c r="BE612" s="2" t="s">
        <v>7611</v>
      </c>
      <c r="BF612" s="2" t="s">
        <v>7612</v>
      </c>
    </row>
    <row r="613" spans="1:58" ht="39.75" customHeight="1" x14ac:dyDescent="0.25">
      <c r="A613" s="7" t="s">
        <v>5</v>
      </c>
      <c r="B613" s="1" t="s">
        <v>0</v>
      </c>
      <c r="C613" s="1" t="s">
        <v>1</v>
      </c>
      <c r="D613" s="1" t="s">
        <v>7613</v>
      </c>
      <c r="E613" s="1" t="s">
        <v>7614</v>
      </c>
      <c r="F613" s="1" t="s">
        <v>7615</v>
      </c>
      <c r="H613" s="2" t="s">
        <v>5</v>
      </c>
      <c r="I613" s="2" t="s">
        <v>6</v>
      </c>
      <c r="J613" s="2" t="s">
        <v>5</v>
      </c>
      <c r="K613" s="2" t="s">
        <v>5</v>
      </c>
      <c r="L613" s="2" t="s">
        <v>7</v>
      </c>
      <c r="M613" s="1" t="s">
        <v>7616</v>
      </c>
      <c r="N613" s="1" t="s">
        <v>7617</v>
      </c>
      <c r="O613" s="2" t="s">
        <v>524</v>
      </c>
      <c r="Q613" s="2" t="s">
        <v>1151</v>
      </c>
      <c r="R613" s="2" t="s">
        <v>1152</v>
      </c>
      <c r="S613" s="1" t="s">
        <v>7618</v>
      </c>
      <c r="T613" s="2" t="s">
        <v>13</v>
      </c>
      <c r="U613" s="3">
        <v>3</v>
      </c>
      <c r="V613" s="3">
        <v>3</v>
      </c>
      <c r="W613" s="4" t="s">
        <v>7619</v>
      </c>
      <c r="X613" s="4" t="s">
        <v>7619</v>
      </c>
      <c r="Y613" s="4" t="s">
        <v>7620</v>
      </c>
      <c r="Z613" s="4" t="s">
        <v>7620</v>
      </c>
      <c r="AA613" s="3">
        <v>332</v>
      </c>
      <c r="AB613" s="3">
        <v>278</v>
      </c>
      <c r="AC613" s="3">
        <v>528</v>
      </c>
      <c r="AD613" s="3">
        <v>1</v>
      </c>
      <c r="AE613" s="9">
        <v>2</v>
      </c>
      <c r="AF613" s="9">
        <v>11</v>
      </c>
      <c r="AG613" s="9">
        <v>30</v>
      </c>
      <c r="AH613" s="3">
        <v>7</v>
      </c>
      <c r="AI613" s="3">
        <v>13</v>
      </c>
      <c r="AJ613" s="3">
        <v>0</v>
      </c>
      <c r="AK613" s="3">
        <v>7</v>
      </c>
      <c r="AL613" s="3">
        <v>5</v>
      </c>
      <c r="AM613" s="3">
        <v>15</v>
      </c>
      <c r="AN613" s="3">
        <v>0</v>
      </c>
      <c r="AO613" s="3">
        <v>1</v>
      </c>
      <c r="AP613" s="3">
        <v>0</v>
      </c>
      <c r="AQ613" s="3">
        <v>0</v>
      </c>
      <c r="AR613" s="2" t="s">
        <v>5</v>
      </c>
      <c r="AS613" s="2" t="s">
        <v>46</v>
      </c>
      <c r="AT613" s="5" t="str">
        <f>HYPERLINK("http://catalog.hathitrust.org/Record/006226947","HathiTrust Record")</f>
        <v>HathiTrust Record</v>
      </c>
      <c r="AU613" s="5" t="str">
        <f>HYPERLINK("https://creighton-primo.hosted.exlibrisgroup.com/primo-explore/search?tab=default_tab&amp;search_scope=EVERYTHING&amp;vid=01CRU&amp;lang=en_US&amp;offset=0&amp;query=any,contains,991004161009702656","Catalog Record")</f>
        <v>Catalog Record</v>
      </c>
      <c r="AV613" s="5" t="str">
        <f>HYPERLINK("http://www.worldcat.org/oclc/2551592","WorldCat Record")</f>
        <v>WorldCat Record</v>
      </c>
      <c r="AW613" s="2" t="s">
        <v>7621</v>
      </c>
      <c r="AX613" s="2" t="s">
        <v>7622</v>
      </c>
      <c r="AY613" s="2" t="s">
        <v>7623</v>
      </c>
      <c r="AZ613" s="2" t="s">
        <v>7623</v>
      </c>
      <c r="BA613" s="2" t="s">
        <v>7624</v>
      </c>
      <c r="BB613" s="2" t="s">
        <v>20</v>
      </c>
      <c r="BE613" s="2" t="s">
        <v>7625</v>
      </c>
      <c r="BF613" s="2" t="s">
        <v>7626</v>
      </c>
    </row>
    <row r="614" spans="1:58" ht="39.75" customHeight="1" x14ac:dyDescent="0.25">
      <c r="A614" s="7" t="s">
        <v>5</v>
      </c>
      <c r="B614" s="1" t="s">
        <v>0</v>
      </c>
      <c r="C614" s="1" t="s">
        <v>1</v>
      </c>
      <c r="D614" s="1" t="s">
        <v>7627</v>
      </c>
      <c r="E614" s="1" t="s">
        <v>7628</v>
      </c>
      <c r="F614" s="1" t="s">
        <v>7629</v>
      </c>
      <c r="H614" s="2" t="s">
        <v>5</v>
      </c>
      <c r="I614" s="2" t="s">
        <v>6</v>
      </c>
      <c r="J614" s="2" t="s">
        <v>5</v>
      </c>
      <c r="K614" s="2" t="s">
        <v>5</v>
      </c>
      <c r="L614" s="2" t="s">
        <v>7</v>
      </c>
      <c r="M614" s="1" t="s">
        <v>7630</v>
      </c>
      <c r="N614" s="1" t="s">
        <v>6103</v>
      </c>
      <c r="O614" s="2" t="s">
        <v>1418</v>
      </c>
      <c r="Q614" s="2" t="s">
        <v>1151</v>
      </c>
      <c r="R614" s="2" t="s">
        <v>1152</v>
      </c>
      <c r="S614" s="1" t="s">
        <v>7631</v>
      </c>
      <c r="T614" s="2" t="s">
        <v>13</v>
      </c>
      <c r="U614" s="3">
        <v>1</v>
      </c>
      <c r="V614" s="3">
        <v>1</v>
      </c>
      <c r="W614" s="4" t="s">
        <v>7632</v>
      </c>
      <c r="X614" s="4" t="s">
        <v>7632</v>
      </c>
      <c r="Y614" s="4" t="s">
        <v>5237</v>
      </c>
      <c r="Z614" s="4" t="s">
        <v>5237</v>
      </c>
      <c r="AA614" s="3">
        <v>212</v>
      </c>
      <c r="AB614" s="3">
        <v>170</v>
      </c>
      <c r="AC614" s="3">
        <v>176</v>
      </c>
      <c r="AD614" s="3">
        <v>1</v>
      </c>
      <c r="AE614" s="9">
        <v>2</v>
      </c>
      <c r="AF614" s="9">
        <v>8</v>
      </c>
      <c r="AG614" s="9">
        <v>9</v>
      </c>
      <c r="AH614" s="3">
        <v>1</v>
      </c>
      <c r="AI614" s="3">
        <v>1</v>
      </c>
      <c r="AJ614" s="3">
        <v>2</v>
      </c>
      <c r="AK614" s="3">
        <v>2</v>
      </c>
      <c r="AL614" s="3">
        <v>6</v>
      </c>
      <c r="AM614" s="3">
        <v>6</v>
      </c>
      <c r="AN614" s="3">
        <v>0</v>
      </c>
      <c r="AO614" s="3">
        <v>1</v>
      </c>
      <c r="AP614" s="3">
        <v>0</v>
      </c>
      <c r="AQ614" s="3">
        <v>0</v>
      </c>
      <c r="AR614" s="2" t="s">
        <v>5</v>
      </c>
      <c r="AS614" s="2" t="s">
        <v>46</v>
      </c>
      <c r="AT614" s="5" t="str">
        <f>HYPERLINK("http://catalog.hathitrust.org/Record/001052674","HathiTrust Record")</f>
        <v>HathiTrust Record</v>
      </c>
      <c r="AU614" s="5" t="str">
        <f>HYPERLINK("https://creighton-primo.hosted.exlibrisgroup.com/primo-explore/search?tab=default_tab&amp;search_scope=EVERYTHING&amp;vid=01CRU&amp;lang=en_US&amp;offset=0&amp;query=any,contains,991003141899702656","Catalog Record")</f>
        <v>Catalog Record</v>
      </c>
      <c r="AV614" s="5" t="str">
        <f>HYPERLINK("http://www.worldcat.org/oclc/683195","WorldCat Record")</f>
        <v>WorldCat Record</v>
      </c>
      <c r="AW614" s="2" t="s">
        <v>7633</v>
      </c>
      <c r="AX614" s="2" t="s">
        <v>7634</v>
      </c>
      <c r="AY614" s="2" t="s">
        <v>7635</v>
      </c>
      <c r="AZ614" s="2" t="s">
        <v>7635</v>
      </c>
      <c r="BA614" s="2" t="s">
        <v>7636</v>
      </c>
      <c r="BB614" s="2" t="s">
        <v>20</v>
      </c>
      <c r="BE614" s="2" t="s">
        <v>7637</v>
      </c>
      <c r="BF614" s="2" t="s">
        <v>7638</v>
      </c>
    </row>
    <row r="615" spans="1:58" ht="39.75" customHeight="1" x14ac:dyDescent="0.25">
      <c r="A615" s="7" t="s">
        <v>5</v>
      </c>
      <c r="B615" s="1" t="s">
        <v>0</v>
      </c>
      <c r="C615" s="1" t="s">
        <v>1</v>
      </c>
      <c r="D615" s="1" t="s">
        <v>7639</v>
      </c>
      <c r="E615" s="1" t="s">
        <v>7640</v>
      </c>
      <c r="F615" s="1" t="s">
        <v>7641</v>
      </c>
      <c r="H615" s="2" t="s">
        <v>5</v>
      </c>
      <c r="I615" s="2" t="s">
        <v>6</v>
      </c>
      <c r="J615" s="2" t="s">
        <v>5</v>
      </c>
      <c r="K615" s="2" t="s">
        <v>5</v>
      </c>
      <c r="L615" s="2" t="s">
        <v>7</v>
      </c>
      <c r="M615" s="1" t="s">
        <v>7642</v>
      </c>
      <c r="N615" s="1" t="s">
        <v>7643</v>
      </c>
      <c r="O615" s="2" t="s">
        <v>42</v>
      </c>
      <c r="Q615" s="2" t="s">
        <v>1151</v>
      </c>
      <c r="R615" s="2" t="s">
        <v>3928</v>
      </c>
      <c r="S615" s="1" t="s">
        <v>7644</v>
      </c>
      <c r="T615" s="2" t="s">
        <v>13</v>
      </c>
      <c r="U615" s="3">
        <v>2</v>
      </c>
      <c r="V615" s="3">
        <v>2</v>
      </c>
      <c r="W615" s="4" t="s">
        <v>5518</v>
      </c>
      <c r="X615" s="4" t="s">
        <v>5518</v>
      </c>
      <c r="Y615" s="4" t="s">
        <v>5518</v>
      </c>
      <c r="Z615" s="4" t="s">
        <v>5518</v>
      </c>
      <c r="AA615" s="3">
        <v>74</v>
      </c>
      <c r="AB615" s="3">
        <v>56</v>
      </c>
      <c r="AC615" s="3">
        <v>63</v>
      </c>
      <c r="AD615" s="3">
        <v>1</v>
      </c>
      <c r="AE615" s="9">
        <v>1</v>
      </c>
      <c r="AF615" s="9">
        <v>3</v>
      </c>
      <c r="AG615" s="9">
        <v>3</v>
      </c>
      <c r="AH615" s="3">
        <v>0</v>
      </c>
      <c r="AI615" s="3">
        <v>0</v>
      </c>
      <c r="AJ615" s="3">
        <v>2</v>
      </c>
      <c r="AK615" s="3">
        <v>2</v>
      </c>
      <c r="AL615" s="3">
        <v>2</v>
      </c>
      <c r="AM615" s="3">
        <v>2</v>
      </c>
      <c r="AN615" s="3">
        <v>0</v>
      </c>
      <c r="AO615" s="3">
        <v>0</v>
      </c>
      <c r="AP615" s="3">
        <v>0</v>
      </c>
      <c r="AQ615" s="3">
        <v>0</v>
      </c>
      <c r="AR615" s="2" t="s">
        <v>5</v>
      </c>
      <c r="AS615" s="2" t="s">
        <v>46</v>
      </c>
      <c r="AT615" s="5" t="str">
        <f>HYPERLINK("http://catalog.hathitrust.org/Record/002911627","HathiTrust Record")</f>
        <v>HathiTrust Record</v>
      </c>
      <c r="AU615" s="5" t="str">
        <f>HYPERLINK("https://creighton-primo.hosted.exlibrisgroup.com/primo-explore/search?tab=default_tab&amp;search_scope=EVERYTHING&amp;vid=01CRU&amp;lang=en_US&amp;offset=0&amp;query=any,contains,991004508199702656","Catalog Record")</f>
        <v>Catalog Record</v>
      </c>
      <c r="AV615" s="5" t="str">
        <f>HYPERLINK("http://www.worldcat.org/oclc/23049636","WorldCat Record")</f>
        <v>WorldCat Record</v>
      </c>
      <c r="AW615" s="2" t="s">
        <v>7645</v>
      </c>
      <c r="AX615" s="2" t="s">
        <v>7646</v>
      </c>
      <c r="AY615" s="2" t="s">
        <v>7647</v>
      </c>
      <c r="AZ615" s="2" t="s">
        <v>7647</v>
      </c>
      <c r="BA615" s="2" t="s">
        <v>7648</v>
      </c>
      <c r="BB615" s="2" t="s">
        <v>20</v>
      </c>
      <c r="BE615" s="2" t="s">
        <v>7649</v>
      </c>
      <c r="BF615" s="2" t="s">
        <v>7650</v>
      </c>
    </row>
    <row r="616" spans="1:58" ht="39.75" customHeight="1" x14ac:dyDescent="0.25">
      <c r="A616" s="7" t="s">
        <v>5</v>
      </c>
      <c r="B616" s="1" t="s">
        <v>0</v>
      </c>
      <c r="C616" s="1" t="s">
        <v>1</v>
      </c>
      <c r="D616" s="1" t="s">
        <v>7651</v>
      </c>
      <c r="E616" s="1" t="s">
        <v>7652</v>
      </c>
      <c r="F616" s="1" t="s">
        <v>7653</v>
      </c>
      <c r="G616" s="2" t="s">
        <v>101</v>
      </c>
      <c r="H616" s="2" t="s">
        <v>5</v>
      </c>
      <c r="I616" s="2" t="s">
        <v>6</v>
      </c>
      <c r="J616" s="2" t="s">
        <v>5</v>
      </c>
      <c r="K616" s="2" t="s">
        <v>5</v>
      </c>
      <c r="L616" s="2" t="s">
        <v>7</v>
      </c>
      <c r="M616" s="1" t="s">
        <v>7654</v>
      </c>
      <c r="N616" s="1" t="s">
        <v>7655</v>
      </c>
      <c r="O616" s="2" t="s">
        <v>886</v>
      </c>
      <c r="P616" s="1" t="s">
        <v>7656</v>
      </c>
      <c r="Q616" s="2" t="s">
        <v>1151</v>
      </c>
      <c r="R616" s="2" t="s">
        <v>1152</v>
      </c>
      <c r="S616" s="1" t="s">
        <v>7657</v>
      </c>
      <c r="T616" s="2" t="s">
        <v>13</v>
      </c>
      <c r="U616" s="3">
        <v>2</v>
      </c>
      <c r="V616" s="3">
        <v>2</v>
      </c>
      <c r="W616" s="4" t="s">
        <v>7658</v>
      </c>
      <c r="X616" s="4" t="s">
        <v>7658</v>
      </c>
      <c r="Y616" s="4" t="s">
        <v>7406</v>
      </c>
      <c r="Z616" s="4" t="s">
        <v>7406</v>
      </c>
      <c r="AA616" s="3">
        <v>2</v>
      </c>
      <c r="AB616" s="3">
        <v>1</v>
      </c>
      <c r="AC616" s="3">
        <v>44</v>
      </c>
      <c r="AD616" s="3">
        <v>1</v>
      </c>
      <c r="AE616" s="9">
        <v>1</v>
      </c>
      <c r="AF616" s="9">
        <v>0</v>
      </c>
      <c r="AG616" s="9">
        <v>2</v>
      </c>
      <c r="AH616" s="3">
        <v>0</v>
      </c>
      <c r="AI616" s="3">
        <v>1</v>
      </c>
      <c r="AJ616" s="3">
        <v>0</v>
      </c>
      <c r="AK616" s="3">
        <v>0</v>
      </c>
      <c r="AL616" s="3">
        <v>0</v>
      </c>
      <c r="AM616" s="3">
        <v>1</v>
      </c>
      <c r="AN616" s="3">
        <v>0</v>
      </c>
      <c r="AO616" s="3">
        <v>0</v>
      </c>
      <c r="AP616" s="3">
        <v>0</v>
      </c>
      <c r="AQ616" s="3">
        <v>0</v>
      </c>
      <c r="AR616" s="2" t="s">
        <v>5</v>
      </c>
      <c r="AS616" s="2" t="s">
        <v>5</v>
      </c>
      <c r="AU616" s="5" t="str">
        <f>HYPERLINK("https://creighton-primo.hosted.exlibrisgroup.com/primo-explore/search?tab=default_tab&amp;search_scope=EVERYTHING&amp;vid=01CRU&amp;lang=en_US&amp;offset=0&amp;query=any,contains,991000099629702656","Catalog Record")</f>
        <v>Catalog Record</v>
      </c>
      <c r="AV616" s="5" t="str">
        <f>HYPERLINK("http://www.worldcat.org/oclc/8944033","WorldCat Record")</f>
        <v>WorldCat Record</v>
      </c>
      <c r="AW616" s="2" t="s">
        <v>7659</v>
      </c>
      <c r="AX616" s="2" t="s">
        <v>7660</v>
      </c>
      <c r="AY616" s="2" t="s">
        <v>7661</v>
      </c>
      <c r="AZ616" s="2" t="s">
        <v>7661</v>
      </c>
      <c r="BA616" s="2" t="s">
        <v>7662</v>
      </c>
      <c r="BB616" s="2" t="s">
        <v>20</v>
      </c>
      <c r="BD616" s="2" t="s">
        <v>7663</v>
      </c>
      <c r="BE616" s="2" t="s">
        <v>7664</v>
      </c>
      <c r="BF616" s="2" t="s">
        <v>7665</v>
      </c>
    </row>
    <row r="617" spans="1:58" ht="39.75" customHeight="1" x14ac:dyDescent="0.25">
      <c r="A617" s="7" t="s">
        <v>5</v>
      </c>
      <c r="B617" s="1" t="s">
        <v>0</v>
      </c>
      <c r="C617" s="1" t="s">
        <v>1</v>
      </c>
      <c r="D617" s="1" t="s">
        <v>7666</v>
      </c>
      <c r="E617" s="1" t="s">
        <v>7667</v>
      </c>
      <c r="F617" s="1" t="s">
        <v>7668</v>
      </c>
      <c r="H617" s="2" t="s">
        <v>5</v>
      </c>
      <c r="I617" s="2" t="s">
        <v>6</v>
      </c>
      <c r="J617" s="2" t="s">
        <v>5</v>
      </c>
      <c r="K617" s="2" t="s">
        <v>5</v>
      </c>
      <c r="L617" s="2" t="s">
        <v>7</v>
      </c>
      <c r="M617" s="1" t="s">
        <v>7654</v>
      </c>
      <c r="N617" s="1" t="s">
        <v>7338</v>
      </c>
      <c r="O617" s="2" t="s">
        <v>736</v>
      </c>
      <c r="P617" s="1" t="s">
        <v>7669</v>
      </c>
      <c r="Q617" s="2" t="s">
        <v>1151</v>
      </c>
      <c r="R617" s="2" t="s">
        <v>1152</v>
      </c>
      <c r="S617" s="1" t="s">
        <v>7670</v>
      </c>
      <c r="T617" s="2" t="s">
        <v>13</v>
      </c>
      <c r="U617" s="3">
        <v>3</v>
      </c>
      <c r="V617" s="3">
        <v>3</v>
      </c>
      <c r="W617" s="4" t="s">
        <v>7671</v>
      </c>
      <c r="X617" s="4" t="s">
        <v>7671</v>
      </c>
      <c r="Y617" s="4" t="s">
        <v>6689</v>
      </c>
      <c r="Z617" s="4" t="s">
        <v>6689</v>
      </c>
      <c r="AA617" s="3">
        <v>4</v>
      </c>
      <c r="AB617" s="3">
        <v>4</v>
      </c>
      <c r="AC617" s="3">
        <v>594</v>
      </c>
      <c r="AD617" s="3">
        <v>1</v>
      </c>
      <c r="AE617" s="9">
        <v>3</v>
      </c>
      <c r="AF617" s="9">
        <v>1</v>
      </c>
      <c r="AG617" s="9">
        <v>19</v>
      </c>
      <c r="AH617" s="3">
        <v>0</v>
      </c>
      <c r="AI617" s="3">
        <v>4</v>
      </c>
      <c r="AJ617" s="3">
        <v>1</v>
      </c>
      <c r="AK617" s="3">
        <v>7</v>
      </c>
      <c r="AL617" s="3">
        <v>0</v>
      </c>
      <c r="AM617" s="3">
        <v>9</v>
      </c>
      <c r="AN617" s="3">
        <v>0</v>
      </c>
      <c r="AO617" s="3">
        <v>2</v>
      </c>
      <c r="AP617" s="3">
        <v>0</v>
      </c>
      <c r="AQ617" s="3">
        <v>0</v>
      </c>
      <c r="AR617" s="2" t="s">
        <v>5</v>
      </c>
      <c r="AS617" s="2" t="s">
        <v>5</v>
      </c>
      <c r="AU617" s="5" t="str">
        <f>HYPERLINK("https://creighton-primo.hosted.exlibrisgroup.com/primo-explore/search?tab=default_tab&amp;search_scope=EVERYTHING&amp;vid=01CRU&amp;lang=en_US&amp;offset=0&amp;query=any,contains,991003484259702656","Catalog Record")</f>
        <v>Catalog Record</v>
      </c>
      <c r="AV617" s="5" t="str">
        <f>HYPERLINK("http://www.worldcat.org/oclc/26338452","WorldCat Record")</f>
        <v>WorldCat Record</v>
      </c>
      <c r="AW617" s="2" t="s">
        <v>7672</v>
      </c>
      <c r="AX617" s="2" t="s">
        <v>7673</v>
      </c>
      <c r="AY617" s="2" t="s">
        <v>7674</v>
      </c>
      <c r="AZ617" s="2" t="s">
        <v>7674</v>
      </c>
      <c r="BA617" s="2" t="s">
        <v>7675</v>
      </c>
      <c r="BB617" s="2" t="s">
        <v>20</v>
      </c>
      <c r="BD617" s="2" t="s">
        <v>7676</v>
      </c>
      <c r="BE617" s="2" t="s">
        <v>7677</v>
      </c>
      <c r="BF617" s="2" t="s">
        <v>7678</v>
      </c>
    </row>
    <row r="618" spans="1:58" ht="39.75" customHeight="1" x14ac:dyDescent="0.25">
      <c r="A618" s="7" t="s">
        <v>5</v>
      </c>
      <c r="B618" s="1" t="s">
        <v>0</v>
      </c>
      <c r="C618" s="1" t="s">
        <v>1</v>
      </c>
      <c r="D618" s="1" t="s">
        <v>7679</v>
      </c>
      <c r="E618" s="1" t="s">
        <v>7680</v>
      </c>
      <c r="F618" s="1" t="s">
        <v>7681</v>
      </c>
      <c r="H618" s="2" t="s">
        <v>5</v>
      </c>
      <c r="I618" s="2" t="s">
        <v>6</v>
      </c>
      <c r="J618" s="2" t="s">
        <v>5</v>
      </c>
      <c r="K618" s="2" t="s">
        <v>5</v>
      </c>
      <c r="L618" s="2" t="s">
        <v>7</v>
      </c>
      <c r="M618" s="1" t="s">
        <v>7682</v>
      </c>
      <c r="N618" s="1" t="s">
        <v>3209</v>
      </c>
      <c r="O618" s="2" t="s">
        <v>291</v>
      </c>
      <c r="Q618" s="2" t="s">
        <v>60</v>
      </c>
      <c r="R618" s="2" t="s">
        <v>277</v>
      </c>
      <c r="S618" s="1" t="s">
        <v>7683</v>
      </c>
      <c r="T618" s="2" t="s">
        <v>13</v>
      </c>
      <c r="U618" s="3">
        <v>2</v>
      </c>
      <c r="V618" s="3">
        <v>2</v>
      </c>
      <c r="W618" s="4" t="s">
        <v>5179</v>
      </c>
      <c r="X618" s="4" t="s">
        <v>5179</v>
      </c>
      <c r="Y618" s="4" t="s">
        <v>7406</v>
      </c>
      <c r="Z618" s="4" t="s">
        <v>7406</v>
      </c>
      <c r="AA618" s="3">
        <v>461</v>
      </c>
      <c r="AB618" s="3">
        <v>417</v>
      </c>
      <c r="AC618" s="3">
        <v>424</v>
      </c>
      <c r="AD618" s="3">
        <v>4</v>
      </c>
      <c r="AE618" s="9">
        <v>4</v>
      </c>
      <c r="AF618" s="9">
        <v>24</v>
      </c>
      <c r="AG618" s="9">
        <v>24</v>
      </c>
      <c r="AH618" s="3">
        <v>10</v>
      </c>
      <c r="AI618" s="3">
        <v>10</v>
      </c>
      <c r="AJ618" s="3">
        <v>5</v>
      </c>
      <c r="AK618" s="3">
        <v>5</v>
      </c>
      <c r="AL618" s="3">
        <v>14</v>
      </c>
      <c r="AM618" s="3">
        <v>14</v>
      </c>
      <c r="AN618" s="3">
        <v>3</v>
      </c>
      <c r="AO618" s="3">
        <v>3</v>
      </c>
      <c r="AP618" s="3">
        <v>0</v>
      </c>
      <c r="AQ618" s="3">
        <v>0</v>
      </c>
      <c r="AR618" s="2" t="s">
        <v>5</v>
      </c>
      <c r="AS618" s="2" t="s">
        <v>46</v>
      </c>
      <c r="AT618" s="5" t="str">
        <f>HYPERLINK("http://catalog.hathitrust.org/Record/000738611","HathiTrust Record")</f>
        <v>HathiTrust Record</v>
      </c>
      <c r="AU618" s="5" t="str">
        <f>HYPERLINK("https://creighton-primo.hosted.exlibrisgroup.com/primo-explore/search?tab=default_tab&amp;search_scope=EVERYTHING&amp;vid=01CRU&amp;lang=en_US&amp;offset=0&amp;query=any,contains,991004108709702656","Catalog Record")</f>
        <v>Catalog Record</v>
      </c>
      <c r="AV618" s="5" t="str">
        <f>HYPERLINK("http://www.worldcat.org/oclc/2388471","WorldCat Record")</f>
        <v>WorldCat Record</v>
      </c>
      <c r="AW618" s="2" t="s">
        <v>7684</v>
      </c>
      <c r="AX618" s="2" t="s">
        <v>7685</v>
      </c>
      <c r="AY618" s="2" t="s">
        <v>7686</v>
      </c>
      <c r="AZ618" s="2" t="s">
        <v>7686</v>
      </c>
      <c r="BA618" s="2" t="s">
        <v>7687</v>
      </c>
      <c r="BB618" s="2" t="s">
        <v>20</v>
      </c>
      <c r="BD618" s="2" t="s">
        <v>7688</v>
      </c>
      <c r="BE618" s="2" t="s">
        <v>7689</v>
      </c>
      <c r="BF618" s="2" t="s">
        <v>7690</v>
      </c>
    </row>
    <row r="619" spans="1:58" ht="39.75" customHeight="1" x14ac:dyDescent="0.25">
      <c r="A619" s="7" t="s">
        <v>5</v>
      </c>
      <c r="B619" s="1" t="s">
        <v>0</v>
      </c>
      <c r="C619" s="1" t="s">
        <v>1</v>
      </c>
      <c r="D619" s="1" t="s">
        <v>7691</v>
      </c>
      <c r="E619" s="1" t="s">
        <v>7692</v>
      </c>
      <c r="F619" s="1" t="s">
        <v>7693</v>
      </c>
      <c r="H619" s="2" t="s">
        <v>5</v>
      </c>
      <c r="I619" s="2" t="s">
        <v>6</v>
      </c>
      <c r="J619" s="2" t="s">
        <v>5</v>
      </c>
      <c r="K619" s="2" t="s">
        <v>5</v>
      </c>
      <c r="L619" s="2" t="s">
        <v>7</v>
      </c>
      <c r="M619" s="1" t="s">
        <v>7694</v>
      </c>
      <c r="N619" s="1" t="s">
        <v>7695</v>
      </c>
      <c r="O619" s="2" t="s">
        <v>1065</v>
      </c>
      <c r="Q619" s="2" t="s">
        <v>60</v>
      </c>
      <c r="R619" s="2" t="s">
        <v>2758</v>
      </c>
      <c r="T619" s="2" t="s">
        <v>13</v>
      </c>
      <c r="U619" s="3">
        <v>1</v>
      </c>
      <c r="V619" s="3">
        <v>1</v>
      </c>
      <c r="W619" s="4" t="s">
        <v>7696</v>
      </c>
      <c r="X619" s="4" t="s">
        <v>7696</v>
      </c>
      <c r="Y619" s="4" t="s">
        <v>7697</v>
      </c>
      <c r="Z619" s="4" t="s">
        <v>7697</v>
      </c>
      <c r="AA619" s="3">
        <v>417</v>
      </c>
      <c r="AB619" s="3">
        <v>383</v>
      </c>
      <c r="AC619" s="3">
        <v>497</v>
      </c>
      <c r="AD619" s="3">
        <v>4</v>
      </c>
      <c r="AE619" s="9">
        <v>5</v>
      </c>
      <c r="AF619" s="9">
        <v>27</v>
      </c>
      <c r="AG619" s="9">
        <v>32</v>
      </c>
      <c r="AH619" s="3">
        <v>10</v>
      </c>
      <c r="AI619" s="3">
        <v>12</v>
      </c>
      <c r="AJ619" s="3">
        <v>5</v>
      </c>
      <c r="AK619" s="3">
        <v>7</v>
      </c>
      <c r="AL619" s="3">
        <v>17</v>
      </c>
      <c r="AM619" s="3">
        <v>18</v>
      </c>
      <c r="AN619" s="3">
        <v>3</v>
      </c>
      <c r="AO619" s="3">
        <v>4</v>
      </c>
      <c r="AP619" s="3">
        <v>0</v>
      </c>
      <c r="AQ619" s="3">
        <v>0</v>
      </c>
      <c r="AR619" s="2" t="s">
        <v>5</v>
      </c>
      <c r="AS619" s="2" t="s">
        <v>46</v>
      </c>
      <c r="AT619" s="5" t="str">
        <f>HYPERLINK("http://catalog.hathitrust.org/Record/001110782","HathiTrust Record")</f>
        <v>HathiTrust Record</v>
      </c>
      <c r="AU619" s="5" t="str">
        <f>HYPERLINK("https://creighton-primo.hosted.exlibrisgroup.com/primo-explore/search?tab=default_tab&amp;search_scope=EVERYTHING&amp;vid=01CRU&amp;lang=en_US&amp;offset=0&amp;query=any,contains,991002428319702656","Catalog Record")</f>
        <v>Catalog Record</v>
      </c>
      <c r="AV619" s="5" t="str">
        <f>HYPERLINK("http://www.worldcat.org/oclc/345720","WorldCat Record")</f>
        <v>WorldCat Record</v>
      </c>
      <c r="AW619" s="2" t="s">
        <v>7698</v>
      </c>
      <c r="AX619" s="2" t="s">
        <v>7699</v>
      </c>
      <c r="AY619" s="2" t="s">
        <v>7700</v>
      </c>
      <c r="AZ619" s="2" t="s">
        <v>7700</v>
      </c>
      <c r="BA619" s="2" t="s">
        <v>7701</v>
      </c>
      <c r="BB619" s="2" t="s">
        <v>20</v>
      </c>
      <c r="BE619" s="2" t="s">
        <v>7702</v>
      </c>
      <c r="BF619" s="2" t="s">
        <v>7703</v>
      </c>
    </row>
    <row r="620" spans="1:58" ht="39.75" customHeight="1" x14ac:dyDescent="0.25">
      <c r="A620" s="7" t="s">
        <v>5</v>
      </c>
      <c r="B620" s="1" t="s">
        <v>0</v>
      </c>
      <c r="C620" s="1" t="s">
        <v>1</v>
      </c>
      <c r="D620" s="1" t="s">
        <v>7704</v>
      </c>
      <c r="E620" s="1" t="s">
        <v>7705</v>
      </c>
      <c r="F620" s="1" t="s">
        <v>7706</v>
      </c>
      <c r="H620" s="2" t="s">
        <v>5</v>
      </c>
      <c r="I620" s="2" t="s">
        <v>6</v>
      </c>
      <c r="J620" s="2" t="s">
        <v>5</v>
      </c>
      <c r="K620" s="2" t="s">
        <v>5</v>
      </c>
      <c r="L620" s="2" t="s">
        <v>7</v>
      </c>
      <c r="M620" s="1" t="s">
        <v>7694</v>
      </c>
      <c r="N620" s="1" t="s">
        <v>7707</v>
      </c>
      <c r="O620" s="2" t="s">
        <v>886</v>
      </c>
      <c r="Q620" s="2" t="s">
        <v>1151</v>
      </c>
      <c r="R620" s="2" t="s">
        <v>1152</v>
      </c>
      <c r="S620" s="1" t="s">
        <v>7708</v>
      </c>
      <c r="T620" s="2" t="s">
        <v>13</v>
      </c>
      <c r="U620" s="3">
        <v>5</v>
      </c>
      <c r="V620" s="3">
        <v>5</v>
      </c>
      <c r="W620" s="4" t="s">
        <v>7709</v>
      </c>
      <c r="X620" s="4" t="s">
        <v>7709</v>
      </c>
      <c r="Y620" s="4" t="s">
        <v>7710</v>
      </c>
      <c r="Z620" s="4" t="s">
        <v>7710</v>
      </c>
      <c r="AA620" s="3">
        <v>312</v>
      </c>
      <c r="AB620" s="3">
        <v>263</v>
      </c>
      <c r="AC620" s="3">
        <v>284</v>
      </c>
      <c r="AD620" s="3">
        <v>1</v>
      </c>
      <c r="AE620" s="9">
        <v>2</v>
      </c>
      <c r="AF620" s="9">
        <v>14</v>
      </c>
      <c r="AG620" s="9">
        <v>16</v>
      </c>
      <c r="AH620" s="3">
        <v>2</v>
      </c>
      <c r="AI620" s="3">
        <v>2</v>
      </c>
      <c r="AJ620" s="3">
        <v>6</v>
      </c>
      <c r="AK620" s="3">
        <v>6</v>
      </c>
      <c r="AL620" s="3">
        <v>9</v>
      </c>
      <c r="AM620" s="3">
        <v>10</v>
      </c>
      <c r="AN620" s="3">
        <v>0</v>
      </c>
      <c r="AO620" s="3">
        <v>1</v>
      </c>
      <c r="AP620" s="3">
        <v>0</v>
      </c>
      <c r="AQ620" s="3">
        <v>0</v>
      </c>
      <c r="AR620" s="2" t="s">
        <v>5</v>
      </c>
      <c r="AS620" s="2" t="s">
        <v>5</v>
      </c>
      <c r="AU620" s="5" t="str">
        <f>HYPERLINK("https://creighton-primo.hosted.exlibrisgroup.com/primo-explore/search?tab=default_tab&amp;search_scope=EVERYTHING&amp;vid=01CRU&amp;lang=en_US&amp;offset=0&amp;query=any,contains,991003614089702656","Catalog Record")</f>
        <v>Catalog Record</v>
      </c>
      <c r="AV620" s="5" t="str">
        <f>HYPERLINK("http://www.worldcat.org/oclc/1196676","WorldCat Record")</f>
        <v>WorldCat Record</v>
      </c>
      <c r="AW620" s="2" t="s">
        <v>7711</v>
      </c>
      <c r="AX620" s="2" t="s">
        <v>7712</v>
      </c>
      <c r="AY620" s="2" t="s">
        <v>7713</v>
      </c>
      <c r="AZ620" s="2" t="s">
        <v>7713</v>
      </c>
      <c r="BA620" s="2" t="s">
        <v>7714</v>
      </c>
      <c r="BB620" s="2" t="s">
        <v>20</v>
      </c>
      <c r="BD620" s="2" t="s">
        <v>7715</v>
      </c>
      <c r="BE620" s="2" t="s">
        <v>7716</v>
      </c>
      <c r="BF620" s="2" t="s">
        <v>7717</v>
      </c>
    </row>
    <row r="621" spans="1:58" ht="39.75" customHeight="1" x14ac:dyDescent="0.25">
      <c r="A621" s="7" t="s">
        <v>5</v>
      </c>
      <c r="B621" s="1" t="s">
        <v>0</v>
      </c>
      <c r="C621" s="1" t="s">
        <v>1</v>
      </c>
      <c r="D621" s="1" t="s">
        <v>7718</v>
      </c>
      <c r="E621" s="1" t="s">
        <v>7719</v>
      </c>
      <c r="F621" s="1" t="s">
        <v>7720</v>
      </c>
      <c r="H621" s="2" t="s">
        <v>5</v>
      </c>
      <c r="I621" s="2" t="s">
        <v>6</v>
      </c>
      <c r="J621" s="2" t="s">
        <v>5</v>
      </c>
      <c r="K621" s="2" t="s">
        <v>46</v>
      </c>
      <c r="L621" s="2" t="s">
        <v>7</v>
      </c>
      <c r="M621" s="1" t="s">
        <v>7721</v>
      </c>
      <c r="N621" s="1" t="s">
        <v>7722</v>
      </c>
      <c r="O621" s="2" t="s">
        <v>192</v>
      </c>
      <c r="Q621" s="2" t="s">
        <v>1151</v>
      </c>
      <c r="R621" s="2" t="s">
        <v>3002</v>
      </c>
      <c r="S621" s="1" t="s">
        <v>7723</v>
      </c>
      <c r="T621" s="2" t="s">
        <v>13</v>
      </c>
      <c r="U621" s="3">
        <v>1</v>
      </c>
      <c r="V621" s="3">
        <v>1</v>
      </c>
      <c r="W621" s="4" t="s">
        <v>7724</v>
      </c>
      <c r="X621" s="4" t="s">
        <v>7724</v>
      </c>
      <c r="Y621" s="4" t="s">
        <v>7697</v>
      </c>
      <c r="Z621" s="4" t="s">
        <v>7697</v>
      </c>
      <c r="AA621" s="3">
        <v>309</v>
      </c>
      <c r="AB621" s="3">
        <v>268</v>
      </c>
      <c r="AC621" s="3">
        <v>405</v>
      </c>
      <c r="AD621" s="3">
        <v>2</v>
      </c>
      <c r="AE621" s="9">
        <v>2</v>
      </c>
      <c r="AF621" s="9">
        <v>11</v>
      </c>
      <c r="AG621" s="9">
        <v>21</v>
      </c>
      <c r="AH621" s="3">
        <v>2</v>
      </c>
      <c r="AI621" s="3">
        <v>7</v>
      </c>
      <c r="AJ621" s="3">
        <v>3</v>
      </c>
      <c r="AK621" s="3">
        <v>7</v>
      </c>
      <c r="AL621" s="3">
        <v>9</v>
      </c>
      <c r="AM621" s="3">
        <v>13</v>
      </c>
      <c r="AN621" s="3">
        <v>1</v>
      </c>
      <c r="AO621" s="3">
        <v>1</v>
      </c>
      <c r="AP621" s="3">
        <v>0</v>
      </c>
      <c r="AQ621" s="3">
        <v>0</v>
      </c>
      <c r="AR621" s="2" t="s">
        <v>5</v>
      </c>
      <c r="AS621" s="2" t="s">
        <v>46</v>
      </c>
      <c r="AT621" s="5" t="str">
        <f>HYPERLINK("http://catalog.hathitrust.org/Record/001368932","HathiTrust Record")</f>
        <v>HathiTrust Record</v>
      </c>
      <c r="AU621" s="5" t="str">
        <f>HYPERLINK("https://creighton-primo.hosted.exlibrisgroup.com/primo-explore/search?tab=default_tab&amp;search_scope=EVERYTHING&amp;vid=01CRU&amp;lang=en_US&amp;offset=0&amp;query=any,contains,991003942049702656","Catalog Record")</f>
        <v>Catalog Record</v>
      </c>
      <c r="AV621" s="5" t="str">
        <f>HYPERLINK("http://www.worldcat.org/oclc/1934543","WorldCat Record")</f>
        <v>WorldCat Record</v>
      </c>
      <c r="AW621" s="2" t="s">
        <v>7725</v>
      </c>
      <c r="AX621" s="2" t="s">
        <v>7726</v>
      </c>
      <c r="AY621" s="2" t="s">
        <v>7727</v>
      </c>
      <c r="AZ621" s="2" t="s">
        <v>7727</v>
      </c>
      <c r="BA621" s="2" t="s">
        <v>7728</v>
      </c>
      <c r="BB621" s="2" t="s">
        <v>20</v>
      </c>
      <c r="BE621" s="2" t="s">
        <v>7729</v>
      </c>
      <c r="BF621" s="2" t="s">
        <v>7730</v>
      </c>
    </row>
    <row r="622" spans="1:58" ht="39.75" customHeight="1" x14ac:dyDescent="0.25">
      <c r="A622" s="7" t="s">
        <v>5</v>
      </c>
      <c r="B622" s="1" t="s">
        <v>0</v>
      </c>
      <c r="C622" s="1" t="s">
        <v>1</v>
      </c>
      <c r="D622" s="1" t="s">
        <v>7731</v>
      </c>
      <c r="E622" s="1" t="s">
        <v>7732</v>
      </c>
      <c r="F622" s="1" t="s">
        <v>7720</v>
      </c>
      <c r="H622" s="2" t="s">
        <v>5</v>
      </c>
      <c r="I622" s="2" t="s">
        <v>6</v>
      </c>
      <c r="J622" s="2" t="s">
        <v>5</v>
      </c>
      <c r="K622" s="2" t="s">
        <v>46</v>
      </c>
      <c r="L622" s="2" t="s">
        <v>7</v>
      </c>
      <c r="M622" s="1" t="s">
        <v>7721</v>
      </c>
      <c r="N622" s="1" t="s">
        <v>7733</v>
      </c>
      <c r="O622" s="2" t="s">
        <v>162</v>
      </c>
      <c r="P622" s="1" t="s">
        <v>7734</v>
      </c>
      <c r="Q622" s="2" t="s">
        <v>1151</v>
      </c>
      <c r="R622" s="2" t="s">
        <v>234</v>
      </c>
      <c r="S622" s="1" t="s">
        <v>7723</v>
      </c>
      <c r="T622" s="2" t="s">
        <v>13</v>
      </c>
      <c r="U622" s="3">
        <v>2</v>
      </c>
      <c r="V622" s="3">
        <v>2</v>
      </c>
      <c r="W622" s="4" t="s">
        <v>7735</v>
      </c>
      <c r="X622" s="4" t="s">
        <v>7735</v>
      </c>
      <c r="Y622" s="4" t="s">
        <v>7697</v>
      </c>
      <c r="Z622" s="4" t="s">
        <v>7697</v>
      </c>
      <c r="AA622" s="3">
        <v>197</v>
      </c>
      <c r="AB622" s="3">
        <v>174</v>
      </c>
      <c r="AC622" s="3">
        <v>405</v>
      </c>
      <c r="AD622" s="3">
        <v>1</v>
      </c>
      <c r="AE622" s="9">
        <v>2</v>
      </c>
      <c r="AF622" s="9">
        <v>10</v>
      </c>
      <c r="AG622" s="9">
        <v>21</v>
      </c>
      <c r="AH622" s="3">
        <v>5</v>
      </c>
      <c r="AI622" s="3">
        <v>7</v>
      </c>
      <c r="AJ622" s="3">
        <v>4</v>
      </c>
      <c r="AK622" s="3">
        <v>7</v>
      </c>
      <c r="AL622" s="3">
        <v>4</v>
      </c>
      <c r="AM622" s="3">
        <v>13</v>
      </c>
      <c r="AN622" s="3">
        <v>0</v>
      </c>
      <c r="AO622" s="3">
        <v>1</v>
      </c>
      <c r="AP622" s="3">
        <v>0</v>
      </c>
      <c r="AQ622" s="3">
        <v>0</v>
      </c>
      <c r="AR622" s="2" t="s">
        <v>5</v>
      </c>
      <c r="AS622" s="2" t="s">
        <v>5</v>
      </c>
      <c r="AU622" s="5" t="str">
        <f>HYPERLINK("https://creighton-primo.hosted.exlibrisgroup.com/primo-explore/search?tab=default_tab&amp;search_scope=EVERYTHING&amp;vid=01CRU&amp;lang=en_US&amp;offset=0&amp;query=any,contains,991002270319702656","Catalog Record")</f>
        <v>Catalog Record</v>
      </c>
      <c r="AV622" s="5" t="str">
        <f>HYPERLINK("http://www.worldcat.org/oclc/308046","WorldCat Record")</f>
        <v>WorldCat Record</v>
      </c>
      <c r="AW622" s="2" t="s">
        <v>7725</v>
      </c>
      <c r="AX622" s="2" t="s">
        <v>7736</v>
      </c>
      <c r="AY622" s="2" t="s">
        <v>7737</v>
      </c>
      <c r="AZ622" s="2" t="s">
        <v>7737</v>
      </c>
      <c r="BA622" s="2" t="s">
        <v>7738</v>
      </c>
      <c r="BB622" s="2" t="s">
        <v>20</v>
      </c>
      <c r="BE622" s="2" t="s">
        <v>7739</v>
      </c>
      <c r="BF622" s="2" t="s">
        <v>7740</v>
      </c>
    </row>
    <row r="623" spans="1:58" ht="39.75" customHeight="1" x14ac:dyDescent="0.25">
      <c r="A623" s="7" t="s">
        <v>5</v>
      </c>
      <c r="B623" s="1" t="s">
        <v>0</v>
      </c>
      <c r="C623" s="1" t="s">
        <v>1</v>
      </c>
      <c r="D623" s="1" t="s">
        <v>7741</v>
      </c>
      <c r="E623" s="1" t="s">
        <v>7742</v>
      </c>
      <c r="F623" s="1" t="s">
        <v>7743</v>
      </c>
      <c r="H623" s="2" t="s">
        <v>5</v>
      </c>
      <c r="I623" s="2" t="s">
        <v>6</v>
      </c>
      <c r="J623" s="2" t="s">
        <v>5</v>
      </c>
      <c r="K623" s="2" t="s">
        <v>5</v>
      </c>
      <c r="L623" s="2" t="s">
        <v>7</v>
      </c>
      <c r="M623" s="1" t="s">
        <v>7744</v>
      </c>
      <c r="N623" s="1" t="s">
        <v>7745</v>
      </c>
      <c r="O623" s="2" t="s">
        <v>291</v>
      </c>
      <c r="Q623" s="2" t="s">
        <v>60</v>
      </c>
      <c r="R623" s="2" t="s">
        <v>1873</v>
      </c>
      <c r="T623" s="2" t="s">
        <v>13</v>
      </c>
      <c r="U623" s="3">
        <v>0</v>
      </c>
      <c r="V623" s="3">
        <v>0</v>
      </c>
      <c r="W623" s="4" t="s">
        <v>7746</v>
      </c>
      <c r="X623" s="4" t="s">
        <v>7746</v>
      </c>
      <c r="Y623" s="4" t="s">
        <v>7557</v>
      </c>
      <c r="Z623" s="4" t="s">
        <v>7557</v>
      </c>
      <c r="AA623" s="3">
        <v>3</v>
      </c>
      <c r="AB623" s="3">
        <v>2</v>
      </c>
      <c r="AC623" s="3">
        <v>2</v>
      </c>
      <c r="AD623" s="3">
        <v>1</v>
      </c>
      <c r="AE623" s="9">
        <v>1</v>
      </c>
      <c r="AF623" s="9">
        <v>0</v>
      </c>
      <c r="AG623" s="9">
        <v>0</v>
      </c>
      <c r="AH623" s="3">
        <v>0</v>
      </c>
      <c r="AI623" s="3">
        <v>0</v>
      </c>
      <c r="AJ623" s="3">
        <v>0</v>
      </c>
      <c r="AK623" s="3">
        <v>0</v>
      </c>
      <c r="AL623" s="3">
        <v>0</v>
      </c>
      <c r="AM623" s="3">
        <v>0</v>
      </c>
      <c r="AN623" s="3">
        <v>0</v>
      </c>
      <c r="AO623" s="3">
        <v>0</v>
      </c>
      <c r="AP623" s="3">
        <v>0</v>
      </c>
      <c r="AQ623" s="3">
        <v>0</v>
      </c>
      <c r="AR623" s="2" t="s">
        <v>5</v>
      </c>
      <c r="AS623" s="2" t="s">
        <v>5</v>
      </c>
      <c r="AU623" s="5" t="str">
        <f>HYPERLINK("https://creighton-primo.hosted.exlibrisgroup.com/primo-explore/search?tab=default_tab&amp;search_scope=EVERYTHING&amp;vid=01CRU&amp;lang=en_US&amp;offset=0&amp;query=any,contains,991004356769702656","Catalog Record")</f>
        <v>Catalog Record</v>
      </c>
      <c r="AV623" s="5" t="str">
        <f>HYPERLINK("http://www.worldcat.org/oclc/3143561","WorldCat Record")</f>
        <v>WorldCat Record</v>
      </c>
      <c r="AW623" s="2" t="s">
        <v>7747</v>
      </c>
      <c r="AX623" s="2" t="s">
        <v>7748</v>
      </c>
      <c r="AY623" s="2" t="s">
        <v>7749</v>
      </c>
      <c r="AZ623" s="2" t="s">
        <v>7749</v>
      </c>
      <c r="BA623" s="2" t="s">
        <v>7750</v>
      </c>
      <c r="BB623" s="2" t="s">
        <v>20</v>
      </c>
      <c r="BE623" s="2" t="s">
        <v>7751</v>
      </c>
      <c r="BF623" s="2" t="s">
        <v>7752</v>
      </c>
    </row>
    <row r="624" spans="1:58" ht="39.75" customHeight="1" x14ac:dyDescent="0.25">
      <c r="A624" s="7" t="s">
        <v>5</v>
      </c>
      <c r="B624" s="1" t="s">
        <v>0</v>
      </c>
      <c r="C624" s="1" t="s">
        <v>1</v>
      </c>
      <c r="D624" s="1" t="s">
        <v>7753</v>
      </c>
      <c r="E624" s="1" t="s">
        <v>7754</v>
      </c>
      <c r="F624" s="1" t="s">
        <v>7755</v>
      </c>
      <c r="H624" s="2" t="s">
        <v>5</v>
      </c>
      <c r="I624" s="2" t="s">
        <v>6</v>
      </c>
      <c r="J624" s="2" t="s">
        <v>5</v>
      </c>
      <c r="K624" s="2" t="s">
        <v>5</v>
      </c>
      <c r="L624" s="2" t="s">
        <v>7</v>
      </c>
      <c r="M624" s="1" t="s">
        <v>7756</v>
      </c>
      <c r="N624" s="1" t="s">
        <v>7757</v>
      </c>
      <c r="O624" s="2" t="s">
        <v>554</v>
      </c>
      <c r="Q624" s="2" t="s">
        <v>60</v>
      </c>
      <c r="R624" s="2" t="s">
        <v>422</v>
      </c>
      <c r="S624" s="1" t="s">
        <v>7758</v>
      </c>
      <c r="T624" s="2" t="s">
        <v>13</v>
      </c>
      <c r="U624" s="3">
        <v>1</v>
      </c>
      <c r="V624" s="3">
        <v>1</v>
      </c>
      <c r="W624" s="4" t="s">
        <v>5086</v>
      </c>
      <c r="X624" s="4" t="s">
        <v>5086</v>
      </c>
      <c r="Y624" s="4" t="s">
        <v>5086</v>
      </c>
      <c r="Z624" s="4" t="s">
        <v>5086</v>
      </c>
      <c r="AA624" s="3">
        <v>162</v>
      </c>
      <c r="AB624" s="3">
        <v>124</v>
      </c>
      <c r="AC624" s="3">
        <v>131</v>
      </c>
      <c r="AD624" s="3">
        <v>2</v>
      </c>
      <c r="AE624" s="9">
        <v>2</v>
      </c>
      <c r="AF624" s="9">
        <v>7</v>
      </c>
      <c r="AG624" s="9">
        <v>7</v>
      </c>
      <c r="AH624" s="3">
        <v>1</v>
      </c>
      <c r="AI624" s="3">
        <v>1</v>
      </c>
      <c r="AJ624" s="3">
        <v>3</v>
      </c>
      <c r="AK624" s="3">
        <v>3</v>
      </c>
      <c r="AL624" s="3">
        <v>5</v>
      </c>
      <c r="AM624" s="3">
        <v>5</v>
      </c>
      <c r="AN624" s="3">
        <v>1</v>
      </c>
      <c r="AO624" s="3">
        <v>1</v>
      </c>
      <c r="AP624" s="3">
        <v>0</v>
      </c>
      <c r="AQ624" s="3">
        <v>0</v>
      </c>
      <c r="AR624" s="2" t="s">
        <v>5</v>
      </c>
      <c r="AS624" s="2" t="s">
        <v>46</v>
      </c>
      <c r="AT624" s="5" t="str">
        <f>HYPERLINK("http://catalog.hathitrust.org/Record/000859953","HathiTrust Record")</f>
        <v>HathiTrust Record</v>
      </c>
      <c r="AU624" s="5" t="str">
        <f>HYPERLINK("https://creighton-primo.hosted.exlibrisgroup.com/primo-explore/search?tab=default_tab&amp;search_scope=EVERYTHING&amp;vid=01CRU&amp;lang=en_US&amp;offset=0&amp;query=any,contains,991004522839702656","Catalog Record")</f>
        <v>Catalog Record</v>
      </c>
      <c r="AV624" s="5" t="str">
        <f>HYPERLINK("http://www.worldcat.org/oclc/12790492","WorldCat Record")</f>
        <v>WorldCat Record</v>
      </c>
      <c r="AW624" s="2" t="s">
        <v>7759</v>
      </c>
      <c r="AX624" s="2" t="s">
        <v>7760</v>
      </c>
      <c r="AY624" s="2" t="s">
        <v>7761</v>
      </c>
      <c r="AZ624" s="2" t="s">
        <v>7761</v>
      </c>
      <c r="BA624" s="2" t="s">
        <v>7762</v>
      </c>
      <c r="BB624" s="2" t="s">
        <v>20</v>
      </c>
      <c r="BD624" s="2" t="s">
        <v>7763</v>
      </c>
      <c r="BE624" s="2" t="s">
        <v>7764</v>
      </c>
      <c r="BF624" s="2" t="s">
        <v>7765</v>
      </c>
    </row>
    <row r="625" spans="1:58" ht="39.75" customHeight="1" x14ac:dyDescent="0.25">
      <c r="A625" s="7" t="s">
        <v>5</v>
      </c>
      <c r="B625" s="1" t="s">
        <v>0</v>
      </c>
      <c r="C625" s="1" t="s">
        <v>1</v>
      </c>
      <c r="D625" s="1" t="s">
        <v>7766</v>
      </c>
      <c r="E625" s="1" t="s">
        <v>7767</v>
      </c>
      <c r="F625" s="1" t="s">
        <v>7768</v>
      </c>
      <c r="H625" s="2" t="s">
        <v>5</v>
      </c>
      <c r="I625" s="2" t="s">
        <v>6</v>
      </c>
      <c r="J625" s="2" t="s">
        <v>5</v>
      </c>
      <c r="K625" s="2" t="s">
        <v>5</v>
      </c>
      <c r="L625" s="2" t="s">
        <v>7</v>
      </c>
      <c r="N625" s="1" t="s">
        <v>7769</v>
      </c>
      <c r="O625" s="2" t="s">
        <v>162</v>
      </c>
      <c r="Q625" s="2" t="s">
        <v>60</v>
      </c>
      <c r="R625" s="2" t="s">
        <v>193</v>
      </c>
      <c r="S625" s="1" t="s">
        <v>7770</v>
      </c>
      <c r="T625" s="2" t="s">
        <v>13</v>
      </c>
      <c r="U625" s="3">
        <v>2</v>
      </c>
      <c r="V625" s="3">
        <v>2</v>
      </c>
      <c r="W625" s="4" t="s">
        <v>7771</v>
      </c>
      <c r="X625" s="4" t="s">
        <v>7771</v>
      </c>
      <c r="Y625" s="4" t="s">
        <v>7697</v>
      </c>
      <c r="Z625" s="4" t="s">
        <v>7697</v>
      </c>
      <c r="AA625" s="3">
        <v>180</v>
      </c>
      <c r="AB625" s="3">
        <v>123</v>
      </c>
      <c r="AC625" s="3">
        <v>279</v>
      </c>
      <c r="AD625" s="3">
        <v>2</v>
      </c>
      <c r="AE625" s="9">
        <v>2</v>
      </c>
      <c r="AF625" s="9">
        <v>6</v>
      </c>
      <c r="AG625" s="9">
        <v>17</v>
      </c>
      <c r="AH625" s="3">
        <v>1</v>
      </c>
      <c r="AI625" s="3">
        <v>4</v>
      </c>
      <c r="AJ625" s="3">
        <v>3</v>
      </c>
      <c r="AK625" s="3">
        <v>6</v>
      </c>
      <c r="AL625" s="3">
        <v>4</v>
      </c>
      <c r="AM625" s="3">
        <v>12</v>
      </c>
      <c r="AN625" s="3">
        <v>1</v>
      </c>
      <c r="AO625" s="3">
        <v>1</v>
      </c>
      <c r="AP625" s="3">
        <v>0</v>
      </c>
      <c r="AQ625" s="3">
        <v>0</v>
      </c>
      <c r="AR625" s="2" t="s">
        <v>5</v>
      </c>
      <c r="AS625" s="2" t="s">
        <v>5</v>
      </c>
      <c r="AU625" s="5" t="str">
        <f>HYPERLINK("https://creighton-primo.hosted.exlibrisgroup.com/primo-explore/search?tab=default_tab&amp;search_scope=EVERYTHING&amp;vid=01CRU&amp;lang=en_US&amp;offset=0&amp;query=any,contains,991003088619702656","Catalog Record")</f>
        <v>Catalog Record</v>
      </c>
      <c r="AV625" s="5" t="str">
        <f>HYPERLINK("http://www.worldcat.org/oclc/639020","WorldCat Record")</f>
        <v>WorldCat Record</v>
      </c>
      <c r="AW625" s="2" t="s">
        <v>7772</v>
      </c>
      <c r="AX625" s="2" t="s">
        <v>7773</v>
      </c>
      <c r="AY625" s="2" t="s">
        <v>7774</v>
      </c>
      <c r="AZ625" s="2" t="s">
        <v>7774</v>
      </c>
      <c r="BA625" s="2" t="s">
        <v>7775</v>
      </c>
      <c r="BB625" s="2" t="s">
        <v>20</v>
      </c>
      <c r="BD625" s="2" t="s">
        <v>7776</v>
      </c>
      <c r="BE625" s="2" t="s">
        <v>7777</v>
      </c>
      <c r="BF625" s="2" t="s">
        <v>7778</v>
      </c>
    </row>
    <row r="626" spans="1:58" ht="39.75" customHeight="1" x14ac:dyDescent="0.25">
      <c r="A626" s="7" t="s">
        <v>5</v>
      </c>
      <c r="B626" s="1" t="s">
        <v>0</v>
      </c>
      <c r="C626" s="1" t="s">
        <v>1</v>
      </c>
      <c r="D626" s="1" t="s">
        <v>7779</v>
      </c>
      <c r="E626" s="1" t="s">
        <v>7780</v>
      </c>
      <c r="F626" s="1" t="s">
        <v>7781</v>
      </c>
      <c r="H626" s="2" t="s">
        <v>5</v>
      </c>
      <c r="I626" s="2" t="s">
        <v>6</v>
      </c>
      <c r="J626" s="2" t="s">
        <v>5</v>
      </c>
      <c r="K626" s="2" t="s">
        <v>5</v>
      </c>
      <c r="L626" s="2" t="s">
        <v>7</v>
      </c>
      <c r="M626" s="1" t="s">
        <v>7782</v>
      </c>
      <c r="N626" s="1" t="s">
        <v>7757</v>
      </c>
      <c r="O626" s="2" t="s">
        <v>554</v>
      </c>
      <c r="Q626" s="2" t="s">
        <v>1151</v>
      </c>
      <c r="R626" s="2" t="s">
        <v>1152</v>
      </c>
      <c r="S626" s="1" t="s">
        <v>7783</v>
      </c>
      <c r="T626" s="2" t="s">
        <v>13</v>
      </c>
      <c r="U626" s="3">
        <v>1</v>
      </c>
      <c r="V626" s="3">
        <v>1</v>
      </c>
      <c r="W626" s="4" t="s">
        <v>5032</v>
      </c>
      <c r="X626" s="4" t="s">
        <v>5032</v>
      </c>
      <c r="Y626" s="4" t="s">
        <v>5032</v>
      </c>
      <c r="Z626" s="4" t="s">
        <v>5032</v>
      </c>
      <c r="AA626" s="3">
        <v>114</v>
      </c>
      <c r="AB626" s="3">
        <v>84</v>
      </c>
      <c r="AC626" s="3">
        <v>86</v>
      </c>
      <c r="AD626" s="3">
        <v>1</v>
      </c>
      <c r="AE626" s="9">
        <v>1</v>
      </c>
      <c r="AF626" s="9">
        <v>6</v>
      </c>
      <c r="AG626" s="9">
        <v>6</v>
      </c>
      <c r="AH626" s="3">
        <v>0</v>
      </c>
      <c r="AI626" s="3">
        <v>0</v>
      </c>
      <c r="AJ626" s="3">
        <v>3</v>
      </c>
      <c r="AK626" s="3">
        <v>3</v>
      </c>
      <c r="AL626" s="3">
        <v>5</v>
      </c>
      <c r="AM626" s="3">
        <v>5</v>
      </c>
      <c r="AN626" s="3">
        <v>0</v>
      </c>
      <c r="AO626" s="3">
        <v>0</v>
      </c>
      <c r="AP626" s="3">
        <v>0</v>
      </c>
      <c r="AQ626" s="3">
        <v>0</v>
      </c>
      <c r="AR626" s="2" t="s">
        <v>5</v>
      </c>
      <c r="AS626" s="2" t="s">
        <v>46</v>
      </c>
      <c r="AT626" s="5" t="str">
        <f>HYPERLINK("http://catalog.hathitrust.org/Record/004171628","HathiTrust Record")</f>
        <v>HathiTrust Record</v>
      </c>
      <c r="AU626" s="5" t="str">
        <f>HYPERLINK("https://creighton-primo.hosted.exlibrisgroup.com/primo-explore/search?tab=default_tab&amp;search_scope=EVERYTHING&amp;vid=01CRU&amp;lang=en_US&amp;offset=0&amp;query=any,contains,991004490139702656","Catalog Record")</f>
        <v>Catalog Record</v>
      </c>
      <c r="AV626" s="5" t="str">
        <f>HYPERLINK("http://www.worldcat.org/oclc/12585745","WorldCat Record")</f>
        <v>WorldCat Record</v>
      </c>
      <c r="AW626" s="2" t="s">
        <v>7784</v>
      </c>
      <c r="AX626" s="2" t="s">
        <v>7785</v>
      </c>
      <c r="AY626" s="2" t="s">
        <v>7786</v>
      </c>
      <c r="AZ626" s="2" t="s">
        <v>7786</v>
      </c>
      <c r="BA626" s="2" t="s">
        <v>7787</v>
      </c>
      <c r="BB626" s="2" t="s">
        <v>20</v>
      </c>
      <c r="BD626" s="2" t="s">
        <v>7788</v>
      </c>
      <c r="BE626" s="2" t="s">
        <v>7789</v>
      </c>
      <c r="BF626" s="2" t="s">
        <v>7790</v>
      </c>
    </row>
    <row r="627" spans="1:58" ht="39.75" customHeight="1" x14ac:dyDescent="0.25">
      <c r="A627" s="7" t="s">
        <v>5</v>
      </c>
      <c r="B627" s="1" t="s">
        <v>0</v>
      </c>
      <c r="C627" s="1" t="s">
        <v>1</v>
      </c>
      <c r="D627" s="1" t="s">
        <v>7791</v>
      </c>
      <c r="E627" s="1" t="s">
        <v>7792</v>
      </c>
      <c r="F627" s="1" t="s">
        <v>7793</v>
      </c>
      <c r="H627" s="2" t="s">
        <v>5</v>
      </c>
      <c r="I627" s="2" t="s">
        <v>6</v>
      </c>
      <c r="J627" s="2" t="s">
        <v>5</v>
      </c>
      <c r="K627" s="2" t="s">
        <v>5</v>
      </c>
      <c r="L627" s="2" t="s">
        <v>7</v>
      </c>
      <c r="M627" s="1" t="s">
        <v>7794</v>
      </c>
      <c r="N627" s="1" t="s">
        <v>7795</v>
      </c>
      <c r="O627" s="2" t="s">
        <v>76</v>
      </c>
      <c r="P627" s="1" t="s">
        <v>7796</v>
      </c>
      <c r="Q627" s="2" t="s">
        <v>1151</v>
      </c>
      <c r="R627" s="2" t="s">
        <v>1152</v>
      </c>
      <c r="S627" s="1" t="s">
        <v>7797</v>
      </c>
      <c r="T627" s="2" t="s">
        <v>13</v>
      </c>
      <c r="U627" s="3">
        <v>1</v>
      </c>
      <c r="V627" s="3">
        <v>1</v>
      </c>
      <c r="W627" s="4" t="s">
        <v>5518</v>
      </c>
      <c r="X627" s="4" t="s">
        <v>5518</v>
      </c>
      <c r="Y627" s="4" t="s">
        <v>5518</v>
      </c>
      <c r="Z627" s="4" t="s">
        <v>5518</v>
      </c>
      <c r="AA627" s="3">
        <v>53</v>
      </c>
      <c r="AB627" s="3">
        <v>45</v>
      </c>
      <c r="AC627" s="3">
        <v>425</v>
      </c>
      <c r="AD627" s="3">
        <v>2</v>
      </c>
      <c r="AE627" s="9">
        <v>3</v>
      </c>
      <c r="AF627" s="9">
        <v>4</v>
      </c>
      <c r="AG627" s="9">
        <v>24</v>
      </c>
      <c r="AH627" s="3">
        <v>2</v>
      </c>
      <c r="AI627" s="3">
        <v>10</v>
      </c>
      <c r="AJ627" s="3">
        <v>1</v>
      </c>
      <c r="AK627" s="3">
        <v>8</v>
      </c>
      <c r="AL627" s="3">
        <v>1</v>
      </c>
      <c r="AM627" s="3">
        <v>11</v>
      </c>
      <c r="AN627" s="3">
        <v>1</v>
      </c>
      <c r="AO627" s="3">
        <v>2</v>
      </c>
      <c r="AP627" s="3">
        <v>0</v>
      </c>
      <c r="AQ627" s="3">
        <v>0</v>
      </c>
      <c r="AR627" s="2" t="s">
        <v>5</v>
      </c>
      <c r="AS627" s="2" t="s">
        <v>5</v>
      </c>
      <c r="AU627" s="5" t="str">
        <f>HYPERLINK("https://creighton-primo.hosted.exlibrisgroup.com/primo-explore/search?tab=default_tab&amp;search_scope=EVERYTHING&amp;vid=01CRU&amp;lang=en_US&amp;offset=0&amp;query=any,contains,991004508749702656","Catalog Record")</f>
        <v>Catalog Record</v>
      </c>
      <c r="AV627" s="5" t="str">
        <f>HYPERLINK("http://www.worldcat.org/oclc/2532017","WorldCat Record")</f>
        <v>WorldCat Record</v>
      </c>
      <c r="AW627" s="2" t="s">
        <v>7798</v>
      </c>
      <c r="AX627" s="2" t="s">
        <v>7799</v>
      </c>
      <c r="AY627" s="2" t="s">
        <v>7800</v>
      </c>
      <c r="AZ627" s="2" t="s">
        <v>7800</v>
      </c>
      <c r="BA627" s="2" t="s">
        <v>7801</v>
      </c>
      <c r="BB627" s="2" t="s">
        <v>20</v>
      </c>
      <c r="BE627" s="2" t="s">
        <v>7802</v>
      </c>
      <c r="BF627" s="2" t="s">
        <v>7803</v>
      </c>
    </row>
    <row r="628" spans="1:58" ht="39.75" customHeight="1" x14ac:dyDescent="0.25">
      <c r="A628" s="7" t="s">
        <v>5</v>
      </c>
      <c r="B628" s="1" t="s">
        <v>0</v>
      </c>
      <c r="C628" s="1" t="s">
        <v>1</v>
      </c>
      <c r="D628" s="1" t="s">
        <v>7804</v>
      </c>
      <c r="E628" s="1" t="s">
        <v>7805</v>
      </c>
      <c r="F628" s="1" t="s">
        <v>7806</v>
      </c>
      <c r="H628" s="2" t="s">
        <v>5</v>
      </c>
      <c r="I628" s="2" t="s">
        <v>6</v>
      </c>
      <c r="J628" s="2" t="s">
        <v>5</v>
      </c>
      <c r="K628" s="2" t="s">
        <v>5</v>
      </c>
      <c r="L628" s="2" t="s">
        <v>7</v>
      </c>
      <c r="M628" s="1" t="s">
        <v>7807</v>
      </c>
      <c r="N628" s="1" t="s">
        <v>5652</v>
      </c>
      <c r="O628" s="2" t="s">
        <v>276</v>
      </c>
      <c r="Q628" s="2" t="s">
        <v>60</v>
      </c>
      <c r="R628" s="2" t="s">
        <v>61</v>
      </c>
      <c r="S628" s="1" t="s">
        <v>7808</v>
      </c>
      <c r="T628" s="2" t="s">
        <v>13</v>
      </c>
      <c r="U628" s="3">
        <v>2</v>
      </c>
      <c r="V628" s="3">
        <v>2</v>
      </c>
      <c r="W628" s="4" t="s">
        <v>7809</v>
      </c>
      <c r="X628" s="4" t="s">
        <v>7809</v>
      </c>
      <c r="Y628" s="4" t="s">
        <v>7406</v>
      </c>
      <c r="Z628" s="4" t="s">
        <v>7406</v>
      </c>
      <c r="AA628" s="3">
        <v>123</v>
      </c>
      <c r="AB628" s="3">
        <v>107</v>
      </c>
      <c r="AC628" s="3">
        <v>211</v>
      </c>
      <c r="AD628" s="3">
        <v>1</v>
      </c>
      <c r="AE628" s="9">
        <v>2</v>
      </c>
      <c r="AF628" s="9">
        <v>5</v>
      </c>
      <c r="AG628" s="9">
        <v>14</v>
      </c>
      <c r="AH628" s="3">
        <v>1</v>
      </c>
      <c r="AI628" s="3">
        <v>3</v>
      </c>
      <c r="AJ628" s="3">
        <v>2</v>
      </c>
      <c r="AK628" s="3">
        <v>5</v>
      </c>
      <c r="AL628" s="3">
        <v>3</v>
      </c>
      <c r="AM628" s="3">
        <v>9</v>
      </c>
      <c r="AN628" s="3">
        <v>0</v>
      </c>
      <c r="AO628" s="3">
        <v>1</v>
      </c>
      <c r="AP628" s="3">
        <v>0</v>
      </c>
      <c r="AQ628" s="3">
        <v>0</v>
      </c>
      <c r="AR628" s="2" t="s">
        <v>5</v>
      </c>
      <c r="AS628" s="2" t="s">
        <v>46</v>
      </c>
      <c r="AT628" s="5" t="str">
        <f>HYPERLINK("http://catalog.hathitrust.org/Record/008323813","HathiTrust Record")</f>
        <v>HathiTrust Record</v>
      </c>
      <c r="AU628" s="5" t="str">
        <f>HYPERLINK("https://creighton-primo.hosted.exlibrisgroup.com/primo-explore/search?tab=default_tab&amp;search_scope=EVERYTHING&amp;vid=01CRU&amp;lang=en_US&amp;offset=0&amp;query=any,contains,991004107949702656","Catalog Record")</f>
        <v>Catalog Record</v>
      </c>
      <c r="AV628" s="5" t="str">
        <f>HYPERLINK("http://www.worldcat.org/oclc/2388230","WorldCat Record")</f>
        <v>WorldCat Record</v>
      </c>
      <c r="AW628" s="2" t="s">
        <v>7810</v>
      </c>
      <c r="AX628" s="2" t="s">
        <v>7811</v>
      </c>
      <c r="AY628" s="2" t="s">
        <v>7812</v>
      </c>
      <c r="AZ628" s="2" t="s">
        <v>7812</v>
      </c>
      <c r="BA628" s="2" t="s">
        <v>7813</v>
      </c>
      <c r="BB628" s="2" t="s">
        <v>20</v>
      </c>
      <c r="BD628" s="2" t="s">
        <v>7814</v>
      </c>
      <c r="BE628" s="2" t="s">
        <v>7815</v>
      </c>
      <c r="BF628" s="2" t="s">
        <v>7816</v>
      </c>
    </row>
    <row r="629" spans="1:58" ht="39.75" customHeight="1" x14ac:dyDescent="0.25">
      <c r="A629" s="7" t="s">
        <v>5</v>
      </c>
      <c r="B629" s="1" t="s">
        <v>0</v>
      </c>
      <c r="C629" s="1" t="s">
        <v>1</v>
      </c>
      <c r="D629" s="1" t="s">
        <v>7817</v>
      </c>
      <c r="E629" s="1" t="s">
        <v>7818</v>
      </c>
      <c r="F629" s="1" t="s">
        <v>7819</v>
      </c>
      <c r="H629" s="2" t="s">
        <v>5</v>
      </c>
      <c r="I629" s="2" t="s">
        <v>6</v>
      </c>
      <c r="J629" s="2" t="s">
        <v>5</v>
      </c>
      <c r="K629" s="2" t="s">
        <v>5</v>
      </c>
      <c r="L629" s="2" t="s">
        <v>7</v>
      </c>
      <c r="M629" s="1" t="s">
        <v>7820</v>
      </c>
      <c r="N629" s="1" t="s">
        <v>765</v>
      </c>
      <c r="O629" s="2" t="s">
        <v>121</v>
      </c>
      <c r="Q629" s="2" t="s">
        <v>60</v>
      </c>
      <c r="R629" s="2" t="s">
        <v>61</v>
      </c>
      <c r="S629" s="1" t="s">
        <v>7821</v>
      </c>
      <c r="T629" s="2" t="s">
        <v>13</v>
      </c>
      <c r="U629" s="3">
        <v>3</v>
      </c>
      <c r="V629" s="3">
        <v>3</v>
      </c>
      <c r="W629" s="4" t="s">
        <v>7822</v>
      </c>
      <c r="X629" s="4" t="s">
        <v>7822</v>
      </c>
      <c r="Y629" s="4" t="s">
        <v>7406</v>
      </c>
      <c r="Z629" s="4" t="s">
        <v>7406</v>
      </c>
      <c r="AA629" s="3">
        <v>658</v>
      </c>
      <c r="AB629" s="3">
        <v>591</v>
      </c>
      <c r="AC629" s="3">
        <v>601</v>
      </c>
      <c r="AD629" s="3">
        <v>3</v>
      </c>
      <c r="AE629" s="9">
        <v>3</v>
      </c>
      <c r="AF629" s="9">
        <v>23</v>
      </c>
      <c r="AG629" s="9">
        <v>24</v>
      </c>
      <c r="AH629" s="3">
        <v>7</v>
      </c>
      <c r="AI629" s="3">
        <v>7</v>
      </c>
      <c r="AJ629" s="3">
        <v>7</v>
      </c>
      <c r="AK629" s="3">
        <v>8</v>
      </c>
      <c r="AL629" s="3">
        <v>14</v>
      </c>
      <c r="AM629" s="3">
        <v>15</v>
      </c>
      <c r="AN629" s="3">
        <v>2</v>
      </c>
      <c r="AO629" s="3">
        <v>2</v>
      </c>
      <c r="AP629" s="3">
        <v>0</v>
      </c>
      <c r="AQ629" s="3">
        <v>0</v>
      </c>
      <c r="AR629" s="2" t="s">
        <v>5</v>
      </c>
      <c r="AS629" s="2" t="s">
        <v>5</v>
      </c>
      <c r="AU629" s="5" t="str">
        <f>HYPERLINK("https://creighton-primo.hosted.exlibrisgroup.com/primo-explore/search?tab=default_tab&amp;search_scope=EVERYTHING&amp;vid=01CRU&amp;lang=en_US&amp;offset=0&amp;query=any,contains,991000515249702656","Catalog Record")</f>
        <v>Catalog Record</v>
      </c>
      <c r="AV629" s="5" t="str">
        <f>HYPERLINK("http://www.worldcat.org/oclc/85357","WorldCat Record")</f>
        <v>WorldCat Record</v>
      </c>
      <c r="AW629" s="2" t="s">
        <v>7823</v>
      </c>
      <c r="AX629" s="2" t="s">
        <v>7824</v>
      </c>
      <c r="AY629" s="2" t="s">
        <v>7825</v>
      </c>
      <c r="AZ629" s="2" t="s">
        <v>7825</v>
      </c>
      <c r="BA629" s="2" t="s">
        <v>7826</v>
      </c>
      <c r="BB629" s="2" t="s">
        <v>20</v>
      </c>
      <c r="BE629" s="2" t="s">
        <v>7827</v>
      </c>
      <c r="BF629" s="2" t="s">
        <v>7828</v>
      </c>
    </row>
    <row r="630" spans="1:58" ht="39.75" customHeight="1" x14ac:dyDescent="0.25">
      <c r="A630" s="7" t="s">
        <v>5</v>
      </c>
      <c r="B630" s="1" t="s">
        <v>0</v>
      </c>
      <c r="C630" s="1" t="s">
        <v>1</v>
      </c>
      <c r="D630" s="1" t="s">
        <v>7829</v>
      </c>
      <c r="E630" s="1" t="s">
        <v>7830</v>
      </c>
      <c r="F630" s="1" t="s">
        <v>7831</v>
      </c>
      <c r="H630" s="2" t="s">
        <v>5</v>
      </c>
      <c r="I630" s="2" t="s">
        <v>6</v>
      </c>
      <c r="J630" s="2" t="s">
        <v>5</v>
      </c>
      <c r="K630" s="2" t="s">
        <v>5</v>
      </c>
      <c r="L630" s="2" t="s">
        <v>7</v>
      </c>
      <c r="M630" s="1" t="s">
        <v>7832</v>
      </c>
      <c r="N630" s="1" t="s">
        <v>7833</v>
      </c>
      <c r="O630" s="2" t="s">
        <v>886</v>
      </c>
      <c r="Q630" s="2" t="s">
        <v>60</v>
      </c>
      <c r="R630" s="2" t="s">
        <v>277</v>
      </c>
      <c r="T630" s="2" t="s">
        <v>13</v>
      </c>
      <c r="U630" s="3">
        <v>4</v>
      </c>
      <c r="V630" s="3">
        <v>4</v>
      </c>
      <c r="W630" s="4" t="s">
        <v>7834</v>
      </c>
      <c r="X630" s="4" t="s">
        <v>7834</v>
      </c>
      <c r="Y630" s="4" t="s">
        <v>7406</v>
      </c>
      <c r="Z630" s="4" t="s">
        <v>7406</v>
      </c>
      <c r="AA630" s="3">
        <v>608</v>
      </c>
      <c r="AB630" s="3">
        <v>513</v>
      </c>
      <c r="AC630" s="3">
        <v>522</v>
      </c>
      <c r="AD630" s="3">
        <v>3</v>
      </c>
      <c r="AE630" s="9">
        <v>3</v>
      </c>
      <c r="AF630" s="9">
        <v>27</v>
      </c>
      <c r="AG630" s="9">
        <v>27</v>
      </c>
      <c r="AH630" s="3">
        <v>9</v>
      </c>
      <c r="AI630" s="3">
        <v>9</v>
      </c>
      <c r="AJ630" s="3">
        <v>7</v>
      </c>
      <c r="AK630" s="3">
        <v>7</v>
      </c>
      <c r="AL630" s="3">
        <v>16</v>
      </c>
      <c r="AM630" s="3">
        <v>16</v>
      </c>
      <c r="AN630" s="3">
        <v>2</v>
      </c>
      <c r="AO630" s="3">
        <v>2</v>
      </c>
      <c r="AP630" s="3">
        <v>0</v>
      </c>
      <c r="AQ630" s="3">
        <v>0</v>
      </c>
      <c r="AR630" s="2" t="s">
        <v>5</v>
      </c>
      <c r="AS630" s="2" t="s">
        <v>46</v>
      </c>
      <c r="AT630" s="5" t="str">
        <f>HYPERLINK("http://catalog.hathitrust.org/Record/001056459","HathiTrust Record")</f>
        <v>HathiTrust Record</v>
      </c>
      <c r="AU630" s="5" t="str">
        <f>HYPERLINK("https://creighton-primo.hosted.exlibrisgroup.com/primo-explore/search?tab=default_tab&amp;search_scope=EVERYTHING&amp;vid=01CRU&amp;lang=en_US&amp;offset=0&amp;query=any,contains,991003321939702656","Catalog Record")</f>
        <v>Catalog Record</v>
      </c>
      <c r="AV630" s="5" t="str">
        <f>HYPERLINK("http://www.worldcat.org/oclc/850064","WorldCat Record")</f>
        <v>WorldCat Record</v>
      </c>
      <c r="AW630" s="2" t="s">
        <v>7835</v>
      </c>
      <c r="AX630" s="2" t="s">
        <v>7836</v>
      </c>
      <c r="AY630" s="2" t="s">
        <v>7837</v>
      </c>
      <c r="AZ630" s="2" t="s">
        <v>7837</v>
      </c>
      <c r="BA630" s="2" t="s">
        <v>7838</v>
      </c>
      <c r="BB630" s="2" t="s">
        <v>20</v>
      </c>
      <c r="BD630" s="2" t="s">
        <v>7839</v>
      </c>
      <c r="BE630" s="2" t="s">
        <v>7840</v>
      </c>
      <c r="BF630" s="2" t="s">
        <v>7841</v>
      </c>
    </row>
    <row r="631" spans="1:58" ht="39.75" customHeight="1" x14ac:dyDescent="0.25">
      <c r="A631" s="7" t="s">
        <v>5</v>
      </c>
      <c r="B631" s="1" t="s">
        <v>0</v>
      </c>
      <c r="C631" s="1" t="s">
        <v>1</v>
      </c>
      <c r="D631" s="1" t="s">
        <v>7842</v>
      </c>
      <c r="E631" s="1" t="s">
        <v>7843</v>
      </c>
      <c r="F631" s="1" t="s">
        <v>7844</v>
      </c>
      <c r="H631" s="2" t="s">
        <v>5</v>
      </c>
      <c r="I631" s="2" t="s">
        <v>6</v>
      </c>
      <c r="J631" s="2" t="s">
        <v>5</v>
      </c>
      <c r="K631" s="2" t="s">
        <v>5</v>
      </c>
      <c r="L631" s="2" t="s">
        <v>7</v>
      </c>
      <c r="M631" s="1" t="s">
        <v>7845</v>
      </c>
      <c r="N631" s="1" t="s">
        <v>7846</v>
      </c>
      <c r="O631" s="2" t="s">
        <v>480</v>
      </c>
      <c r="Q631" s="2" t="s">
        <v>60</v>
      </c>
      <c r="R631" s="2" t="s">
        <v>61</v>
      </c>
      <c r="S631" s="1" t="s">
        <v>7847</v>
      </c>
      <c r="T631" s="2" t="s">
        <v>13</v>
      </c>
      <c r="U631" s="3">
        <v>10</v>
      </c>
      <c r="V631" s="3">
        <v>10</v>
      </c>
      <c r="W631" s="4" t="s">
        <v>7834</v>
      </c>
      <c r="X631" s="4" t="s">
        <v>7834</v>
      </c>
      <c r="Y631" s="4" t="s">
        <v>7406</v>
      </c>
      <c r="Z631" s="4" t="s">
        <v>7406</v>
      </c>
      <c r="AA631" s="3">
        <v>1057</v>
      </c>
      <c r="AB631" s="3">
        <v>962</v>
      </c>
      <c r="AC631" s="3">
        <v>971</v>
      </c>
      <c r="AD631" s="3">
        <v>10</v>
      </c>
      <c r="AE631" s="9">
        <v>10</v>
      </c>
      <c r="AF631" s="9">
        <v>45</v>
      </c>
      <c r="AG631" s="9">
        <v>46</v>
      </c>
      <c r="AH631" s="3">
        <v>20</v>
      </c>
      <c r="AI631" s="3">
        <v>20</v>
      </c>
      <c r="AJ631" s="3">
        <v>9</v>
      </c>
      <c r="AK631" s="3">
        <v>10</v>
      </c>
      <c r="AL631" s="3">
        <v>19</v>
      </c>
      <c r="AM631" s="3">
        <v>20</v>
      </c>
      <c r="AN631" s="3">
        <v>9</v>
      </c>
      <c r="AO631" s="3">
        <v>9</v>
      </c>
      <c r="AP631" s="3">
        <v>0</v>
      </c>
      <c r="AQ631" s="3">
        <v>0</v>
      </c>
      <c r="AR631" s="2" t="s">
        <v>5</v>
      </c>
      <c r="AS631" s="2" t="s">
        <v>46</v>
      </c>
      <c r="AT631" s="5" t="str">
        <f>HYPERLINK("http://catalog.hathitrust.org/Record/001111674","HathiTrust Record")</f>
        <v>HathiTrust Record</v>
      </c>
      <c r="AU631" s="5" t="str">
        <f>HYPERLINK("https://creighton-primo.hosted.exlibrisgroup.com/primo-explore/search?tab=default_tab&amp;search_scope=EVERYTHING&amp;vid=01CRU&amp;lang=en_US&amp;offset=0&amp;query=any,contains,991002640199702656","Catalog Record")</f>
        <v>Catalog Record</v>
      </c>
      <c r="AV631" s="5" t="str">
        <f>HYPERLINK("http://www.worldcat.org/oclc/383836","WorldCat Record")</f>
        <v>WorldCat Record</v>
      </c>
      <c r="AW631" s="2" t="s">
        <v>7848</v>
      </c>
      <c r="AX631" s="2" t="s">
        <v>7849</v>
      </c>
      <c r="AY631" s="2" t="s">
        <v>7850</v>
      </c>
      <c r="AZ631" s="2" t="s">
        <v>7850</v>
      </c>
      <c r="BA631" s="2" t="s">
        <v>7851</v>
      </c>
      <c r="BB631" s="2" t="s">
        <v>20</v>
      </c>
      <c r="BE631" s="2" t="s">
        <v>7852</v>
      </c>
      <c r="BF631" s="2" t="s">
        <v>7853</v>
      </c>
    </row>
    <row r="632" spans="1:58" ht="39.75" customHeight="1" x14ac:dyDescent="0.25">
      <c r="A632" s="7" t="s">
        <v>5</v>
      </c>
      <c r="B632" s="1" t="s">
        <v>0</v>
      </c>
      <c r="C632" s="1" t="s">
        <v>1</v>
      </c>
      <c r="D632" s="1" t="s">
        <v>7854</v>
      </c>
      <c r="E632" s="1" t="s">
        <v>7855</v>
      </c>
      <c r="F632" s="1" t="s">
        <v>7856</v>
      </c>
      <c r="H632" s="2" t="s">
        <v>5</v>
      </c>
      <c r="I632" s="2" t="s">
        <v>6</v>
      </c>
      <c r="J632" s="2" t="s">
        <v>5</v>
      </c>
      <c r="K632" s="2" t="s">
        <v>5</v>
      </c>
      <c r="L632" s="2" t="s">
        <v>7</v>
      </c>
      <c r="M632" s="1" t="s">
        <v>7857</v>
      </c>
      <c r="N632" s="1" t="s">
        <v>7858</v>
      </c>
      <c r="O632" s="2" t="s">
        <v>121</v>
      </c>
      <c r="P632" s="1" t="s">
        <v>7859</v>
      </c>
      <c r="Q632" s="2" t="s">
        <v>1151</v>
      </c>
      <c r="R632" s="2" t="s">
        <v>1152</v>
      </c>
      <c r="S632" s="1" t="s">
        <v>5718</v>
      </c>
      <c r="T632" s="2" t="s">
        <v>13</v>
      </c>
      <c r="U632" s="3">
        <v>2</v>
      </c>
      <c r="V632" s="3">
        <v>2</v>
      </c>
      <c r="W632" s="4" t="s">
        <v>1609</v>
      </c>
      <c r="X632" s="4" t="s">
        <v>1609</v>
      </c>
      <c r="Y632" s="4" t="s">
        <v>7557</v>
      </c>
      <c r="Z632" s="4" t="s">
        <v>7557</v>
      </c>
      <c r="AA632" s="3">
        <v>120</v>
      </c>
      <c r="AB632" s="3">
        <v>99</v>
      </c>
      <c r="AC632" s="3">
        <v>297</v>
      </c>
      <c r="AD632" s="3">
        <v>2</v>
      </c>
      <c r="AE632" s="9">
        <v>4</v>
      </c>
      <c r="AF632" s="9">
        <v>5</v>
      </c>
      <c r="AG632" s="9">
        <v>13</v>
      </c>
      <c r="AH632" s="3">
        <v>0</v>
      </c>
      <c r="AI632" s="3">
        <v>3</v>
      </c>
      <c r="AJ632" s="3">
        <v>1</v>
      </c>
      <c r="AK632" s="3">
        <v>4</v>
      </c>
      <c r="AL632" s="3">
        <v>3</v>
      </c>
      <c r="AM632" s="3">
        <v>4</v>
      </c>
      <c r="AN632" s="3">
        <v>1</v>
      </c>
      <c r="AO632" s="3">
        <v>3</v>
      </c>
      <c r="AP632" s="3">
        <v>0</v>
      </c>
      <c r="AQ632" s="3">
        <v>0</v>
      </c>
      <c r="AR632" s="2" t="s">
        <v>5</v>
      </c>
      <c r="AS632" s="2" t="s">
        <v>5</v>
      </c>
      <c r="AU632" s="5" t="str">
        <f>HYPERLINK("https://creighton-primo.hosted.exlibrisgroup.com/primo-explore/search?tab=default_tab&amp;search_scope=EVERYTHING&amp;vid=01CRU&amp;lang=en_US&amp;offset=0&amp;query=any,contains,991003256309702656","Catalog Record")</f>
        <v>Catalog Record</v>
      </c>
      <c r="AV632" s="5" t="str">
        <f>HYPERLINK("http://www.worldcat.org/oclc/781587","WorldCat Record")</f>
        <v>WorldCat Record</v>
      </c>
      <c r="AW632" s="2" t="s">
        <v>7860</v>
      </c>
      <c r="AX632" s="2" t="s">
        <v>7861</v>
      </c>
      <c r="AY632" s="2" t="s">
        <v>7862</v>
      </c>
      <c r="AZ632" s="2" t="s">
        <v>7862</v>
      </c>
      <c r="BA632" s="2" t="s">
        <v>7863</v>
      </c>
      <c r="BB632" s="2" t="s">
        <v>20</v>
      </c>
      <c r="BE632" s="2" t="s">
        <v>7864</v>
      </c>
      <c r="BF632" s="2" t="s">
        <v>7865</v>
      </c>
    </row>
    <row r="633" spans="1:58" ht="39.75" customHeight="1" x14ac:dyDescent="0.25">
      <c r="A633" s="7" t="s">
        <v>5</v>
      </c>
      <c r="B633" s="1" t="s">
        <v>0</v>
      </c>
      <c r="C633" s="1" t="s">
        <v>1</v>
      </c>
      <c r="D633" s="1" t="s">
        <v>7866</v>
      </c>
      <c r="E633" s="1" t="s">
        <v>7867</v>
      </c>
      <c r="F633" s="1" t="s">
        <v>7868</v>
      </c>
      <c r="H633" s="2" t="s">
        <v>5</v>
      </c>
      <c r="I633" s="2" t="s">
        <v>6</v>
      </c>
      <c r="J633" s="2" t="s">
        <v>5</v>
      </c>
      <c r="K633" s="2" t="s">
        <v>46</v>
      </c>
      <c r="L633" s="2" t="s">
        <v>7</v>
      </c>
      <c r="M633" s="1" t="s">
        <v>7869</v>
      </c>
      <c r="N633" s="1" t="s">
        <v>2545</v>
      </c>
      <c r="O633" s="2" t="s">
        <v>995</v>
      </c>
      <c r="P633" s="1" t="s">
        <v>4979</v>
      </c>
      <c r="Q633" s="2" t="s">
        <v>60</v>
      </c>
      <c r="R633" s="2" t="s">
        <v>193</v>
      </c>
      <c r="T633" s="2" t="s">
        <v>13</v>
      </c>
      <c r="U633" s="3">
        <v>2</v>
      </c>
      <c r="V633" s="3">
        <v>2</v>
      </c>
      <c r="W633" s="4" t="s">
        <v>2886</v>
      </c>
      <c r="X633" s="4" t="s">
        <v>2886</v>
      </c>
      <c r="Y633" s="4" t="s">
        <v>180</v>
      </c>
      <c r="Z633" s="4" t="s">
        <v>180</v>
      </c>
      <c r="AA633" s="3">
        <v>492</v>
      </c>
      <c r="AB633" s="3">
        <v>376</v>
      </c>
      <c r="AC633" s="3">
        <v>679</v>
      </c>
      <c r="AD633" s="3">
        <v>4</v>
      </c>
      <c r="AE633" s="9">
        <v>5</v>
      </c>
      <c r="AF633" s="9">
        <v>21</v>
      </c>
      <c r="AG633" s="9">
        <v>34</v>
      </c>
      <c r="AH633" s="3">
        <v>8</v>
      </c>
      <c r="AI633" s="3">
        <v>15</v>
      </c>
      <c r="AJ633" s="3">
        <v>5</v>
      </c>
      <c r="AK633" s="3">
        <v>7</v>
      </c>
      <c r="AL633" s="3">
        <v>10</v>
      </c>
      <c r="AM633" s="3">
        <v>18</v>
      </c>
      <c r="AN633" s="3">
        <v>3</v>
      </c>
      <c r="AO633" s="3">
        <v>4</v>
      </c>
      <c r="AP633" s="3">
        <v>0</v>
      </c>
      <c r="AQ633" s="3">
        <v>0</v>
      </c>
      <c r="AR633" s="2" t="s">
        <v>5</v>
      </c>
      <c r="AS633" s="2" t="s">
        <v>46</v>
      </c>
      <c r="AT633" s="5" t="str">
        <f>HYPERLINK("http://catalog.hathitrust.org/Record/000264920","HathiTrust Record")</f>
        <v>HathiTrust Record</v>
      </c>
      <c r="AU633" s="5" t="str">
        <f>HYPERLINK("https://creighton-primo.hosted.exlibrisgroup.com/primo-explore/search?tab=default_tab&amp;search_scope=EVERYTHING&amp;vid=01CRU&amp;lang=en_US&amp;offset=0&amp;query=any,contains,991005125749702656","Catalog Record")</f>
        <v>Catalog Record</v>
      </c>
      <c r="AV633" s="5" t="str">
        <f>HYPERLINK("http://www.worldcat.org/oclc/7553454","WorldCat Record")</f>
        <v>WorldCat Record</v>
      </c>
      <c r="AW633" s="2" t="s">
        <v>7870</v>
      </c>
      <c r="AX633" s="2" t="s">
        <v>7871</v>
      </c>
      <c r="AY633" s="2" t="s">
        <v>7872</v>
      </c>
      <c r="AZ633" s="2" t="s">
        <v>7872</v>
      </c>
      <c r="BA633" s="2" t="s">
        <v>7873</v>
      </c>
      <c r="BB633" s="2" t="s">
        <v>20</v>
      </c>
      <c r="BD633" s="2" t="s">
        <v>7874</v>
      </c>
      <c r="BE633" s="2" t="s">
        <v>7875</v>
      </c>
      <c r="BF633" s="2" t="s">
        <v>7876</v>
      </c>
    </row>
    <row r="634" spans="1:58" ht="39.75" customHeight="1" x14ac:dyDescent="0.25">
      <c r="A634" s="7" t="s">
        <v>5</v>
      </c>
      <c r="B634" s="1" t="s">
        <v>0</v>
      </c>
      <c r="C634" s="1" t="s">
        <v>1</v>
      </c>
      <c r="D634" s="1" t="s">
        <v>7877</v>
      </c>
      <c r="E634" s="1" t="s">
        <v>7878</v>
      </c>
      <c r="F634" s="1" t="s">
        <v>7879</v>
      </c>
      <c r="H634" s="2" t="s">
        <v>5</v>
      </c>
      <c r="I634" s="2" t="s">
        <v>6</v>
      </c>
      <c r="J634" s="2" t="s">
        <v>5</v>
      </c>
      <c r="K634" s="2" t="s">
        <v>5</v>
      </c>
      <c r="L634" s="2" t="s">
        <v>7</v>
      </c>
      <c r="M634" s="1" t="s">
        <v>7880</v>
      </c>
      <c r="N634" s="1" t="s">
        <v>7881</v>
      </c>
      <c r="O634" s="2" t="s">
        <v>91</v>
      </c>
      <c r="Q634" s="2" t="s">
        <v>60</v>
      </c>
      <c r="R634" s="2" t="s">
        <v>7882</v>
      </c>
      <c r="S634" s="1" t="s">
        <v>7883</v>
      </c>
      <c r="T634" s="2" t="s">
        <v>13</v>
      </c>
      <c r="U634" s="3">
        <v>5</v>
      </c>
      <c r="V634" s="3">
        <v>5</v>
      </c>
      <c r="W634" s="4" t="s">
        <v>7834</v>
      </c>
      <c r="X634" s="4" t="s">
        <v>7834</v>
      </c>
      <c r="Y634" s="4" t="s">
        <v>5213</v>
      </c>
      <c r="Z634" s="4" t="s">
        <v>5213</v>
      </c>
      <c r="AA634" s="3">
        <v>421</v>
      </c>
      <c r="AB634" s="3">
        <v>355</v>
      </c>
      <c r="AC634" s="3">
        <v>405</v>
      </c>
      <c r="AD634" s="3">
        <v>3</v>
      </c>
      <c r="AE634" s="9">
        <v>3</v>
      </c>
      <c r="AF634" s="9">
        <v>27</v>
      </c>
      <c r="AG634" s="9">
        <v>30</v>
      </c>
      <c r="AH634" s="3">
        <v>13</v>
      </c>
      <c r="AI634" s="3">
        <v>16</v>
      </c>
      <c r="AJ634" s="3">
        <v>9</v>
      </c>
      <c r="AK634" s="3">
        <v>10</v>
      </c>
      <c r="AL634" s="3">
        <v>14</v>
      </c>
      <c r="AM634" s="3">
        <v>14</v>
      </c>
      <c r="AN634" s="3">
        <v>2</v>
      </c>
      <c r="AO634" s="3">
        <v>2</v>
      </c>
      <c r="AP634" s="3">
        <v>0</v>
      </c>
      <c r="AQ634" s="3">
        <v>0</v>
      </c>
      <c r="AR634" s="2" t="s">
        <v>5</v>
      </c>
      <c r="AS634" s="2" t="s">
        <v>5</v>
      </c>
      <c r="AU634" s="5" t="str">
        <f>HYPERLINK("https://creighton-primo.hosted.exlibrisgroup.com/primo-explore/search?tab=default_tab&amp;search_scope=EVERYTHING&amp;vid=01CRU&amp;lang=en_US&amp;offset=0&amp;query=any,contains,991002255509702656","Catalog Record")</f>
        <v>Catalog Record</v>
      </c>
      <c r="AV634" s="5" t="str">
        <f>HYPERLINK("http://www.worldcat.org/oclc/29221389","WorldCat Record")</f>
        <v>WorldCat Record</v>
      </c>
      <c r="AW634" s="2" t="s">
        <v>7884</v>
      </c>
      <c r="AX634" s="2" t="s">
        <v>7885</v>
      </c>
      <c r="AY634" s="2" t="s">
        <v>7886</v>
      </c>
      <c r="AZ634" s="2" t="s">
        <v>7886</v>
      </c>
      <c r="BA634" s="2" t="s">
        <v>7887</v>
      </c>
      <c r="BB634" s="2" t="s">
        <v>20</v>
      </c>
      <c r="BD634" s="2" t="s">
        <v>7888</v>
      </c>
      <c r="BE634" s="2" t="s">
        <v>7889</v>
      </c>
      <c r="BF634" s="2" t="s">
        <v>7890</v>
      </c>
    </row>
    <row r="635" spans="1:58" ht="39.75" customHeight="1" x14ac:dyDescent="0.25">
      <c r="A635" s="7" t="s">
        <v>5</v>
      </c>
      <c r="B635" s="1" t="s">
        <v>0</v>
      </c>
      <c r="C635" s="1" t="s">
        <v>1</v>
      </c>
      <c r="D635" s="1" t="s">
        <v>7891</v>
      </c>
      <c r="E635" s="1" t="s">
        <v>7892</v>
      </c>
      <c r="F635" s="1" t="s">
        <v>7893</v>
      </c>
      <c r="H635" s="2" t="s">
        <v>5</v>
      </c>
      <c r="I635" s="2" t="s">
        <v>6</v>
      </c>
      <c r="J635" s="2" t="s">
        <v>5</v>
      </c>
      <c r="K635" s="2" t="s">
        <v>5</v>
      </c>
      <c r="L635" s="2" t="s">
        <v>7</v>
      </c>
      <c r="M635" s="1" t="s">
        <v>7894</v>
      </c>
      <c r="N635" s="1" t="s">
        <v>7895</v>
      </c>
      <c r="O635" s="2" t="s">
        <v>1273</v>
      </c>
      <c r="Q635" s="2" t="s">
        <v>60</v>
      </c>
      <c r="R635" s="2" t="s">
        <v>43</v>
      </c>
      <c r="T635" s="2" t="s">
        <v>13</v>
      </c>
      <c r="U635" s="3">
        <v>2</v>
      </c>
      <c r="V635" s="3">
        <v>2</v>
      </c>
      <c r="W635" s="4" t="s">
        <v>7896</v>
      </c>
      <c r="X635" s="4" t="s">
        <v>7896</v>
      </c>
      <c r="Y635" s="4" t="s">
        <v>7406</v>
      </c>
      <c r="Z635" s="4" t="s">
        <v>7406</v>
      </c>
      <c r="AA635" s="3">
        <v>167</v>
      </c>
      <c r="AB635" s="3">
        <v>136</v>
      </c>
      <c r="AC635" s="3">
        <v>138</v>
      </c>
      <c r="AD635" s="3">
        <v>3</v>
      </c>
      <c r="AE635" s="9">
        <v>3</v>
      </c>
      <c r="AF635" s="9">
        <v>8</v>
      </c>
      <c r="AG635" s="9">
        <v>8</v>
      </c>
      <c r="AH635" s="3">
        <v>1</v>
      </c>
      <c r="AI635" s="3">
        <v>1</v>
      </c>
      <c r="AJ635" s="3">
        <v>1</v>
      </c>
      <c r="AK635" s="3">
        <v>1</v>
      </c>
      <c r="AL635" s="3">
        <v>5</v>
      </c>
      <c r="AM635" s="3">
        <v>5</v>
      </c>
      <c r="AN635" s="3">
        <v>2</v>
      </c>
      <c r="AO635" s="3">
        <v>2</v>
      </c>
      <c r="AP635" s="3">
        <v>0</v>
      </c>
      <c r="AQ635" s="3">
        <v>0</v>
      </c>
      <c r="AR635" s="2" t="s">
        <v>5</v>
      </c>
      <c r="AS635" s="2" t="s">
        <v>46</v>
      </c>
      <c r="AT635" s="5" t="str">
        <f>HYPERLINK("http://catalog.hathitrust.org/Record/000435590","HathiTrust Record")</f>
        <v>HathiTrust Record</v>
      </c>
      <c r="AU635" s="5" t="str">
        <f>HYPERLINK("https://creighton-primo.hosted.exlibrisgroup.com/primo-explore/search?tab=default_tab&amp;search_scope=EVERYTHING&amp;vid=01CRU&amp;lang=en_US&amp;offset=0&amp;query=any,contains,991000783479702656","Catalog Record")</f>
        <v>Catalog Record</v>
      </c>
      <c r="AV635" s="5" t="str">
        <f>HYPERLINK("http://www.worldcat.org/oclc/13121223","WorldCat Record")</f>
        <v>WorldCat Record</v>
      </c>
      <c r="AW635" s="2" t="s">
        <v>7897</v>
      </c>
      <c r="AX635" s="2" t="s">
        <v>7898</v>
      </c>
      <c r="AY635" s="2" t="s">
        <v>7899</v>
      </c>
      <c r="AZ635" s="2" t="s">
        <v>7899</v>
      </c>
      <c r="BA635" s="2" t="s">
        <v>7900</v>
      </c>
      <c r="BB635" s="2" t="s">
        <v>20</v>
      </c>
      <c r="BD635" s="2" t="s">
        <v>7901</v>
      </c>
      <c r="BE635" s="2" t="s">
        <v>7902</v>
      </c>
      <c r="BF635" s="2" t="s">
        <v>7903</v>
      </c>
    </row>
    <row r="636" spans="1:58" ht="39.75" customHeight="1" x14ac:dyDescent="0.25">
      <c r="A636" s="7" t="s">
        <v>5</v>
      </c>
      <c r="B636" s="1" t="s">
        <v>0</v>
      </c>
      <c r="C636" s="1" t="s">
        <v>1</v>
      </c>
      <c r="D636" s="1" t="s">
        <v>7904</v>
      </c>
      <c r="E636" s="1" t="s">
        <v>7905</v>
      </c>
      <c r="F636" s="1" t="s">
        <v>7906</v>
      </c>
      <c r="H636" s="2" t="s">
        <v>5</v>
      </c>
      <c r="I636" s="2" t="s">
        <v>6</v>
      </c>
      <c r="J636" s="2" t="s">
        <v>5</v>
      </c>
      <c r="K636" s="2" t="s">
        <v>5</v>
      </c>
      <c r="L636" s="2" t="s">
        <v>7</v>
      </c>
      <c r="M636" s="1" t="s">
        <v>7907</v>
      </c>
      <c r="N636" s="1" t="s">
        <v>7908</v>
      </c>
      <c r="O636" s="2" t="s">
        <v>162</v>
      </c>
      <c r="Q636" s="2" t="s">
        <v>1151</v>
      </c>
      <c r="R636" s="2" t="s">
        <v>1152</v>
      </c>
      <c r="T636" s="2" t="s">
        <v>13</v>
      </c>
      <c r="U636" s="3">
        <v>1</v>
      </c>
      <c r="V636" s="3">
        <v>1</v>
      </c>
      <c r="W636" s="4" t="s">
        <v>5086</v>
      </c>
      <c r="X636" s="4" t="s">
        <v>5086</v>
      </c>
      <c r="Y636" s="4" t="s">
        <v>5086</v>
      </c>
      <c r="Z636" s="4" t="s">
        <v>5086</v>
      </c>
      <c r="AA636" s="3">
        <v>189</v>
      </c>
      <c r="AB636" s="3">
        <v>140</v>
      </c>
      <c r="AC636" s="3">
        <v>144</v>
      </c>
      <c r="AD636" s="3">
        <v>2</v>
      </c>
      <c r="AE636" s="9">
        <v>2</v>
      </c>
      <c r="AF636" s="9">
        <v>9</v>
      </c>
      <c r="AG636" s="9">
        <v>9</v>
      </c>
      <c r="AH636" s="3">
        <v>1</v>
      </c>
      <c r="AI636" s="3">
        <v>1</v>
      </c>
      <c r="AJ636" s="3">
        <v>3</v>
      </c>
      <c r="AK636" s="3">
        <v>3</v>
      </c>
      <c r="AL636" s="3">
        <v>5</v>
      </c>
      <c r="AM636" s="3">
        <v>5</v>
      </c>
      <c r="AN636" s="3">
        <v>1</v>
      </c>
      <c r="AO636" s="3">
        <v>1</v>
      </c>
      <c r="AP636" s="3">
        <v>0</v>
      </c>
      <c r="AQ636" s="3">
        <v>0</v>
      </c>
      <c r="AR636" s="2" t="s">
        <v>5</v>
      </c>
      <c r="AS636" s="2" t="s">
        <v>46</v>
      </c>
      <c r="AT636" s="5" t="str">
        <f>HYPERLINK("http://catalog.hathitrust.org/Record/001808695","HathiTrust Record")</f>
        <v>HathiTrust Record</v>
      </c>
      <c r="AU636" s="5" t="str">
        <f>HYPERLINK("https://creighton-primo.hosted.exlibrisgroup.com/primo-explore/search?tab=default_tab&amp;search_scope=EVERYTHING&amp;vid=01CRU&amp;lang=en_US&amp;offset=0&amp;query=any,contains,991004523589702656","Catalog Record")</f>
        <v>Catalog Record</v>
      </c>
      <c r="AV636" s="5" t="str">
        <f>HYPERLINK("http://www.worldcat.org/oclc/190792","WorldCat Record")</f>
        <v>WorldCat Record</v>
      </c>
      <c r="AW636" s="2" t="s">
        <v>7909</v>
      </c>
      <c r="AX636" s="2" t="s">
        <v>7910</v>
      </c>
      <c r="AY636" s="2" t="s">
        <v>7911</v>
      </c>
      <c r="AZ636" s="2" t="s">
        <v>7911</v>
      </c>
      <c r="BA636" s="2" t="s">
        <v>7912</v>
      </c>
      <c r="BB636" s="2" t="s">
        <v>20</v>
      </c>
      <c r="BE636" s="2" t="s">
        <v>7913</v>
      </c>
      <c r="BF636" s="2" t="s">
        <v>7914</v>
      </c>
    </row>
    <row r="637" spans="1:58" ht="39.75" customHeight="1" x14ac:dyDescent="0.25">
      <c r="A637" s="7" t="s">
        <v>5</v>
      </c>
      <c r="B637" s="1" t="s">
        <v>0</v>
      </c>
      <c r="C637" s="1" t="s">
        <v>1</v>
      </c>
      <c r="D637" s="1" t="s">
        <v>7915</v>
      </c>
      <c r="E637" s="1" t="s">
        <v>7916</v>
      </c>
      <c r="F637" s="1" t="s">
        <v>7917</v>
      </c>
      <c r="H637" s="2" t="s">
        <v>5</v>
      </c>
      <c r="I637" s="2" t="s">
        <v>6</v>
      </c>
      <c r="J637" s="2" t="s">
        <v>5</v>
      </c>
      <c r="K637" s="2" t="s">
        <v>5</v>
      </c>
      <c r="L637" s="2" t="s">
        <v>7</v>
      </c>
      <c r="M637" s="1" t="s">
        <v>7918</v>
      </c>
      <c r="N637" s="1" t="s">
        <v>7919</v>
      </c>
      <c r="O637" s="2" t="s">
        <v>76</v>
      </c>
      <c r="Q637" s="2" t="s">
        <v>60</v>
      </c>
      <c r="R637" s="2" t="s">
        <v>61</v>
      </c>
      <c r="T637" s="2" t="s">
        <v>13</v>
      </c>
      <c r="U637" s="3">
        <v>2</v>
      </c>
      <c r="V637" s="3">
        <v>2</v>
      </c>
      <c r="W637" s="4" t="s">
        <v>7920</v>
      </c>
      <c r="X637" s="4" t="s">
        <v>7920</v>
      </c>
      <c r="Y637" s="4" t="s">
        <v>7406</v>
      </c>
      <c r="Z637" s="4" t="s">
        <v>7406</v>
      </c>
      <c r="AA637" s="3">
        <v>297</v>
      </c>
      <c r="AB637" s="3">
        <v>284</v>
      </c>
      <c r="AC637" s="3">
        <v>329</v>
      </c>
      <c r="AD637" s="3">
        <v>3</v>
      </c>
      <c r="AE637" s="9">
        <v>3</v>
      </c>
      <c r="AF637" s="9">
        <v>12</v>
      </c>
      <c r="AG637" s="9">
        <v>13</v>
      </c>
      <c r="AH637" s="3">
        <v>5</v>
      </c>
      <c r="AI637" s="3">
        <v>5</v>
      </c>
      <c r="AJ637" s="3">
        <v>2</v>
      </c>
      <c r="AK637" s="3">
        <v>3</v>
      </c>
      <c r="AL637" s="3">
        <v>6</v>
      </c>
      <c r="AM637" s="3">
        <v>6</v>
      </c>
      <c r="AN637" s="3">
        <v>2</v>
      </c>
      <c r="AO637" s="3">
        <v>2</v>
      </c>
      <c r="AP637" s="3">
        <v>0</v>
      </c>
      <c r="AQ637" s="3">
        <v>0</v>
      </c>
      <c r="AR637" s="2" t="s">
        <v>5</v>
      </c>
      <c r="AS637" s="2" t="s">
        <v>5</v>
      </c>
      <c r="AU637" s="5" t="str">
        <f>HYPERLINK("https://creighton-primo.hosted.exlibrisgroup.com/primo-explore/search?tab=default_tab&amp;search_scope=EVERYTHING&amp;vid=01CRU&amp;lang=en_US&amp;offset=0&amp;query=any,contains,991003646419702656","Catalog Record")</f>
        <v>Catalog Record</v>
      </c>
      <c r="AV637" s="5" t="str">
        <f>HYPERLINK("http://www.worldcat.org/oclc/1248094","WorldCat Record")</f>
        <v>WorldCat Record</v>
      </c>
      <c r="AW637" s="2" t="s">
        <v>7921</v>
      </c>
      <c r="AX637" s="2" t="s">
        <v>7922</v>
      </c>
      <c r="AY637" s="2" t="s">
        <v>7923</v>
      </c>
      <c r="AZ637" s="2" t="s">
        <v>7923</v>
      </c>
      <c r="BA637" s="2" t="s">
        <v>7924</v>
      </c>
      <c r="BB637" s="2" t="s">
        <v>20</v>
      </c>
      <c r="BE637" s="2" t="s">
        <v>7925</v>
      </c>
      <c r="BF637" s="2" t="s">
        <v>7926</v>
      </c>
    </row>
    <row r="638" spans="1:58" ht="39.75" customHeight="1" x14ac:dyDescent="0.25">
      <c r="A638" s="7" t="s">
        <v>5</v>
      </c>
      <c r="B638" s="1" t="s">
        <v>0</v>
      </c>
      <c r="C638" s="1" t="s">
        <v>1</v>
      </c>
      <c r="D638" s="1" t="s">
        <v>7927</v>
      </c>
      <c r="E638" s="1" t="s">
        <v>7928</v>
      </c>
      <c r="F638" s="1" t="s">
        <v>7929</v>
      </c>
      <c r="H638" s="2" t="s">
        <v>5</v>
      </c>
      <c r="I638" s="2" t="s">
        <v>6</v>
      </c>
      <c r="J638" s="2" t="s">
        <v>5</v>
      </c>
      <c r="K638" s="2" t="s">
        <v>5</v>
      </c>
      <c r="L638" s="2" t="s">
        <v>7</v>
      </c>
      <c r="M638" s="1" t="s">
        <v>7930</v>
      </c>
      <c r="N638" s="1" t="s">
        <v>7931</v>
      </c>
      <c r="O638" s="2" t="s">
        <v>1418</v>
      </c>
      <c r="Q638" s="2" t="s">
        <v>60</v>
      </c>
      <c r="R638" s="2" t="s">
        <v>1152</v>
      </c>
      <c r="S638" s="1" t="s">
        <v>7932</v>
      </c>
      <c r="T638" s="2" t="s">
        <v>13</v>
      </c>
      <c r="U638" s="3">
        <v>1</v>
      </c>
      <c r="V638" s="3">
        <v>1</v>
      </c>
      <c r="W638" s="4" t="s">
        <v>5086</v>
      </c>
      <c r="X638" s="4" t="s">
        <v>5086</v>
      </c>
      <c r="Y638" s="4" t="s">
        <v>5086</v>
      </c>
      <c r="Z638" s="4" t="s">
        <v>5086</v>
      </c>
      <c r="AA638" s="3">
        <v>167</v>
      </c>
      <c r="AB638" s="3">
        <v>135</v>
      </c>
      <c r="AC638" s="3">
        <v>145</v>
      </c>
      <c r="AD638" s="3">
        <v>1</v>
      </c>
      <c r="AE638" s="9">
        <v>1</v>
      </c>
      <c r="AF638" s="9">
        <v>6</v>
      </c>
      <c r="AG638" s="9">
        <v>6</v>
      </c>
      <c r="AH638" s="3">
        <v>2</v>
      </c>
      <c r="AI638" s="3">
        <v>2</v>
      </c>
      <c r="AJ638" s="3">
        <v>2</v>
      </c>
      <c r="AK638" s="3">
        <v>2</v>
      </c>
      <c r="AL638" s="3">
        <v>3</v>
      </c>
      <c r="AM638" s="3">
        <v>3</v>
      </c>
      <c r="AN638" s="3">
        <v>0</v>
      </c>
      <c r="AO638" s="3">
        <v>0</v>
      </c>
      <c r="AP638" s="3">
        <v>0</v>
      </c>
      <c r="AQ638" s="3">
        <v>0</v>
      </c>
      <c r="AR638" s="2" t="s">
        <v>5</v>
      </c>
      <c r="AS638" s="2" t="s">
        <v>46</v>
      </c>
      <c r="AT638" s="5" t="str">
        <f>HYPERLINK("http://catalog.hathitrust.org/Record/001523674","HathiTrust Record")</f>
        <v>HathiTrust Record</v>
      </c>
      <c r="AU638" s="5" t="str">
        <f>HYPERLINK("https://creighton-primo.hosted.exlibrisgroup.com/primo-explore/search?tab=default_tab&amp;search_scope=EVERYTHING&amp;vid=01CRU&amp;lang=en_US&amp;offset=0&amp;query=any,contains,991004523379702656","Catalog Record")</f>
        <v>Catalog Record</v>
      </c>
      <c r="AV638" s="5" t="str">
        <f>HYPERLINK("http://www.worldcat.org/oclc/241869","WorldCat Record")</f>
        <v>WorldCat Record</v>
      </c>
      <c r="AW638" s="2" t="s">
        <v>7933</v>
      </c>
      <c r="AX638" s="2" t="s">
        <v>7934</v>
      </c>
      <c r="AY638" s="2" t="s">
        <v>7935</v>
      </c>
      <c r="AZ638" s="2" t="s">
        <v>7935</v>
      </c>
      <c r="BA638" s="2" t="s">
        <v>7936</v>
      </c>
      <c r="BB638" s="2" t="s">
        <v>20</v>
      </c>
      <c r="BE638" s="2" t="s">
        <v>7937</v>
      </c>
      <c r="BF638" s="2" t="s">
        <v>7938</v>
      </c>
    </row>
    <row r="639" spans="1:58" ht="39.75" customHeight="1" x14ac:dyDescent="0.25">
      <c r="A639" s="7" t="s">
        <v>5</v>
      </c>
      <c r="B639" s="1" t="s">
        <v>0</v>
      </c>
      <c r="C639" s="1" t="s">
        <v>1</v>
      </c>
      <c r="D639" s="1" t="s">
        <v>7939</v>
      </c>
      <c r="E639" s="1" t="s">
        <v>7940</v>
      </c>
      <c r="F639" s="1" t="s">
        <v>7941</v>
      </c>
      <c r="H639" s="2" t="s">
        <v>5</v>
      </c>
      <c r="I639" s="2" t="s">
        <v>6</v>
      </c>
      <c r="J639" s="2" t="s">
        <v>5</v>
      </c>
      <c r="K639" s="2" t="s">
        <v>5</v>
      </c>
      <c r="L639" s="2" t="s">
        <v>7</v>
      </c>
      <c r="M639" s="1" t="s">
        <v>7942</v>
      </c>
      <c r="N639" s="1" t="s">
        <v>7943</v>
      </c>
      <c r="O639" s="2" t="s">
        <v>791</v>
      </c>
      <c r="Q639" s="2" t="s">
        <v>1151</v>
      </c>
      <c r="R639" s="2" t="s">
        <v>1152</v>
      </c>
      <c r="S639" s="1" t="s">
        <v>7944</v>
      </c>
      <c r="T639" s="2" t="s">
        <v>13</v>
      </c>
      <c r="U639" s="3">
        <v>2</v>
      </c>
      <c r="V639" s="3">
        <v>2</v>
      </c>
      <c r="W639" s="4" t="s">
        <v>7945</v>
      </c>
      <c r="X639" s="4" t="s">
        <v>7945</v>
      </c>
      <c r="Y639" s="4" t="s">
        <v>7946</v>
      </c>
      <c r="Z639" s="4" t="s">
        <v>7946</v>
      </c>
      <c r="AA639" s="3">
        <v>28</v>
      </c>
      <c r="AB639" s="3">
        <v>12</v>
      </c>
      <c r="AC639" s="3">
        <v>23</v>
      </c>
      <c r="AD639" s="3">
        <v>1</v>
      </c>
      <c r="AE639" s="9">
        <v>1</v>
      </c>
      <c r="AF639" s="9">
        <v>2</v>
      </c>
      <c r="AG639" s="9">
        <v>3</v>
      </c>
      <c r="AH639" s="3">
        <v>0</v>
      </c>
      <c r="AI639" s="3">
        <v>0</v>
      </c>
      <c r="AJ639" s="3">
        <v>1</v>
      </c>
      <c r="AK639" s="3">
        <v>2</v>
      </c>
      <c r="AL639" s="3">
        <v>2</v>
      </c>
      <c r="AM639" s="3">
        <v>2</v>
      </c>
      <c r="AN639" s="3">
        <v>0</v>
      </c>
      <c r="AO639" s="3">
        <v>0</v>
      </c>
      <c r="AP639" s="3">
        <v>0</v>
      </c>
      <c r="AQ639" s="3">
        <v>0</v>
      </c>
      <c r="AR639" s="2" t="s">
        <v>5</v>
      </c>
      <c r="AS639" s="2" t="s">
        <v>46</v>
      </c>
      <c r="AT639" s="5" t="str">
        <f>HYPERLINK("http://catalog.hathitrust.org/Record/011231741","HathiTrust Record")</f>
        <v>HathiTrust Record</v>
      </c>
      <c r="AU639" s="5" t="str">
        <f>HYPERLINK("https://creighton-primo.hosted.exlibrisgroup.com/primo-explore/search?tab=default_tab&amp;search_scope=EVERYTHING&amp;vid=01CRU&amp;lang=en_US&amp;offset=0&amp;query=any,contains,991004130469702656","Catalog Record")</f>
        <v>Catalog Record</v>
      </c>
      <c r="AV639" s="5" t="str">
        <f>HYPERLINK("http://www.worldcat.org/oclc/2467745","WorldCat Record")</f>
        <v>WorldCat Record</v>
      </c>
      <c r="AW639" s="2" t="s">
        <v>7947</v>
      </c>
      <c r="AX639" s="2" t="s">
        <v>7948</v>
      </c>
      <c r="AY639" s="2" t="s">
        <v>7949</v>
      </c>
      <c r="AZ639" s="2" t="s">
        <v>7949</v>
      </c>
      <c r="BA639" s="2" t="s">
        <v>7950</v>
      </c>
      <c r="BB639" s="2" t="s">
        <v>20</v>
      </c>
      <c r="BD639" s="2" t="s">
        <v>7951</v>
      </c>
      <c r="BE639" s="2" t="s">
        <v>7952</v>
      </c>
      <c r="BF639" s="2" t="s">
        <v>7953</v>
      </c>
    </row>
    <row r="640" spans="1:58" ht="39.75" customHeight="1" x14ac:dyDescent="0.25">
      <c r="A640" s="7" t="s">
        <v>5</v>
      </c>
      <c r="B640" s="1" t="s">
        <v>0</v>
      </c>
      <c r="C640" s="1" t="s">
        <v>1</v>
      </c>
      <c r="D640" s="1" t="s">
        <v>7954</v>
      </c>
      <c r="E640" s="1" t="s">
        <v>7955</v>
      </c>
      <c r="F640" s="1" t="s">
        <v>7956</v>
      </c>
      <c r="H640" s="2" t="s">
        <v>5</v>
      </c>
      <c r="I640" s="2" t="s">
        <v>6</v>
      </c>
      <c r="J640" s="2" t="s">
        <v>5</v>
      </c>
      <c r="K640" s="2" t="s">
        <v>5</v>
      </c>
      <c r="L640" s="2" t="s">
        <v>7</v>
      </c>
      <c r="M640" s="1" t="s">
        <v>7957</v>
      </c>
      <c r="N640" s="1" t="s">
        <v>7958</v>
      </c>
      <c r="O640" s="2" t="s">
        <v>995</v>
      </c>
      <c r="Q640" s="2" t="s">
        <v>60</v>
      </c>
      <c r="R640" s="2" t="s">
        <v>277</v>
      </c>
      <c r="S640" s="1" t="s">
        <v>7959</v>
      </c>
      <c r="T640" s="2" t="s">
        <v>13</v>
      </c>
      <c r="U640" s="3">
        <v>1</v>
      </c>
      <c r="V640" s="3">
        <v>1</v>
      </c>
      <c r="W640" s="4" t="s">
        <v>7960</v>
      </c>
      <c r="X640" s="4" t="s">
        <v>7960</v>
      </c>
      <c r="Y640" s="4" t="s">
        <v>7946</v>
      </c>
      <c r="Z640" s="4" t="s">
        <v>7946</v>
      </c>
      <c r="AA640" s="3">
        <v>502</v>
      </c>
      <c r="AB640" s="3">
        <v>436</v>
      </c>
      <c r="AC640" s="3">
        <v>438</v>
      </c>
      <c r="AD640" s="3">
        <v>3</v>
      </c>
      <c r="AE640" s="9">
        <v>3</v>
      </c>
      <c r="AF640" s="9">
        <v>22</v>
      </c>
      <c r="AG640" s="9">
        <v>22</v>
      </c>
      <c r="AH640" s="3">
        <v>9</v>
      </c>
      <c r="AI640" s="3">
        <v>9</v>
      </c>
      <c r="AJ640" s="3">
        <v>5</v>
      </c>
      <c r="AK640" s="3">
        <v>5</v>
      </c>
      <c r="AL640" s="3">
        <v>14</v>
      </c>
      <c r="AM640" s="3">
        <v>14</v>
      </c>
      <c r="AN640" s="3">
        <v>2</v>
      </c>
      <c r="AO640" s="3">
        <v>2</v>
      </c>
      <c r="AP640" s="3">
        <v>0</v>
      </c>
      <c r="AQ640" s="3">
        <v>0</v>
      </c>
      <c r="AR640" s="2" t="s">
        <v>5</v>
      </c>
      <c r="AS640" s="2" t="s">
        <v>46</v>
      </c>
      <c r="AT640" s="5" t="str">
        <f>HYPERLINK("http://catalog.hathitrust.org/Record/000086350","HathiTrust Record")</f>
        <v>HathiTrust Record</v>
      </c>
      <c r="AU640" s="5" t="str">
        <f>HYPERLINK("https://creighton-primo.hosted.exlibrisgroup.com/primo-explore/search?tab=default_tab&amp;search_scope=EVERYTHING&amp;vid=01CRU&amp;lang=en_US&amp;offset=0&amp;query=any,contains,991005037749702656","Catalog Record")</f>
        <v>Catalog Record</v>
      </c>
      <c r="AV640" s="5" t="str">
        <f>HYPERLINK("http://www.worldcat.org/oclc/6762729","WorldCat Record")</f>
        <v>WorldCat Record</v>
      </c>
      <c r="AW640" s="2" t="s">
        <v>7961</v>
      </c>
      <c r="AX640" s="2" t="s">
        <v>7962</v>
      </c>
      <c r="AY640" s="2" t="s">
        <v>7963</v>
      </c>
      <c r="AZ640" s="2" t="s">
        <v>7963</v>
      </c>
      <c r="BA640" s="2" t="s">
        <v>7964</v>
      </c>
      <c r="BB640" s="2" t="s">
        <v>20</v>
      </c>
      <c r="BD640" s="2" t="s">
        <v>7965</v>
      </c>
      <c r="BE640" s="2" t="s">
        <v>7966</v>
      </c>
      <c r="BF640" s="2" t="s">
        <v>7967</v>
      </c>
    </row>
    <row r="641" spans="1:58" ht="39.75" customHeight="1" x14ac:dyDescent="0.25">
      <c r="A641" s="7" t="s">
        <v>5</v>
      </c>
      <c r="B641" s="1" t="s">
        <v>0</v>
      </c>
      <c r="C641" s="1" t="s">
        <v>1</v>
      </c>
      <c r="D641" s="1" t="s">
        <v>7968</v>
      </c>
      <c r="E641" s="1" t="s">
        <v>7969</v>
      </c>
      <c r="F641" s="1" t="s">
        <v>7970</v>
      </c>
      <c r="H641" s="2" t="s">
        <v>5</v>
      </c>
      <c r="I641" s="2" t="s">
        <v>6</v>
      </c>
      <c r="J641" s="2" t="s">
        <v>5</v>
      </c>
      <c r="K641" s="2" t="s">
        <v>5</v>
      </c>
      <c r="L641" s="2" t="s">
        <v>7</v>
      </c>
      <c r="M641" s="1" t="s">
        <v>7971</v>
      </c>
      <c r="N641" s="1" t="s">
        <v>7972</v>
      </c>
      <c r="O641" s="2" t="s">
        <v>6611</v>
      </c>
      <c r="Q641" s="2" t="s">
        <v>60</v>
      </c>
      <c r="R641" s="2" t="s">
        <v>292</v>
      </c>
      <c r="T641" s="2" t="s">
        <v>13</v>
      </c>
      <c r="U641" s="3">
        <v>4</v>
      </c>
      <c r="V641" s="3">
        <v>4</v>
      </c>
      <c r="W641" s="4" t="s">
        <v>7973</v>
      </c>
      <c r="X641" s="4" t="s">
        <v>7973</v>
      </c>
      <c r="Y641" s="4" t="s">
        <v>7974</v>
      </c>
      <c r="Z641" s="4" t="s">
        <v>7974</v>
      </c>
      <c r="AA641" s="3">
        <v>314</v>
      </c>
      <c r="AB641" s="3">
        <v>249</v>
      </c>
      <c r="AC641" s="3">
        <v>249</v>
      </c>
      <c r="AD641" s="3">
        <v>3</v>
      </c>
      <c r="AE641" s="9">
        <v>3</v>
      </c>
      <c r="AF641" s="9">
        <v>15</v>
      </c>
      <c r="AG641" s="9">
        <v>15</v>
      </c>
      <c r="AH641" s="3">
        <v>4</v>
      </c>
      <c r="AI641" s="3">
        <v>4</v>
      </c>
      <c r="AJ641" s="3">
        <v>5</v>
      </c>
      <c r="AK641" s="3">
        <v>5</v>
      </c>
      <c r="AL641" s="3">
        <v>9</v>
      </c>
      <c r="AM641" s="3">
        <v>9</v>
      </c>
      <c r="AN641" s="3">
        <v>2</v>
      </c>
      <c r="AO641" s="3">
        <v>2</v>
      </c>
      <c r="AP641" s="3">
        <v>0</v>
      </c>
      <c r="AQ641" s="3">
        <v>0</v>
      </c>
      <c r="AR641" s="2" t="s">
        <v>5</v>
      </c>
      <c r="AS641" s="2" t="s">
        <v>5</v>
      </c>
      <c r="AU641" s="5" t="str">
        <f>HYPERLINK("https://creighton-primo.hosted.exlibrisgroup.com/primo-explore/search?tab=default_tab&amp;search_scope=EVERYTHING&amp;vid=01CRU&amp;lang=en_US&amp;offset=0&amp;query=any,contains,991002410789702656","Catalog Record")</f>
        <v>Catalog Record</v>
      </c>
      <c r="AV641" s="5" t="str">
        <f>HYPERLINK("http://www.worldcat.org/oclc/31376114","WorldCat Record")</f>
        <v>WorldCat Record</v>
      </c>
      <c r="AW641" s="2" t="s">
        <v>7975</v>
      </c>
      <c r="AX641" s="2" t="s">
        <v>7976</v>
      </c>
      <c r="AY641" s="2" t="s">
        <v>7977</v>
      </c>
      <c r="AZ641" s="2" t="s">
        <v>7977</v>
      </c>
      <c r="BA641" s="2" t="s">
        <v>7978</v>
      </c>
      <c r="BB641" s="2" t="s">
        <v>20</v>
      </c>
      <c r="BD641" s="2" t="s">
        <v>7979</v>
      </c>
      <c r="BE641" s="2" t="s">
        <v>7980</v>
      </c>
      <c r="BF641" s="2" t="s">
        <v>7981</v>
      </c>
    </row>
    <row r="642" spans="1:58" ht="39.75" customHeight="1" x14ac:dyDescent="0.25">
      <c r="A642" s="7" t="s">
        <v>5</v>
      </c>
      <c r="B642" s="1" t="s">
        <v>0</v>
      </c>
      <c r="C642" s="1" t="s">
        <v>1</v>
      </c>
      <c r="D642" s="1" t="s">
        <v>7982</v>
      </c>
      <c r="E642" s="1" t="s">
        <v>7983</v>
      </c>
      <c r="F642" s="1" t="s">
        <v>7984</v>
      </c>
      <c r="H642" s="2" t="s">
        <v>5</v>
      </c>
      <c r="I642" s="2" t="s">
        <v>6</v>
      </c>
      <c r="J642" s="2" t="s">
        <v>5</v>
      </c>
      <c r="K642" s="2" t="s">
        <v>5</v>
      </c>
      <c r="L642" s="2" t="s">
        <v>7</v>
      </c>
      <c r="M642" s="1" t="s">
        <v>7985</v>
      </c>
      <c r="N642" s="1" t="s">
        <v>3816</v>
      </c>
      <c r="O642" s="2" t="s">
        <v>3817</v>
      </c>
      <c r="Q642" s="2" t="s">
        <v>60</v>
      </c>
      <c r="R642" s="2" t="s">
        <v>292</v>
      </c>
      <c r="T642" s="2" t="s">
        <v>13</v>
      </c>
      <c r="U642" s="3">
        <v>1</v>
      </c>
      <c r="V642" s="3">
        <v>1</v>
      </c>
      <c r="W642" s="4" t="s">
        <v>7986</v>
      </c>
      <c r="X642" s="4" t="s">
        <v>7986</v>
      </c>
      <c r="Y642" s="4" t="s">
        <v>7986</v>
      </c>
      <c r="Z642" s="4" t="s">
        <v>7986</v>
      </c>
      <c r="AA642" s="3">
        <v>320</v>
      </c>
      <c r="AB642" s="3">
        <v>251</v>
      </c>
      <c r="AC642" s="3">
        <v>558</v>
      </c>
      <c r="AD642" s="3">
        <v>3</v>
      </c>
      <c r="AE642" s="9">
        <v>6</v>
      </c>
      <c r="AF642" s="9">
        <v>12</v>
      </c>
      <c r="AG642" s="9">
        <v>28</v>
      </c>
      <c r="AH642" s="3">
        <v>3</v>
      </c>
      <c r="AI642" s="3">
        <v>8</v>
      </c>
      <c r="AJ642" s="3">
        <v>3</v>
      </c>
      <c r="AK642" s="3">
        <v>8</v>
      </c>
      <c r="AL642" s="3">
        <v>7</v>
      </c>
      <c r="AM642" s="3">
        <v>11</v>
      </c>
      <c r="AN642" s="3">
        <v>2</v>
      </c>
      <c r="AO642" s="3">
        <v>5</v>
      </c>
      <c r="AP642" s="3">
        <v>0</v>
      </c>
      <c r="AQ642" s="3">
        <v>1</v>
      </c>
      <c r="AR642" s="2" t="s">
        <v>5</v>
      </c>
      <c r="AS642" s="2" t="s">
        <v>5</v>
      </c>
      <c r="AU642" s="5" t="str">
        <f>HYPERLINK("https://creighton-primo.hosted.exlibrisgroup.com/primo-explore/search?tab=default_tab&amp;search_scope=EVERYTHING&amp;vid=01CRU&amp;lang=en_US&amp;offset=0&amp;query=any,contains,991004023279702656","Catalog Record")</f>
        <v>Catalog Record</v>
      </c>
      <c r="AV642" s="5" t="str">
        <f>HYPERLINK("http://www.worldcat.org/oclc/35235742","WorldCat Record")</f>
        <v>WorldCat Record</v>
      </c>
      <c r="AW642" s="2" t="s">
        <v>7987</v>
      </c>
      <c r="AX642" s="2" t="s">
        <v>7988</v>
      </c>
      <c r="AY642" s="2" t="s">
        <v>7989</v>
      </c>
      <c r="AZ642" s="2" t="s">
        <v>7989</v>
      </c>
      <c r="BA642" s="2" t="s">
        <v>7990</v>
      </c>
      <c r="BB642" s="2" t="s">
        <v>20</v>
      </c>
      <c r="BD642" s="2" t="s">
        <v>7991</v>
      </c>
      <c r="BE642" s="2" t="s">
        <v>7992</v>
      </c>
      <c r="BF642" s="2" t="s">
        <v>7993</v>
      </c>
    </row>
    <row r="643" spans="1:58" ht="39.75" customHeight="1" x14ac:dyDescent="0.25">
      <c r="A643" s="7" t="s">
        <v>5</v>
      </c>
      <c r="B643" s="1" t="s">
        <v>0</v>
      </c>
      <c r="C643" s="1" t="s">
        <v>1</v>
      </c>
      <c r="D643" s="1" t="s">
        <v>7994</v>
      </c>
      <c r="E643" s="1" t="s">
        <v>7995</v>
      </c>
      <c r="F643" s="1" t="s">
        <v>7996</v>
      </c>
      <c r="H643" s="2" t="s">
        <v>5</v>
      </c>
      <c r="I643" s="2" t="s">
        <v>6</v>
      </c>
      <c r="J643" s="2" t="s">
        <v>5</v>
      </c>
      <c r="K643" s="2" t="s">
        <v>5</v>
      </c>
      <c r="L643" s="2" t="s">
        <v>7</v>
      </c>
      <c r="M643" s="1" t="s">
        <v>7997</v>
      </c>
      <c r="N643" s="1" t="s">
        <v>7998</v>
      </c>
      <c r="O643" s="2" t="s">
        <v>1037</v>
      </c>
      <c r="Q643" s="2" t="s">
        <v>1151</v>
      </c>
      <c r="R643" s="2" t="s">
        <v>1236</v>
      </c>
      <c r="T643" s="2" t="s">
        <v>13</v>
      </c>
      <c r="U643" s="3">
        <v>0</v>
      </c>
      <c r="V643" s="3">
        <v>0</v>
      </c>
      <c r="W643" s="4" t="s">
        <v>1759</v>
      </c>
      <c r="X643" s="4" t="s">
        <v>1759</v>
      </c>
      <c r="Y643" s="4" t="s">
        <v>7946</v>
      </c>
      <c r="Z643" s="4" t="s">
        <v>7946</v>
      </c>
      <c r="AA643" s="3">
        <v>144</v>
      </c>
      <c r="AB643" s="3">
        <v>102</v>
      </c>
      <c r="AC643" s="3">
        <v>104</v>
      </c>
      <c r="AD643" s="3">
        <v>1</v>
      </c>
      <c r="AE643" s="9">
        <v>1</v>
      </c>
      <c r="AF643" s="9">
        <v>5</v>
      </c>
      <c r="AG643" s="9">
        <v>5</v>
      </c>
      <c r="AH643" s="3">
        <v>0</v>
      </c>
      <c r="AI643" s="3">
        <v>0</v>
      </c>
      <c r="AJ643" s="3">
        <v>3</v>
      </c>
      <c r="AK643" s="3">
        <v>3</v>
      </c>
      <c r="AL643" s="3">
        <v>3</v>
      </c>
      <c r="AM643" s="3">
        <v>3</v>
      </c>
      <c r="AN643" s="3">
        <v>0</v>
      </c>
      <c r="AO643" s="3">
        <v>0</v>
      </c>
      <c r="AP643" s="3">
        <v>0</v>
      </c>
      <c r="AQ643" s="3">
        <v>0</v>
      </c>
      <c r="AR643" s="2" t="s">
        <v>5</v>
      </c>
      <c r="AS643" s="2" t="s">
        <v>46</v>
      </c>
      <c r="AT643" s="5" t="str">
        <f>HYPERLINK("http://catalog.hathitrust.org/Record/001052242","HathiTrust Record")</f>
        <v>HathiTrust Record</v>
      </c>
      <c r="AU643" s="5" t="str">
        <f>HYPERLINK("https://creighton-primo.hosted.exlibrisgroup.com/primo-explore/search?tab=default_tab&amp;search_scope=EVERYTHING&amp;vid=01CRU&amp;lang=en_US&amp;offset=0&amp;query=any,contains,991003021229702656","Catalog Record")</f>
        <v>Catalog Record</v>
      </c>
      <c r="AV643" s="5" t="str">
        <f>HYPERLINK("http://www.worldcat.org/oclc/585876","WorldCat Record")</f>
        <v>WorldCat Record</v>
      </c>
      <c r="AW643" s="2" t="s">
        <v>7999</v>
      </c>
      <c r="AX643" s="2" t="s">
        <v>8000</v>
      </c>
      <c r="AY643" s="2" t="s">
        <v>8001</v>
      </c>
      <c r="AZ643" s="2" t="s">
        <v>8001</v>
      </c>
      <c r="BA643" s="2" t="s">
        <v>8002</v>
      </c>
      <c r="BB643" s="2" t="s">
        <v>20</v>
      </c>
      <c r="BE643" s="2" t="s">
        <v>8003</v>
      </c>
      <c r="BF643" s="2" t="s">
        <v>8004</v>
      </c>
    </row>
    <row r="644" spans="1:58" ht="39.75" customHeight="1" x14ac:dyDescent="0.25">
      <c r="A644" s="7" t="s">
        <v>5</v>
      </c>
      <c r="B644" s="1" t="s">
        <v>0</v>
      </c>
      <c r="C644" s="1" t="s">
        <v>1</v>
      </c>
      <c r="D644" s="1" t="s">
        <v>8005</v>
      </c>
      <c r="E644" s="1" t="s">
        <v>8006</v>
      </c>
      <c r="F644" s="1" t="s">
        <v>8007</v>
      </c>
      <c r="H644" s="2" t="s">
        <v>5</v>
      </c>
      <c r="I644" s="2" t="s">
        <v>6</v>
      </c>
      <c r="J644" s="2" t="s">
        <v>5</v>
      </c>
      <c r="K644" s="2" t="s">
        <v>5</v>
      </c>
      <c r="L644" s="2" t="s">
        <v>7</v>
      </c>
      <c r="M644" s="1" t="s">
        <v>8008</v>
      </c>
      <c r="N644" s="1" t="s">
        <v>8009</v>
      </c>
      <c r="O644" s="2" t="s">
        <v>248</v>
      </c>
      <c r="Q644" s="2" t="s">
        <v>60</v>
      </c>
      <c r="R644" s="2" t="s">
        <v>61</v>
      </c>
      <c r="S644" s="1" t="s">
        <v>8010</v>
      </c>
      <c r="T644" s="2" t="s">
        <v>13</v>
      </c>
      <c r="U644" s="3">
        <v>2</v>
      </c>
      <c r="V644" s="3">
        <v>2</v>
      </c>
      <c r="W644" s="4" t="s">
        <v>8011</v>
      </c>
      <c r="X644" s="4" t="s">
        <v>8011</v>
      </c>
      <c r="Y644" s="4" t="s">
        <v>7946</v>
      </c>
      <c r="Z644" s="4" t="s">
        <v>7946</v>
      </c>
      <c r="AA644" s="3">
        <v>592</v>
      </c>
      <c r="AB644" s="3">
        <v>521</v>
      </c>
      <c r="AC644" s="3">
        <v>528</v>
      </c>
      <c r="AD644" s="3">
        <v>5</v>
      </c>
      <c r="AE644" s="9">
        <v>5</v>
      </c>
      <c r="AF644" s="9">
        <v>26</v>
      </c>
      <c r="AG644" s="9">
        <v>26</v>
      </c>
      <c r="AH644" s="3">
        <v>10</v>
      </c>
      <c r="AI644" s="3">
        <v>10</v>
      </c>
      <c r="AJ644" s="3">
        <v>7</v>
      </c>
      <c r="AK644" s="3">
        <v>7</v>
      </c>
      <c r="AL644" s="3">
        <v>14</v>
      </c>
      <c r="AM644" s="3">
        <v>14</v>
      </c>
      <c r="AN644" s="3">
        <v>4</v>
      </c>
      <c r="AO644" s="3">
        <v>4</v>
      </c>
      <c r="AP644" s="3">
        <v>0</v>
      </c>
      <c r="AQ644" s="3">
        <v>0</v>
      </c>
      <c r="AR644" s="2" t="s">
        <v>5</v>
      </c>
      <c r="AS644" s="2" t="s">
        <v>46</v>
      </c>
      <c r="AT644" s="5" t="str">
        <f>HYPERLINK("http://catalog.hathitrust.org/Record/001052819","HathiTrust Record")</f>
        <v>HathiTrust Record</v>
      </c>
      <c r="AU644" s="5" t="str">
        <f>HYPERLINK("https://creighton-primo.hosted.exlibrisgroup.com/primo-explore/search?tab=default_tab&amp;search_scope=EVERYTHING&amp;vid=01CRU&amp;lang=en_US&amp;offset=0&amp;query=any,contains,991001904589702656","Catalog Record")</f>
        <v>Catalog Record</v>
      </c>
      <c r="AV644" s="5" t="str">
        <f>HYPERLINK("http://www.worldcat.org/oclc/239852","WorldCat Record")</f>
        <v>WorldCat Record</v>
      </c>
      <c r="AW644" s="2" t="s">
        <v>8012</v>
      </c>
      <c r="AX644" s="2" t="s">
        <v>8013</v>
      </c>
      <c r="AY644" s="2" t="s">
        <v>8014</v>
      </c>
      <c r="AZ644" s="2" t="s">
        <v>8014</v>
      </c>
      <c r="BA644" s="2" t="s">
        <v>8015</v>
      </c>
      <c r="BB644" s="2" t="s">
        <v>20</v>
      </c>
      <c r="BE644" s="2" t="s">
        <v>8016</v>
      </c>
      <c r="BF644" s="2" t="s">
        <v>8017</v>
      </c>
    </row>
    <row r="645" spans="1:58" ht="39.75" customHeight="1" x14ac:dyDescent="0.25">
      <c r="A645" s="7" t="s">
        <v>5</v>
      </c>
      <c r="B645" s="1" t="s">
        <v>0</v>
      </c>
      <c r="C645" s="1" t="s">
        <v>1</v>
      </c>
      <c r="D645" s="1" t="s">
        <v>8018</v>
      </c>
      <c r="E645" s="1" t="s">
        <v>8019</v>
      </c>
      <c r="F645" s="1" t="s">
        <v>8020</v>
      </c>
      <c r="H645" s="2" t="s">
        <v>5</v>
      </c>
      <c r="I645" s="2" t="s">
        <v>6</v>
      </c>
      <c r="J645" s="2" t="s">
        <v>5</v>
      </c>
      <c r="K645" s="2" t="s">
        <v>5</v>
      </c>
      <c r="L645" s="2" t="s">
        <v>7</v>
      </c>
      <c r="M645" s="1" t="s">
        <v>8021</v>
      </c>
      <c r="N645" s="1" t="s">
        <v>8022</v>
      </c>
      <c r="O645" s="2" t="s">
        <v>1390</v>
      </c>
      <c r="Q645" s="2" t="s">
        <v>1151</v>
      </c>
      <c r="R645" s="2" t="s">
        <v>1152</v>
      </c>
      <c r="S645" s="1" t="s">
        <v>8023</v>
      </c>
      <c r="T645" s="2" t="s">
        <v>13</v>
      </c>
      <c r="U645" s="3">
        <v>0</v>
      </c>
      <c r="V645" s="3">
        <v>0</v>
      </c>
      <c r="W645" s="4" t="s">
        <v>2410</v>
      </c>
      <c r="X645" s="4" t="s">
        <v>2410</v>
      </c>
      <c r="Y645" s="4" t="s">
        <v>7946</v>
      </c>
      <c r="Z645" s="4" t="s">
        <v>7946</v>
      </c>
      <c r="AA645" s="3">
        <v>19</v>
      </c>
      <c r="AB645" s="3">
        <v>10</v>
      </c>
      <c r="AC645" s="3">
        <v>10</v>
      </c>
      <c r="AD645" s="3">
        <v>1</v>
      </c>
      <c r="AE645" s="9">
        <v>1</v>
      </c>
      <c r="AF645" s="9">
        <v>0</v>
      </c>
      <c r="AG645" s="9">
        <v>0</v>
      </c>
      <c r="AH645" s="3">
        <v>0</v>
      </c>
      <c r="AI645" s="3">
        <v>0</v>
      </c>
      <c r="AJ645" s="3">
        <v>0</v>
      </c>
      <c r="AK645" s="3">
        <v>0</v>
      </c>
      <c r="AL645" s="3">
        <v>0</v>
      </c>
      <c r="AM645" s="3">
        <v>0</v>
      </c>
      <c r="AN645" s="3">
        <v>0</v>
      </c>
      <c r="AO645" s="3">
        <v>0</v>
      </c>
      <c r="AP645" s="3">
        <v>0</v>
      </c>
      <c r="AQ645" s="3">
        <v>0</v>
      </c>
      <c r="AR645" s="2" t="s">
        <v>5</v>
      </c>
      <c r="AS645" s="2" t="s">
        <v>5</v>
      </c>
      <c r="AU645" s="5" t="str">
        <f>HYPERLINK("https://creighton-primo.hosted.exlibrisgroup.com/primo-explore/search?tab=default_tab&amp;search_scope=EVERYTHING&amp;vid=01CRU&amp;lang=en_US&amp;offset=0&amp;query=any,contains,991005073909702656","Catalog Record")</f>
        <v>Catalog Record</v>
      </c>
      <c r="AV645" s="5" t="str">
        <f>HYPERLINK("http://www.worldcat.org/oclc/7078130","WorldCat Record")</f>
        <v>WorldCat Record</v>
      </c>
      <c r="AW645" s="2" t="s">
        <v>8024</v>
      </c>
      <c r="AX645" s="2" t="s">
        <v>8025</v>
      </c>
      <c r="AY645" s="2" t="s">
        <v>8026</v>
      </c>
      <c r="AZ645" s="2" t="s">
        <v>8026</v>
      </c>
      <c r="BA645" s="2" t="s">
        <v>8027</v>
      </c>
      <c r="BB645" s="2" t="s">
        <v>20</v>
      </c>
      <c r="BD645" s="2" t="s">
        <v>8028</v>
      </c>
      <c r="BE645" s="2" t="s">
        <v>8029</v>
      </c>
      <c r="BF645" s="2" t="s">
        <v>8030</v>
      </c>
    </row>
    <row r="646" spans="1:58" ht="39.75" customHeight="1" x14ac:dyDescent="0.25">
      <c r="A646" s="7" t="s">
        <v>5</v>
      </c>
      <c r="B646" s="1" t="s">
        <v>0</v>
      </c>
      <c r="C646" s="1" t="s">
        <v>1</v>
      </c>
      <c r="D646" s="1" t="s">
        <v>8031</v>
      </c>
      <c r="E646" s="1" t="s">
        <v>8032</v>
      </c>
      <c r="F646" s="1" t="s">
        <v>8033</v>
      </c>
      <c r="H646" s="2" t="s">
        <v>5</v>
      </c>
      <c r="I646" s="2" t="s">
        <v>6</v>
      </c>
      <c r="J646" s="2" t="s">
        <v>5</v>
      </c>
      <c r="K646" s="2" t="s">
        <v>5</v>
      </c>
      <c r="L646" s="2" t="s">
        <v>7</v>
      </c>
      <c r="M646" s="1" t="s">
        <v>8034</v>
      </c>
      <c r="N646" s="1" t="s">
        <v>8035</v>
      </c>
      <c r="O646" s="2" t="s">
        <v>736</v>
      </c>
      <c r="Q646" s="2" t="s">
        <v>1151</v>
      </c>
      <c r="R646" s="2" t="s">
        <v>1152</v>
      </c>
      <c r="S646" s="1" t="s">
        <v>8036</v>
      </c>
      <c r="T646" s="2" t="s">
        <v>13</v>
      </c>
      <c r="U646" s="3">
        <v>1</v>
      </c>
      <c r="V646" s="3">
        <v>1</v>
      </c>
      <c r="W646" s="4" t="s">
        <v>5137</v>
      </c>
      <c r="X646" s="4" t="s">
        <v>5137</v>
      </c>
      <c r="Y646" s="4" t="s">
        <v>5137</v>
      </c>
      <c r="Z646" s="4" t="s">
        <v>5137</v>
      </c>
      <c r="AA646" s="3">
        <v>6</v>
      </c>
      <c r="AB646" s="3">
        <v>5</v>
      </c>
      <c r="AC646" s="3">
        <v>5</v>
      </c>
      <c r="AD646" s="3">
        <v>1</v>
      </c>
      <c r="AE646" s="9">
        <v>1</v>
      </c>
      <c r="AF646" s="9">
        <v>0</v>
      </c>
      <c r="AG646" s="9">
        <v>0</v>
      </c>
      <c r="AH646" s="3">
        <v>0</v>
      </c>
      <c r="AI646" s="3">
        <v>0</v>
      </c>
      <c r="AJ646" s="3">
        <v>0</v>
      </c>
      <c r="AK646" s="3">
        <v>0</v>
      </c>
      <c r="AL646" s="3">
        <v>0</v>
      </c>
      <c r="AM646" s="3">
        <v>0</v>
      </c>
      <c r="AN646" s="3">
        <v>0</v>
      </c>
      <c r="AO646" s="3">
        <v>0</v>
      </c>
      <c r="AP646" s="3">
        <v>0</v>
      </c>
      <c r="AQ646" s="3">
        <v>0</v>
      </c>
      <c r="AR646" s="2" t="s">
        <v>5</v>
      </c>
      <c r="AS646" s="2" t="s">
        <v>5</v>
      </c>
      <c r="AU646" s="5" t="str">
        <f>HYPERLINK("https://creighton-primo.hosted.exlibrisgroup.com/primo-explore/search?tab=default_tab&amp;search_scope=EVERYTHING&amp;vid=01CRU&amp;lang=en_US&amp;offset=0&amp;query=any,contains,991004509689702656","Catalog Record")</f>
        <v>Catalog Record</v>
      </c>
      <c r="AV646" s="5" t="str">
        <f>HYPERLINK("http://www.worldcat.org/oclc/29823702","WorldCat Record")</f>
        <v>WorldCat Record</v>
      </c>
      <c r="AW646" s="2" t="s">
        <v>8037</v>
      </c>
      <c r="AX646" s="2" t="s">
        <v>8038</v>
      </c>
      <c r="AY646" s="2" t="s">
        <v>8039</v>
      </c>
      <c r="AZ646" s="2" t="s">
        <v>8039</v>
      </c>
      <c r="BA646" s="2" t="s">
        <v>8040</v>
      </c>
      <c r="BB646" s="2" t="s">
        <v>20</v>
      </c>
      <c r="BD646" s="2" t="s">
        <v>8041</v>
      </c>
      <c r="BE646" s="2" t="s">
        <v>8042</v>
      </c>
      <c r="BF646" s="2" t="s">
        <v>8043</v>
      </c>
    </row>
    <row r="647" spans="1:58" ht="39.75" customHeight="1" x14ac:dyDescent="0.25">
      <c r="A647" s="7" t="s">
        <v>5</v>
      </c>
      <c r="B647" s="1" t="s">
        <v>0</v>
      </c>
      <c r="C647" s="1" t="s">
        <v>1</v>
      </c>
      <c r="D647" s="1" t="s">
        <v>8044</v>
      </c>
      <c r="E647" s="1" t="s">
        <v>8045</v>
      </c>
      <c r="F647" s="1" t="s">
        <v>8046</v>
      </c>
      <c r="H647" s="2" t="s">
        <v>5</v>
      </c>
      <c r="I647" s="2" t="s">
        <v>6</v>
      </c>
      <c r="J647" s="2" t="s">
        <v>5</v>
      </c>
      <c r="K647" s="2" t="s">
        <v>5</v>
      </c>
      <c r="L647" s="2" t="s">
        <v>7</v>
      </c>
      <c r="M647" s="1" t="s">
        <v>8047</v>
      </c>
      <c r="N647" s="1" t="s">
        <v>8048</v>
      </c>
      <c r="O647" s="2" t="s">
        <v>452</v>
      </c>
      <c r="Q647" s="2" t="s">
        <v>60</v>
      </c>
      <c r="R647" s="2" t="s">
        <v>193</v>
      </c>
      <c r="S647" s="1" t="s">
        <v>8049</v>
      </c>
      <c r="T647" s="2" t="s">
        <v>13</v>
      </c>
      <c r="U647" s="3">
        <v>2</v>
      </c>
      <c r="V647" s="3">
        <v>2</v>
      </c>
      <c r="W647" s="4" t="s">
        <v>5086</v>
      </c>
      <c r="X647" s="4" t="s">
        <v>5086</v>
      </c>
      <c r="Y647" s="4" t="s">
        <v>5086</v>
      </c>
      <c r="Z647" s="4" t="s">
        <v>5086</v>
      </c>
      <c r="AA647" s="3">
        <v>108</v>
      </c>
      <c r="AB647" s="3">
        <v>85</v>
      </c>
      <c r="AC647" s="3">
        <v>401</v>
      </c>
      <c r="AD647" s="3">
        <v>2</v>
      </c>
      <c r="AE647" s="9">
        <v>3</v>
      </c>
      <c r="AF647" s="9">
        <v>4</v>
      </c>
      <c r="AG647" s="9">
        <v>17</v>
      </c>
      <c r="AH647" s="3">
        <v>0</v>
      </c>
      <c r="AI647" s="3">
        <v>4</v>
      </c>
      <c r="AJ647" s="3">
        <v>1</v>
      </c>
      <c r="AK647" s="3">
        <v>6</v>
      </c>
      <c r="AL647" s="3">
        <v>2</v>
      </c>
      <c r="AM647" s="3">
        <v>11</v>
      </c>
      <c r="AN647" s="3">
        <v>1</v>
      </c>
      <c r="AO647" s="3">
        <v>2</v>
      </c>
      <c r="AP647" s="3">
        <v>0</v>
      </c>
      <c r="AQ647" s="3">
        <v>0</v>
      </c>
      <c r="AR647" s="2" t="s">
        <v>5</v>
      </c>
      <c r="AS647" s="2" t="s">
        <v>5</v>
      </c>
      <c r="AU647" s="5" t="str">
        <f>HYPERLINK("https://creighton-primo.hosted.exlibrisgroup.com/primo-explore/search?tab=default_tab&amp;search_scope=EVERYTHING&amp;vid=01CRU&amp;lang=en_US&amp;offset=0&amp;query=any,contains,991004522259702656","Catalog Record")</f>
        <v>Catalog Record</v>
      </c>
      <c r="AV647" s="5" t="str">
        <f>HYPERLINK("http://www.worldcat.org/oclc/35210699","WorldCat Record")</f>
        <v>WorldCat Record</v>
      </c>
      <c r="AW647" s="2" t="s">
        <v>8050</v>
      </c>
      <c r="AX647" s="2" t="s">
        <v>8051</v>
      </c>
      <c r="AY647" s="2" t="s">
        <v>8052</v>
      </c>
      <c r="AZ647" s="2" t="s">
        <v>8052</v>
      </c>
      <c r="BA647" s="2" t="s">
        <v>8053</v>
      </c>
      <c r="BB647" s="2" t="s">
        <v>20</v>
      </c>
      <c r="BD647" s="2" t="s">
        <v>8054</v>
      </c>
      <c r="BE647" s="2" t="s">
        <v>8055</v>
      </c>
      <c r="BF647" s="2" t="s">
        <v>8056</v>
      </c>
    </row>
    <row r="648" spans="1:58" ht="39.75" customHeight="1" x14ac:dyDescent="0.25">
      <c r="A648" s="7" t="s">
        <v>5</v>
      </c>
      <c r="B648" s="1" t="s">
        <v>0</v>
      </c>
      <c r="C648" s="1" t="s">
        <v>1</v>
      </c>
      <c r="D648" s="1" t="s">
        <v>8057</v>
      </c>
      <c r="E648" s="1" t="s">
        <v>8058</v>
      </c>
      <c r="F648" s="1" t="s">
        <v>8059</v>
      </c>
      <c r="H648" s="2" t="s">
        <v>5</v>
      </c>
      <c r="I648" s="2" t="s">
        <v>6</v>
      </c>
      <c r="J648" s="2" t="s">
        <v>5</v>
      </c>
      <c r="K648" s="2" t="s">
        <v>5</v>
      </c>
      <c r="L648" s="2" t="s">
        <v>7</v>
      </c>
      <c r="M648" s="1" t="s">
        <v>8060</v>
      </c>
      <c r="N648" s="1" t="s">
        <v>1445</v>
      </c>
      <c r="O648" s="2" t="s">
        <v>291</v>
      </c>
      <c r="Q648" s="2" t="s">
        <v>60</v>
      </c>
      <c r="R648" s="2" t="s">
        <v>277</v>
      </c>
      <c r="S648" s="1" t="s">
        <v>8061</v>
      </c>
      <c r="T648" s="2" t="s">
        <v>13</v>
      </c>
      <c r="U648" s="3">
        <v>2</v>
      </c>
      <c r="V648" s="3">
        <v>2</v>
      </c>
      <c r="W648" s="4" t="s">
        <v>8062</v>
      </c>
      <c r="X648" s="4" t="s">
        <v>8062</v>
      </c>
      <c r="Y648" s="4" t="s">
        <v>7946</v>
      </c>
      <c r="Z648" s="4" t="s">
        <v>7946</v>
      </c>
      <c r="AA648" s="3">
        <v>453</v>
      </c>
      <c r="AB648" s="3">
        <v>399</v>
      </c>
      <c r="AC648" s="3">
        <v>406</v>
      </c>
      <c r="AD648" s="3">
        <v>3</v>
      </c>
      <c r="AE648" s="9">
        <v>3</v>
      </c>
      <c r="AF648" s="9">
        <v>20</v>
      </c>
      <c r="AG648" s="9">
        <v>20</v>
      </c>
      <c r="AH648" s="3">
        <v>9</v>
      </c>
      <c r="AI648" s="3">
        <v>9</v>
      </c>
      <c r="AJ648" s="3">
        <v>5</v>
      </c>
      <c r="AK648" s="3">
        <v>5</v>
      </c>
      <c r="AL648" s="3">
        <v>11</v>
      </c>
      <c r="AM648" s="3">
        <v>11</v>
      </c>
      <c r="AN648" s="3">
        <v>2</v>
      </c>
      <c r="AO648" s="3">
        <v>2</v>
      </c>
      <c r="AP648" s="3">
        <v>0</v>
      </c>
      <c r="AQ648" s="3">
        <v>0</v>
      </c>
      <c r="AR648" s="2" t="s">
        <v>5</v>
      </c>
      <c r="AS648" s="2" t="s">
        <v>46</v>
      </c>
      <c r="AT648" s="5" t="str">
        <f>HYPERLINK("http://catalog.hathitrust.org/Record/000724619","HathiTrust Record")</f>
        <v>HathiTrust Record</v>
      </c>
      <c r="AU648" s="5" t="str">
        <f>HYPERLINK("https://creighton-primo.hosted.exlibrisgroup.com/primo-explore/search?tab=default_tab&amp;search_scope=EVERYTHING&amp;vid=01CRU&amp;lang=en_US&amp;offset=0&amp;query=any,contains,991004268119702656","Catalog Record")</f>
        <v>Catalog Record</v>
      </c>
      <c r="AV648" s="5" t="str">
        <f>HYPERLINK("http://www.worldcat.org/oclc/2873539","WorldCat Record")</f>
        <v>WorldCat Record</v>
      </c>
      <c r="AW648" s="2" t="s">
        <v>8063</v>
      </c>
      <c r="AX648" s="2" t="s">
        <v>8064</v>
      </c>
      <c r="AY648" s="2" t="s">
        <v>8065</v>
      </c>
      <c r="AZ648" s="2" t="s">
        <v>8065</v>
      </c>
      <c r="BA648" s="2" t="s">
        <v>8066</v>
      </c>
      <c r="BB648" s="2" t="s">
        <v>20</v>
      </c>
      <c r="BD648" s="2" t="s">
        <v>8067</v>
      </c>
      <c r="BE648" s="2" t="s">
        <v>8068</v>
      </c>
      <c r="BF648" s="2" t="s">
        <v>8069</v>
      </c>
    </row>
    <row r="649" spans="1:58" ht="39.75" customHeight="1" x14ac:dyDescent="0.25">
      <c r="A649" s="7" t="s">
        <v>5</v>
      </c>
      <c r="B649" s="1" t="s">
        <v>0</v>
      </c>
      <c r="C649" s="1" t="s">
        <v>1</v>
      </c>
      <c r="D649" s="1" t="s">
        <v>8070</v>
      </c>
      <c r="E649" s="1" t="s">
        <v>8071</v>
      </c>
      <c r="F649" s="1" t="s">
        <v>8072</v>
      </c>
      <c r="H649" s="2" t="s">
        <v>5</v>
      </c>
      <c r="I649" s="2" t="s">
        <v>6</v>
      </c>
      <c r="J649" s="2" t="s">
        <v>5</v>
      </c>
      <c r="K649" s="2" t="s">
        <v>5</v>
      </c>
      <c r="L649" s="2" t="s">
        <v>7</v>
      </c>
      <c r="M649" s="1" t="s">
        <v>8073</v>
      </c>
      <c r="N649" s="1" t="s">
        <v>6072</v>
      </c>
      <c r="O649" s="2" t="s">
        <v>248</v>
      </c>
      <c r="Q649" s="2" t="s">
        <v>1151</v>
      </c>
      <c r="R649" s="2" t="s">
        <v>1152</v>
      </c>
      <c r="S649" s="1" t="s">
        <v>8074</v>
      </c>
      <c r="T649" s="2" t="s">
        <v>13</v>
      </c>
      <c r="U649" s="3">
        <v>1</v>
      </c>
      <c r="V649" s="3">
        <v>1</v>
      </c>
      <c r="W649" s="4" t="s">
        <v>5518</v>
      </c>
      <c r="X649" s="4" t="s">
        <v>5518</v>
      </c>
      <c r="Y649" s="4" t="s">
        <v>5518</v>
      </c>
      <c r="Z649" s="4" t="s">
        <v>5518</v>
      </c>
      <c r="AA649" s="3">
        <v>189</v>
      </c>
      <c r="AB649" s="3">
        <v>141</v>
      </c>
      <c r="AC649" s="3">
        <v>143</v>
      </c>
      <c r="AD649" s="3">
        <v>3</v>
      </c>
      <c r="AE649" s="9">
        <v>3</v>
      </c>
      <c r="AF649" s="9">
        <v>9</v>
      </c>
      <c r="AG649" s="9">
        <v>9</v>
      </c>
      <c r="AH649" s="3">
        <v>3</v>
      </c>
      <c r="AI649" s="3">
        <v>3</v>
      </c>
      <c r="AJ649" s="3">
        <v>2</v>
      </c>
      <c r="AK649" s="3">
        <v>2</v>
      </c>
      <c r="AL649" s="3">
        <v>4</v>
      </c>
      <c r="AM649" s="3">
        <v>4</v>
      </c>
      <c r="AN649" s="3">
        <v>2</v>
      </c>
      <c r="AO649" s="3">
        <v>2</v>
      </c>
      <c r="AP649" s="3">
        <v>0</v>
      </c>
      <c r="AQ649" s="3">
        <v>0</v>
      </c>
      <c r="AR649" s="2" t="s">
        <v>5</v>
      </c>
      <c r="AS649" s="2" t="s">
        <v>46</v>
      </c>
      <c r="AT649" s="5" t="str">
        <f>HYPERLINK("http://catalog.hathitrust.org/Record/001049548","HathiTrust Record")</f>
        <v>HathiTrust Record</v>
      </c>
      <c r="AU649" s="5" t="str">
        <f>HYPERLINK("https://creighton-primo.hosted.exlibrisgroup.com/primo-explore/search?tab=default_tab&amp;search_scope=EVERYTHING&amp;vid=01CRU&amp;lang=en_US&amp;offset=0&amp;query=any,contains,991004508709702656","Catalog Record")</f>
        <v>Catalog Record</v>
      </c>
      <c r="AV649" s="5" t="str">
        <f>HYPERLINK("http://www.worldcat.org/oclc/574836","WorldCat Record")</f>
        <v>WorldCat Record</v>
      </c>
      <c r="AW649" s="2" t="s">
        <v>8075</v>
      </c>
      <c r="AX649" s="2" t="s">
        <v>8076</v>
      </c>
      <c r="AY649" s="2" t="s">
        <v>8077</v>
      </c>
      <c r="AZ649" s="2" t="s">
        <v>8077</v>
      </c>
      <c r="BA649" s="2" t="s">
        <v>8078</v>
      </c>
      <c r="BB649" s="2" t="s">
        <v>20</v>
      </c>
      <c r="BE649" s="2" t="s">
        <v>8079</v>
      </c>
      <c r="BF649" s="2" t="s">
        <v>8080</v>
      </c>
    </row>
    <row r="650" spans="1:58" ht="39.75" customHeight="1" x14ac:dyDescent="0.25">
      <c r="A650" s="7" t="s">
        <v>5</v>
      </c>
      <c r="B650" s="1" t="s">
        <v>0</v>
      </c>
      <c r="C650" s="1" t="s">
        <v>1</v>
      </c>
      <c r="D650" s="1" t="s">
        <v>8081</v>
      </c>
      <c r="E650" s="1" t="s">
        <v>8082</v>
      </c>
      <c r="F650" s="1" t="s">
        <v>8083</v>
      </c>
      <c r="H650" s="2" t="s">
        <v>5</v>
      </c>
      <c r="I650" s="2" t="s">
        <v>6</v>
      </c>
      <c r="J650" s="2" t="s">
        <v>5</v>
      </c>
      <c r="K650" s="2" t="s">
        <v>5</v>
      </c>
      <c r="L650" s="2" t="s">
        <v>7</v>
      </c>
      <c r="M650" s="1" t="s">
        <v>8084</v>
      </c>
      <c r="N650" s="1" t="s">
        <v>8085</v>
      </c>
      <c r="O650" s="2" t="s">
        <v>42</v>
      </c>
      <c r="P650" s="1" t="s">
        <v>5911</v>
      </c>
      <c r="Q650" s="2" t="s">
        <v>1151</v>
      </c>
      <c r="R650" s="2" t="s">
        <v>1152</v>
      </c>
      <c r="S650" s="1" t="s">
        <v>8086</v>
      </c>
      <c r="T650" s="2" t="s">
        <v>13</v>
      </c>
      <c r="U650" s="3">
        <v>1</v>
      </c>
      <c r="V650" s="3">
        <v>1</v>
      </c>
      <c r="W650" s="4" t="s">
        <v>8087</v>
      </c>
      <c r="X650" s="4" t="s">
        <v>8087</v>
      </c>
      <c r="Y650" s="4" t="s">
        <v>6146</v>
      </c>
      <c r="Z650" s="4" t="s">
        <v>6146</v>
      </c>
      <c r="AA650" s="3">
        <v>88</v>
      </c>
      <c r="AB650" s="3">
        <v>72</v>
      </c>
      <c r="AC650" s="3">
        <v>73</v>
      </c>
      <c r="AD650" s="3">
        <v>1</v>
      </c>
      <c r="AE650" s="9">
        <v>1</v>
      </c>
      <c r="AF650" s="9">
        <v>1</v>
      </c>
      <c r="AG650" s="9">
        <v>1</v>
      </c>
      <c r="AH650" s="3">
        <v>1</v>
      </c>
      <c r="AI650" s="3">
        <v>1</v>
      </c>
      <c r="AJ650" s="3">
        <v>0</v>
      </c>
      <c r="AK650" s="3">
        <v>0</v>
      </c>
      <c r="AL650" s="3">
        <v>0</v>
      </c>
      <c r="AM650" s="3">
        <v>0</v>
      </c>
      <c r="AN650" s="3">
        <v>0</v>
      </c>
      <c r="AO650" s="3">
        <v>0</v>
      </c>
      <c r="AP650" s="3">
        <v>0</v>
      </c>
      <c r="AQ650" s="3">
        <v>0</v>
      </c>
      <c r="AR650" s="2" t="s">
        <v>5</v>
      </c>
      <c r="AS650" s="2" t="s">
        <v>46</v>
      </c>
      <c r="AT650" s="5" t="str">
        <f>HYPERLINK("http://catalog.hathitrust.org/Record/002172137","HathiTrust Record")</f>
        <v>HathiTrust Record</v>
      </c>
      <c r="AU650" s="5" t="str">
        <f>HYPERLINK("https://creighton-primo.hosted.exlibrisgroup.com/primo-explore/search?tab=default_tab&amp;search_scope=EVERYTHING&amp;vid=01CRU&amp;lang=en_US&amp;offset=0&amp;query=any,contains,991001698019702656","Catalog Record")</f>
        <v>Catalog Record</v>
      </c>
      <c r="AV650" s="5" t="str">
        <f>HYPERLINK("http://www.worldcat.org/oclc/22306822","WorldCat Record")</f>
        <v>WorldCat Record</v>
      </c>
      <c r="AW650" s="2" t="s">
        <v>8088</v>
      </c>
      <c r="AX650" s="2" t="s">
        <v>8089</v>
      </c>
      <c r="AY650" s="2" t="s">
        <v>8090</v>
      </c>
      <c r="AZ650" s="2" t="s">
        <v>8090</v>
      </c>
      <c r="BA650" s="2" t="s">
        <v>8091</v>
      </c>
      <c r="BB650" s="2" t="s">
        <v>20</v>
      </c>
      <c r="BD650" s="2" t="s">
        <v>8092</v>
      </c>
      <c r="BE650" s="2" t="s">
        <v>8093</v>
      </c>
      <c r="BF650" s="2" t="s">
        <v>8094</v>
      </c>
    </row>
    <row r="651" spans="1:58" ht="39.75" customHeight="1" x14ac:dyDescent="0.25">
      <c r="A651" s="7" t="s">
        <v>5</v>
      </c>
      <c r="B651" s="1" t="s">
        <v>0</v>
      </c>
      <c r="C651" s="1" t="s">
        <v>1</v>
      </c>
      <c r="D651" s="1" t="s">
        <v>8095</v>
      </c>
      <c r="E651" s="1" t="s">
        <v>8096</v>
      </c>
      <c r="F651" s="1" t="s">
        <v>8097</v>
      </c>
      <c r="H651" s="2" t="s">
        <v>5</v>
      </c>
      <c r="I651" s="2" t="s">
        <v>6</v>
      </c>
      <c r="J651" s="2" t="s">
        <v>5</v>
      </c>
      <c r="K651" s="2" t="s">
        <v>5</v>
      </c>
      <c r="L651" s="2" t="s">
        <v>7</v>
      </c>
      <c r="M651" s="1" t="s">
        <v>8084</v>
      </c>
      <c r="N651" s="1" t="s">
        <v>8098</v>
      </c>
      <c r="O651" s="2" t="s">
        <v>554</v>
      </c>
      <c r="P651" s="1" t="s">
        <v>5911</v>
      </c>
      <c r="Q651" s="2" t="s">
        <v>1151</v>
      </c>
      <c r="R651" s="2" t="s">
        <v>1152</v>
      </c>
      <c r="S651" s="1" t="s">
        <v>8099</v>
      </c>
      <c r="T651" s="2" t="s">
        <v>13</v>
      </c>
      <c r="U651" s="3">
        <v>1</v>
      </c>
      <c r="V651" s="3">
        <v>1</v>
      </c>
      <c r="W651" s="4" t="s">
        <v>8100</v>
      </c>
      <c r="X651" s="4" t="s">
        <v>8100</v>
      </c>
      <c r="Y651" s="4" t="s">
        <v>7946</v>
      </c>
      <c r="Z651" s="4" t="s">
        <v>7946</v>
      </c>
      <c r="AA651" s="3">
        <v>143</v>
      </c>
      <c r="AB651" s="3">
        <v>101</v>
      </c>
      <c r="AC651" s="3">
        <v>108</v>
      </c>
      <c r="AD651" s="3">
        <v>2</v>
      </c>
      <c r="AE651" s="9">
        <v>2</v>
      </c>
      <c r="AF651" s="9">
        <v>3</v>
      </c>
      <c r="AG651" s="9">
        <v>3</v>
      </c>
      <c r="AH651" s="3">
        <v>2</v>
      </c>
      <c r="AI651" s="3">
        <v>2</v>
      </c>
      <c r="AJ651" s="3">
        <v>0</v>
      </c>
      <c r="AK651" s="3">
        <v>0</v>
      </c>
      <c r="AL651" s="3">
        <v>2</v>
      </c>
      <c r="AM651" s="3">
        <v>2</v>
      </c>
      <c r="AN651" s="3">
        <v>1</v>
      </c>
      <c r="AO651" s="3">
        <v>1</v>
      </c>
      <c r="AP651" s="3">
        <v>0</v>
      </c>
      <c r="AQ651" s="3">
        <v>0</v>
      </c>
      <c r="AR651" s="2" t="s">
        <v>5</v>
      </c>
      <c r="AS651" s="2" t="s">
        <v>46</v>
      </c>
      <c r="AT651" s="5" t="str">
        <f>HYPERLINK("http://catalog.hathitrust.org/Record/000850457","HathiTrust Record")</f>
        <v>HathiTrust Record</v>
      </c>
      <c r="AU651" s="5" t="str">
        <f>HYPERLINK("https://creighton-primo.hosted.exlibrisgroup.com/primo-explore/search?tab=default_tab&amp;search_scope=EVERYTHING&amp;vid=01CRU&amp;lang=en_US&amp;offset=0&amp;query=any,contains,991000801239702656","Catalog Record")</f>
        <v>Catalog Record</v>
      </c>
      <c r="AV651" s="5" t="str">
        <f>HYPERLINK("http://www.worldcat.org/oclc/13240576","WorldCat Record")</f>
        <v>WorldCat Record</v>
      </c>
      <c r="AW651" s="2" t="s">
        <v>8101</v>
      </c>
      <c r="AX651" s="2" t="s">
        <v>8102</v>
      </c>
      <c r="AY651" s="2" t="s">
        <v>8103</v>
      </c>
      <c r="AZ651" s="2" t="s">
        <v>8103</v>
      </c>
      <c r="BA651" s="2" t="s">
        <v>8104</v>
      </c>
      <c r="BB651" s="2" t="s">
        <v>20</v>
      </c>
      <c r="BD651" s="2" t="s">
        <v>8105</v>
      </c>
      <c r="BE651" s="2" t="s">
        <v>8106</v>
      </c>
      <c r="BF651" s="2" t="s">
        <v>8107</v>
      </c>
    </row>
    <row r="652" spans="1:58" ht="39.75" customHeight="1" x14ac:dyDescent="0.25">
      <c r="A652" s="7" t="s">
        <v>5</v>
      </c>
      <c r="B652" s="1" t="s">
        <v>0</v>
      </c>
      <c r="C652" s="1" t="s">
        <v>1</v>
      </c>
      <c r="D652" s="1" t="s">
        <v>8108</v>
      </c>
      <c r="E652" s="1" t="s">
        <v>8109</v>
      </c>
      <c r="F652" s="1" t="s">
        <v>8110</v>
      </c>
      <c r="H652" s="2" t="s">
        <v>5</v>
      </c>
      <c r="I652" s="2" t="s">
        <v>6</v>
      </c>
      <c r="J652" s="2" t="s">
        <v>5</v>
      </c>
      <c r="K652" s="2" t="s">
        <v>5</v>
      </c>
      <c r="L652" s="2" t="s">
        <v>7</v>
      </c>
      <c r="M652" s="1" t="s">
        <v>8084</v>
      </c>
      <c r="N652" s="1" t="s">
        <v>8111</v>
      </c>
      <c r="O652" s="2" t="s">
        <v>421</v>
      </c>
      <c r="P652" s="1" t="s">
        <v>5911</v>
      </c>
      <c r="Q652" s="2" t="s">
        <v>1151</v>
      </c>
      <c r="R652" s="2" t="s">
        <v>1152</v>
      </c>
      <c r="S652" s="1" t="s">
        <v>8112</v>
      </c>
      <c r="T652" s="2" t="s">
        <v>13</v>
      </c>
      <c r="U652" s="3">
        <v>1</v>
      </c>
      <c r="V652" s="3">
        <v>1</v>
      </c>
      <c r="W652" s="4" t="s">
        <v>8113</v>
      </c>
      <c r="X652" s="4" t="s">
        <v>8113</v>
      </c>
      <c r="Y652" s="4" t="s">
        <v>7946</v>
      </c>
      <c r="Z652" s="4" t="s">
        <v>7946</v>
      </c>
      <c r="AA652" s="3">
        <v>284</v>
      </c>
      <c r="AB652" s="3">
        <v>221</v>
      </c>
      <c r="AC652" s="3">
        <v>242</v>
      </c>
      <c r="AD652" s="3">
        <v>1</v>
      </c>
      <c r="AE652" s="9">
        <v>1</v>
      </c>
      <c r="AF652" s="9">
        <v>13</v>
      </c>
      <c r="AG652" s="9">
        <v>14</v>
      </c>
      <c r="AH652" s="3">
        <v>3</v>
      </c>
      <c r="AI652" s="3">
        <v>4</v>
      </c>
      <c r="AJ652" s="3">
        <v>5</v>
      </c>
      <c r="AK652" s="3">
        <v>6</v>
      </c>
      <c r="AL652" s="3">
        <v>10</v>
      </c>
      <c r="AM652" s="3">
        <v>10</v>
      </c>
      <c r="AN652" s="3">
        <v>0</v>
      </c>
      <c r="AO652" s="3">
        <v>0</v>
      </c>
      <c r="AP652" s="3">
        <v>0</v>
      </c>
      <c r="AQ652" s="3">
        <v>0</v>
      </c>
      <c r="AR652" s="2" t="s">
        <v>5</v>
      </c>
      <c r="AS652" s="2" t="s">
        <v>46</v>
      </c>
      <c r="AT652" s="5" t="str">
        <f>HYPERLINK("http://catalog.hathitrust.org/Record/002934097","HathiTrust Record")</f>
        <v>HathiTrust Record</v>
      </c>
      <c r="AU652" s="5" t="str">
        <f>HYPERLINK("https://creighton-primo.hosted.exlibrisgroup.com/primo-explore/search?tab=default_tab&amp;search_scope=EVERYTHING&amp;vid=01CRU&amp;lang=en_US&amp;offset=0&amp;query=any,contains,991000335439702656","Catalog Record")</f>
        <v>Catalog Record</v>
      </c>
      <c r="AV652" s="5" t="str">
        <f>HYPERLINK("http://www.worldcat.org/oclc/10229584","WorldCat Record")</f>
        <v>WorldCat Record</v>
      </c>
      <c r="AW652" s="2" t="s">
        <v>8114</v>
      </c>
      <c r="AX652" s="2" t="s">
        <v>8115</v>
      </c>
      <c r="AY652" s="2" t="s">
        <v>8116</v>
      </c>
      <c r="AZ652" s="2" t="s">
        <v>8116</v>
      </c>
      <c r="BA652" s="2" t="s">
        <v>8117</v>
      </c>
      <c r="BB652" s="2" t="s">
        <v>20</v>
      </c>
      <c r="BD652" s="2" t="s">
        <v>8118</v>
      </c>
      <c r="BE652" s="2" t="s">
        <v>8119</v>
      </c>
      <c r="BF652" s="2" t="s">
        <v>8120</v>
      </c>
    </row>
    <row r="653" spans="1:58" ht="39.75" customHeight="1" x14ac:dyDescent="0.25">
      <c r="A653" s="7" t="s">
        <v>5</v>
      </c>
      <c r="B653" s="1" t="s">
        <v>0</v>
      </c>
      <c r="C653" s="1" t="s">
        <v>1</v>
      </c>
      <c r="D653" s="1" t="s">
        <v>8121</v>
      </c>
      <c r="E653" s="1" t="s">
        <v>8122</v>
      </c>
      <c r="F653" s="1" t="s">
        <v>8123</v>
      </c>
      <c r="H653" s="2" t="s">
        <v>5</v>
      </c>
      <c r="I653" s="2" t="s">
        <v>6</v>
      </c>
      <c r="J653" s="2" t="s">
        <v>5</v>
      </c>
      <c r="K653" s="2" t="s">
        <v>5</v>
      </c>
      <c r="L653" s="2" t="s">
        <v>7</v>
      </c>
      <c r="M653" s="1" t="s">
        <v>8124</v>
      </c>
      <c r="N653" s="1" t="s">
        <v>8125</v>
      </c>
      <c r="O653" s="2" t="s">
        <v>494</v>
      </c>
      <c r="Q653" s="2" t="s">
        <v>1151</v>
      </c>
      <c r="R653" s="2" t="s">
        <v>1152</v>
      </c>
      <c r="S653" s="1" t="s">
        <v>8126</v>
      </c>
      <c r="T653" s="2" t="s">
        <v>13</v>
      </c>
      <c r="U653" s="3">
        <v>3</v>
      </c>
      <c r="V653" s="3">
        <v>3</v>
      </c>
      <c r="W653" s="4" t="s">
        <v>8127</v>
      </c>
      <c r="X653" s="4" t="s">
        <v>8127</v>
      </c>
      <c r="Y653" s="4" t="s">
        <v>7946</v>
      </c>
      <c r="Z653" s="4" t="s">
        <v>7946</v>
      </c>
      <c r="AA653" s="3">
        <v>108</v>
      </c>
      <c r="AB653" s="3">
        <v>74</v>
      </c>
      <c r="AC653" s="3">
        <v>176</v>
      </c>
      <c r="AD653" s="3">
        <v>1</v>
      </c>
      <c r="AE653" s="9">
        <v>1</v>
      </c>
      <c r="AF653" s="9">
        <v>2</v>
      </c>
      <c r="AG653" s="9">
        <v>4</v>
      </c>
      <c r="AH653" s="3">
        <v>0</v>
      </c>
      <c r="AI653" s="3">
        <v>0</v>
      </c>
      <c r="AJ653" s="3">
        <v>2</v>
      </c>
      <c r="AK653" s="3">
        <v>3</v>
      </c>
      <c r="AL653" s="3">
        <v>1</v>
      </c>
      <c r="AM653" s="3">
        <v>2</v>
      </c>
      <c r="AN653" s="3">
        <v>0</v>
      </c>
      <c r="AO653" s="3">
        <v>0</v>
      </c>
      <c r="AP653" s="3">
        <v>0</v>
      </c>
      <c r="AQ653" s="3">
        <v>0</v>
      </c>
      <c r="AR653" s="2" t="s">
        <v>5</v>
      </c>
      <c r="AS653" s="2" t="s">
        <v>46</v>
      </c>
      <c r="AT653" s="5" t="str">
        <f>HYPERLINK("http://catalog.hathitrust.org/Record/000683703","HathiTrust Record")</f>
        <v>HathiTrust Record</v>
      </c>
      <c r="AU653" s="5" t="str">
        <f>HYPERLINK("https://creighton-primo.hosted.exlibrisgroup.com/primo-explore/search?tab=default_tab&amp;search_scope=EVERYTHING&amp;vid=01CRU&amp;lang=en_US&amp;offset=0&amp;query=any,contains,991004879149702656","Catalog Record")</f>
        <v>Catalog Record</v>
      </c>
      <c r="AV653" s="5" t="str">
        <f>HYPERLINK("http://www.worldcat.org/oclc/5805254","WorldCat Record")</f>
        <v>WorldCat Record</v>
      </c>
      <c r="AW653" s="2" t="s">
        <v>8128</v>
      </c>
      <c r="AX653" s="2" t="s">
        <v>8129</v>
      </c>
      <c r="AY653" s="2" t="s">
        <v>8130</v>
      </c>
      <c r="AZ653" s="2" t="s">
        <v>8130</v>
      </c>
      <c r="BA653" s="2" t="s">
        <v>8131</v>
      </c>
      <c r="BB653" s="2" t="s">
        <v>20</v>
      </c>
      <c r="BD653" s="2" t="s">
        <v>8132</v>
      </c>
      <c r="BE653" s="2" t="s">
        <v>8133</v>
      </c>
      <c r="BF653" s="2" t="s">
        <v>8134</v>
      </c>
    </row>
    <row r="654" spans="1:58" ht="39.75" customHeight="1" x14ac:dyDescent="0.25">
      <c r="A654" s="7" t="s">
        <v>5</v>
      </c>
      <c r="B654" s="1" t="s">
        <v>0</v>
      </c>
      <c r="C654" s="1" t="s">
        <v>1</v>
      </c>
      <c r="D654" s="1" t="s">
        <v>8135</v>
      </c>
      <c r="E654" s="1" t="s">
        <v>8136</v>
      </c>
      <c r="F654" s="1" t="s">
        <v>8137</v>
      </c>
      <c r="H654" s="2" t="s">
        <v>5</v>
      </c>
      <c r="I654" s="2" t="s">
        <v>6</v>
      </c>
      <c r="J654" s="2" t="s">
        <v>5</v>
      </c>
      <c r="K654" s="2" t="s">
        <v>5</v>
      </c>
      <c r="L654" s="2" t="s">
        <v>7</v>
      </c>
      <c r="M654" s="1" t="s">
        <v>8124</v>
      </c>
      <c r="N654" s="1" t="s">
        <v>8138</v>
      </c>
      <c r="O654" s="2" t="s">
        <v>1390</v>
      </c>
      <c r="Q654" s="2" t="s">
        <v>1151</v>
      </c>
      <c r="R654" s="2" t="s">
        <v>1152</v>
      </c>
      <c r="S654" s="1" t="s">
        <v>8139</v>
      </c>
      <c r="T654" s="2" t="s">
        <v>13</v>
      </c>
      <c r="U654" s="3">
        <v>1</v>
      </c>
      <c r="V654" s="3">
        <v>1</v>
      </c>
      <c r="W654" s="4" t="s">
        <v>8140</v>
      </c>
      <c r="X654" s="4" t="s">
        <v>8140</v>
      </c>
      <c r="Y654" s="4" t="s">
        <v>7946</v>
      </c>
      <c r="Z654" s="4" t="s">
        <v>7946</v>
      </c>
      <c r="AA654" s="3">
        <v>56</v>
      </c>
      <c r="AB654" s="3">
        <v>37</v>
      </c>
      <c r="AC654" s="3">
        <v>42</v>
      </c>
      <c r="AD654" s="3">
        <v>1</v>
      </c>
      <c r="AE654" s="9">
        <v>1</v>
      </c>
      <c r="AF654" s="9">
        <v>1</v>
      </c>
      <c r="AG654" s="9">
        <v>1</v>
      </c>
      <c r="AH654" s="3">
        <v>0</v>
      </c>
      <c r="AI654" s="3">
        <v>0</v>
      </c>
      <c r="AJ654" s="3">
        <v>1</v>
      </c>
      <c r="AK654" s="3">
        <v>1</v>
      </c>
      <c r="AL654" s="3">
        <v>1</v>
      </c>
      <c r="AM654" s="3">
        <v>1</v>
      </c>
      <c r="AN654" s="3">
        <v>0</v>
      </c>
      <c r="AO654" s="3">
        <v>0</v>
      </c>
      <c r="AP654" s="3">
        <v>0</v>
      </c>
      <c r="AQ654" s="3">
        <v>0</v>
      </c>
      <c r="AR654" s="2" t="s">
        <v>5</v>
      </c>
      <c r="AS654" s="2" t="s">
        <v>5</v>
      </c>
      <c r="AU654" s="5" t="str">
        <f>HYPERLINK("https://creighton-primo.hosted.exlibrisgroup.com/primo-explore/search?tab=default_tab&amp;search_scope=EVERYTHING&amp;vid=01CRU&amp;lang=en_US&amp;offset=0&amp;query=any,contains,991004928809702656","Catalog Record")</f>
        <v>Catalog Record</v>
      </c>
      <c r="AV654" s="5" t="str">
        <f>HYPERLINK("http://www.worldcat.org/oclc/6089155","WorldCat Record")</f>
        <v>WorldCat Record</v>
      </c>
      <c r="AW654" s="2" t="s">
        <v>8141</v>
      </c>
      <c r="AX654" s="2" t="s">
        <v>8142</v>
      </c>
      <c r="AY654" s="2" t="s">
        <v>8143</v>
      </c>
      <c r="AZ654" s="2" t="s">
        <v>8143</v>
      </c>
      <c r="BA654" s="2" t="s">
        <v>8144</v>
      </c>
      <c r="BB654" s="2" t="s">
        <v>20</v>
      </c>
      <c r="BD654" s="2" t="s">
        <v>8145</v>
      </c>
      <c r="BE654" s="2" t="s">
        <v>8146</v>
      </c>
      <c r="BF654" s="2" t="s">
        <v>8147</v>
      </c>
    </row>
    <row r="655" spans="1:58" ht="39.75" customHeight="1" x14ac:dyDescent="0.25">
      <c r="A655" s="7" t="s">
        <v>5</v>
      </c>
      <c r="B655" s="1" t="s">
        <v>0</v>
      </c>
      <c r="C655" s="1" t="s">
        <v>1</v>
      </c>
      <c r="D655" s="1" t="s">
        <v>8148</v>
      </c>
      <c r="E655" s="1" t="s">
        <v>8149</v>
      </c>
      <c r="F655" s="1" t="s">
        <v>8150</v>
      </c>
      <c r="H655" s="2" t="s">
        <v>5</v>
      </c>
      <c r="I655" s="2" t="s">
        <v>6</v>
      </c>
      <c r="J655" s="2" t="s">
        <v>5</v>
      </c>
      <c r="K655" s="2" t="s">
        <v>5</v>
      </c>
      <c r="L655" s="2" t="s">
        <v>7</v>
      </c>
      <c r="M655" s="1" t="s">
        <v>8151</v>
      </c>
      <c r="N655" s="1" t="s">
        <v>8152</v>
      </c>
      <c r="O655" s="2" t="s">
        <v>392</v>
      </c>
      <c r="P655" s="1" t="s">
        <v>8153</v>
      </c>
      <c r="Q655" s="2" t="s">
        <v>1151</v>
      </c>
      <c r="R655" s="2" t="s">
        <v>234</v>
      </c>
      <c r="S655" s="1" t="s">
        <v>8154</v>
      </c>
      <c r="T655" s="2" t="s">
        <v>13</v>
      </c>
      <c r="U655" s="3">
        <v>1</v>
      </c>
      <c r="V655" s="3">
        <v>1</v>
      </c>
      <c r="W655" s="4" t="s">
        <v>8155</v>
      </c>
      <c r="X655" s="4" t="s">
        <v>8155</v>
      </c>
      <c r="Y655" s="4" t="s">
        <v>7569</v>
      </c>
      <c r="Z655" s="4" t="s">
        <v>7569</v>
      </c>
      <c r="AA655" s="3">
        <v>55</v>
      </c>
      <c r="AB655" s="3">
        <v>41</v>
      </c>
      <c r="AC655" s="3">
        <v>117</v>
      </c>
      <c r="AD655" s="3">
        <v>1</v>
      </c>
      <c r="AE655" s="9">
        <v>1</v>
      </c>
      <c r="AF655" s="9">
        <v>1</v>
      </c>
      <c r="AG655" s="9">
        <v>3</v>
      </c>
      <c r="AH655" s="3">
        <v>0</v>
      </c>
      <c r="AI655" s="3">
        <v>1</v>
      </c>
      <c r="AJ655" s="3">
        <v>1</v>
      </c>
      <c r="AK655" s="3">
        <v>3</v>
      </c>
      <c r="AL655" s="3">
        <v>1</v>
      </c>
      <c r="AM655" s="3">
        <v>1</v>
      </c>
      <c r="AN655" s="3">
        <v>0</v>
      </c>
      <c r="AO655" s="3">
        <v>0</v>
      </c>
      <c r="AP655" s="3">
        <v>0</v>
      </c>
      <c r="AQ655" s="3">
        <v>0</v>
      </c>
      <c r="AR655" s="2" t="s">
        <v>5</v>
      </c>
      <c r="AS655" s="2" t="s">
        <v>46</v>
      </c>
      <c r="AT655" s="5" t="str">
        <f>HYPERLINK("http://catalog.hathitrust.org/Record/001521556","HathiTrust Record")</f>
        <v>HathiTrust Record</v>
      </c>
      <c r="AU655" s="5" t="str">
        <f>HYPERLINK("https://creighton-primo.hosted.exlibrisgroup.com/primo-explore/search?tab=default_tab&amp;search_scope=EVERYTHING&amp;vid=01CRU&amp;lang=en_US&amp;offset=0&amp;query=any,contains,991003847049702656","Catalog Record")</f>
        <v>Catalog Record</v>
      </c>
      <c r="AV655" s="5" t="str">
        <f>HYPERLINK("http://www.worldcat.org/oclc/1632916","WorldCat Record")</f>
        <v>WorldCat Record</v>
      </c>
      <c r="AW655" s="2" t="s">
        <v>8156</v>
      </c>
      <c r="AX655" s="2" t="s">
        <v>8157</v>
      </c>
      <c r="AY655" s="2" t="s">
        <v>8158</v>
      </c>
      <c r="AZ655" s="2" t="s">
        <v>8158</v>
      </c>
      <c r="BA655" s="2" t="s">
        <v>8159</v>
      </c>
      <c r="BB655" s="2" t="s">
        <v>20</v>
      </c>
      <c r="BE655" s="2" t="s">
        <v>8160</v>
      </c>
      <c r="BF655" s="2" t="s">
        <v>8161</v>
      </c>
    </row>
    <row r="656" spans="1:58" ht="39.75" customHeight="1" x14ac:dyDescent="0.25">
      <c r="A656" s="7" t="s">
        <v>5</v>
      </c>
      <c r="B656" s="1" t="s">
        <v>0</v>
      </c>
      <c r="C656" s="1" t="s">
        <v>1</v>
      </c>
      <c r="D656" s="1" t="s">
        <v>8162</v>
      </c>
      <c r="E656" s="1" t="s">
        <v>8163</v>
      </c>
      <c r="F656" s="1" t="s">
        <v>8164</v>
      </c>
      <c r="H656" s="2" t="s">
        <v>5</v>
      </c>
      <c r="I656" s="2" t="s">
        <v>6</v>
      </c>
      <c r="J656" s="2" t="s">
        <v>5</v>
      </c>
      <c r="K656" s="2" t="s">
        <v>5</v>
      </c>
      <c r="L656" s="2" t="s">
        <v>7</v>
      </c>
      <c r="M656" s="1" t="s">
        <v>8165</v>
      </c>
      <c r="N656" s="1" t="s">
        <v>8166</v>
      </c>
      <c r="O656" s="2" t="s">
        <v>108</v>
      </c>
      <c r="Q656" s="2" t="s">
        <v>1151</v>
      </c>
      <c r="R656" s="2" t="s">
        <v>61</v>
      </c>
      <c r="S656" s="1" t="s">
        <v>8167</v>
      </c>
      <c r="T656" s="2" t="s">
        <v>13</v>
      </c>
      <c r="U656" s="3">
        <v>1</v>
      </c>
      <c r="V656" s="3">
        <v>1</v>
      </c>
      <c r="W656" s="4" t="s">
        <v>5032</v>
      </c>
      <c r="X656" s="4" t="s">
        <v>5032</v>
      </c>
      <c r="Y656" s="4" t="s">
        <v>5032</v>
      </c>
      <c r="Z656" s="4" t="s">
        <v>5032</v>
      </c>
      <c r="AA656" s="3">
        <v>159</v>
      </c>
      <c r="AB656" s="3">
        <v>131</v>
      </c>
      <c r="AC656" s="3">
        <v>133</v>
      </c>
      <c r="AD656" s="3">
        <v>2</v>
      </c>
      <c r="AE656" s="9">
        <v>2</v>
      </c>
      <c r="AF656" s="9">
        <v>3</v>
      </c>
      <c r="AG656" s="9">
        <v>3</v>
      </c>
      <c r="AH656" s="3">
        <v>1</v>
      </c>
      <c r="AI656" s="3">
        <v>1</v>
      </c>
      <c r="AJ656" s="3">
        <v>1</v>
      </c>
      <c r="AK656" s="3">
        <v>1</v>
      </c>
      <c r="AL656" s="3">
        <v>1</v>
      </c>
      <c r="AM656" s="3">
        <v>1</v>
      </c>
      <c r="AN656" s="3">
        <v>1</v>
      </c>
      <c r="AO656" s="3">
        <v>1</v>
      </c>
      <c r="AP656" s="3">
        <v>0</v>
      </c>
      <c r="AQ656" s="3">
        <v>0</v>
      </c>
      <c r="AR656" s="2" t="s">
        <v>5</v>
      </c>
      <c r="AS656" s="2" t="s">
        <v>46</v>
      </c>
      <c r="AT656" s="5" t="str">
        <f>HYPERLINK("http://catalog.hathitrust.org/Record/000014456","HathiTrust Record")</f>
        <v>HathiTrust Record</v>
      </c>
      <c r="AU656" s="5" t="str">
        <f>HYPERLINK("https://creighton-primo.hosted.exlibrisgroup.com/primo-explore/search?tab=default_tab&amp;search_scope=EVERYTHING&amp;vid=01CRU&amp;lang=en_US&amp;offset=0&amp;query=any,contains,991004490799702656","Catalog Record")</f>
        <v>Catalog Record</v>
      </c>
      <c r="AV656" s="5" t="str">
        <f>HYPERLINK("http://www.worldcat.org/oclc/30767050","WorldCat Record")</f>
        <v>WorldCat Record</v>
      </c>
      <c r="AW656" s="2" t="s">
        <v>8168</v>
      </c>
      <c r="AX656" s="2" t="s">
        <v>8169</v>
      </c>
      <c r="AY656" s="2" t="s">
        <v>8170</v>
      </c>
      <c r="AZ656" s="2" t="s">
        <v>8170</v>
      </c>
      <c r="BA656" s="2" t="s">
        <v>8171</v>
      </c>
      <c r="BB656" s="2" t="s">
        <v>20</v>
      </c>
      <c r="BE656" s="2" t="s">
        <v>8172</v>
      </c>
      <c r="BF656" s="2" t="s">
        <v>8173</v>
      </c>
    </row>
    <row r="657" spans="1:58" ht="39.75" customHeight="1" x14ac:dyDescent="0.25">
      <c r="A657" s="7" t="s">
        <v>5</v>
      </c>
      <c r="B657" s="1" t="s">
        <v>0</v>
      </c>
      <c r="C657" s="1" t="s">
        <v>1</v>
      </c>
      <c r="D657" s="1" t="s">
        <v>8174</v>
      </c>
      <c r="E657" s="1" t="s">
        <v>8175</v>
      </c>
      <c r="F657" s="1" t="s">
        <v>8176</v>
      </c>
      <c r="H657" s="2" t="s">
        <v>5</v>
      </c>
      <c r="I657" s="2" t="s">
        <v>6</v>
      </c>
      <c r="J657" s="2" t="s">
        <v>5</v>
      </c>
      <c r="K657" s="2" t="s">
        <v>5</v>
      </c>
      <c r="L657" s="2" t="s">
        <v>7</v>
      </c>
      <c r="M657" s="1" t="s">
        <v>8177</v>
      </c>
      <c r="N657" s="1" t="s">
        <v>8178</v>
      </c>
      <c r="O657" s="2" t="s">
        <v>121</v>
      </c>
      <c r="P657" s="1" t="s">
        <v>8153</v>
      </c>
      <c r="Q657" s="2" t="s">
        <v>1151</v>
      </c>
      <c r="R657" s="2" t="s">
        <v>234</v>
      </c>
      <c r="S657" s="1" t="s">
        <v>8179</v>
      </c>
      <c r="T657" s="2" t="s">
        <v>13</v>
      </c>
      <c r="U657" s="3">
        <v>3</v>
      </c>
      <c r="V657" s="3">
        <v>3</v>
      </c>
      <c r="W657" s="4" t="s">
        <v>8180</v>
      </c>
      <c r="X657" s="4" t="s">
        <v>8180</v>
      </c>
      <c r="Y657" s="4" t="s">
        <v>820</v>
      </c>
      <c r="Z657" s="4" t="s">
        <v>820</v>
      </c>
      <c r="AA657" s="3">
        <v>52</v>
      </c>
      <c r="AB657" s="3">
        <v>47</v>
      </c>
      <c r="AC657" s="3">
        <v>965</v>
      </c>
      <c r="AD657" s="3">
        <v>1</v>
      </c>
      <c r="AE657" s="9">
        <v>6</v>
      </c>
      <c r="AF657" s="9">
        <v>0</v>
      </c>
      <c r="AG657" s="9">
        <v>43</v>
      </c>
      <c r="AH657" s="3">
        <v>0</v>
      </c>
      <c r="AI657" s="3">
        <v>18</v>
      </c>
      <c r="AJ657" s="3">
        <v>0</v>
      </c>
      <c r="AK657" s="3">
        <v>9</v>
      </c>
      <c r="AL657" s="3">
        <v>0</v>
      </c>
      <c r="AM657" s="3">
        <v>21</v>
      </c>
      <c r="AN657" s="3">
        <v>0</v>
      </c>
      <c r="AO657" s="3">
        <v>5</v>
      </c>
      <c r="AP657" s="3">
        <v>0</v>
      </c>
      <c r="AQ657" s="3">
        <v>0</v>
      </c>
      <c r="AR657" s="2" t="s">
        <v>5</v>
      </c>
      <c r="AS657" s="2" t="s">
        <v>5</v>
      </c>
      <c r="AU657" s="5" t="str">
        <f>HYPERLINK("https://creighton-primo.hosted.exlibrisgroup.com/primo-explore/search?tab=default_tab&amp;search_scope=EVERYTHING&amp;vid=01CRU&amp;lang=en_US&amp;offset=0&amp;query=any,contains,991001147849702656","Catalog Record")</f>
        <v>Catalog Record</v>
      </c>
      <c r="AV657" s="5" t="str">
        <f>HYPERLINK("http://www.worldcat.org/oclc/185700","WorldCat Record")</f>
        <v>WorldCat Record</v>
      </c>
      <c r="AW657" s="2" t="s">
        <v>8181</v>
      </c>
      <c r="AX657" s="2" t="s">
        <v>8182</v>
      </c>
      <c r="AY657" s="2" t="s">
        <v>8183</v>
      </c>
      <c r="AZ657" s="2" t="s">
        <v>8183</v>
      </c>
      <c r="BA657" s="2" t="s">
        <v>8184</v>
      </c>
      <c r="BB657" s="2" t="s">
        <v>20</v>
      </c>
      <c r="BE657" s="2" t="s">
        <v>8185</v>
      </c>
      <c r="BF657" s="2" t="s">
        <v>8186</v>
      </c>
    </row>
    <row r="658" spans="1:58" ht="39.75" customHeight="1" x14ac:dyDescent="0.25">
      <c r="A658" s="7" t="s">
        <v>5</v>
      </c>
      <c r="B658" s="1" t="s">
        <v>0</v>
      </c>
      <c r="C658" s="1" t="s">
        <v>1</v>
      </c>
      <c r="D658" s="1" t="s">
        <v>8187</v>
      </c>
      <c r="E658" s="1" t="s">
        <v>8188</v>
      </c>
      <c r="F658" s="1" t="s">
        <v>8189</v>
      </c>
      <c r="H658" s="2" t="s">
        <v>5</v>
      </c>
      <c r="I658" s="2" t="s">
        <v>6</v>
      </c>
      <c r="J658" s="2" t="s">
        <v>5</v>
      </c>
      <c r="K658" s="2" t="s">
        <v>5</v>
      </c>
      <c r="L658" s="2" t="s">
        <v>7</v>
      </c>
      <c r="M658" s="1" t="s">
        <v>8190</v>
      </c>
      <c r="N658" s="1" t="s">
        <v>8191</v>
      </c>
      <c r="O658" s="2" t="s">
        <v>554</v>
      </c>
      <c r="Q658" s="2" t="s">
        <v>1151</v>
      </c>
      <c r="R658" s="2" t="s">
        <v>5403</v>
      </c>
      <c r="T658" s="2" t="s">
        <v>13</v>
      </c>
      <c r="U658" s="3">
        <v>1</v>
      </c>
      <c r="V658" s="3">
        <v>1</v>
      </c>
      <c r="W658" s="4" t="s">
        <v>5032</v>
      </c>
      <c r="X658" s="4" t="s">
        <v>5032</v>
      </c>
      <c r="Y658" s="4" t="s">
        <v>5032</v>
      </c>
      <c r="Z658" s="4" t="s">
        <v>5032</v>
      </c>
      <c r="AA658" s="3">
        <v>62</v>
      </c>
      <c r="AB658" s="3">
        <v>41</v>
      </c>
      <c r="AC658" s="3">
        <v>43</v>
      </c>
      <c r="AD658" s="3">
        <v>1</v>
      </c>
      <c r="AE658" s="9">
        <v>1</v>
      </c>
      <c r="AF658" s="9">
        <v>1</v>
      </c>
      <c r="AG658" s="9">
        <v>1</v>
      </c>
      <c r="AH658" s="3">
        <v>0</v>
      </c>
      <c r="AI658" s="3">
        <v>0</v>
      </c>
      <c r="AJ658" s="3">
        <v>1</v>
      </c>
      <c r="AK658" s="3">
        <v>1</v>
      </c>
      <c r="AL658" s="3">
        <v>1</v>
      </c>
      <c r="AM658" s="3">
        <v>1</v>
      </c>
      <c r="AN658" s="3">
        <v>0</v>
      </c>
      <c r="AO658" s="3">
        <v>0</v>
      </c>
      <c r="AP658" s="3">
        <v>0</v>
      </c>
      <c r="AQ658" s="3">
        <v>0</v>
      </c>
      <c r="AR658" s="2" t="s">
        <v>5</v>
      </c>
      <c r="AS658" s="2" t="s">
        <v>46</v>
      </c>
      <c r="AT658" s="5" t="str">
        <f>HYPERLINK("http://catalog.hathitrust.org/Record/006683252","HathiTrust Record")</f>
        <v>HathiTrust Record</v>
      </c>
      <c r="AU658" s="5" t="str">
        <f>HYPERLINK("https://creighton-primo.hosted.exlibrisgroup.com/primo-explore/search?tab=default_tab&amp;search_scope=EVERYTHING&amp;vid=01CRU&amp;lang=en_US&amp;offset=0&amp;query=any,contains,991004490629702656","Catalog Record")</f>
        <v>Catalog Record</v>
      </c>
      <c r="AV658" s="5" t="str">
        <f>HYPERLINK("http://www.worldcat.org/oclc/14951155","WorldCat Record")</f>
        <v>WorldCat Record</v>
      </c>
      <c r="AW658" s="2" t="s">
        <v>8192</v>
      </c>
      <c r="AX658" s="2" t="s">
        <v>8193</v>
      </c>
      <c r="AY658" s="2" t="s">
        <v>8194</v>
      </c>
      <c r="AZ658" s="2" t="s">
        <v>8194</v>
      </c>
      <c r="BA658" s="2" t="s">
        <v>8195</v>
      </c>
      <c r="BB658" s="2" t="s">
        <v>20</v>
      </c>
      <c r="BD658" s="2" t="s">
        <v>8196</v>
      </c>
      <c r="BE658" s="2" t="s">
        <v>8197</v>
      </c>
      <c r="BF658" s="2" t="s">
        <v>8198</v>
      </c>
    </row>
    <row r="659" spans="1:58" ht="39.75" customHeight="1" x14ac:dyDescent="0.25">
      <c r="A659" s="7" t="s">
        <v>5</v>
      </c>
      <c r="B659" s="1" t="s">
        <v>0</v>
      </c>
      <c r="C659" s="1" t="s">
        <v>1</v>
      </c>
      <c r="D659" s="1" t="s">
        <v>8199</v>
      </c>
      <c r="E659" s="1" t="s">
        <v>8200</v>
      </c>
      <c r="F659" s="1" t="s">
        <v>8201</v>
      </c>
      <c r="H659" s="2" t="s">
        <v>5</v>
      </c>
      <c r="I659" s="2" t="s">
        <v>6</v>
      </c>
      <c r="J659" s="2" t="s">
        <v>5</v>
      </c>
      <c r="K659" s="2" t="s">
        <v>5</v>
      </c>
      <c r="L659" s="2" t="s">
        <v>7</v>
      </c>
      <c r="M659" s="1" t="s">
        <v>8202</v>
      </c>
      <c r="N659" s="1" t="s">
        <v>8009</v>
      </c>
      <c r="O659" s="2" t="s">
        <v>248</v>
      </c>
      <c r="Q659" s="2" t="s">
        <v>60</v>
      </c>
      <c r="R659" s="2" t="s">
        <v>61</v>
      </c>
      <c r="S659" s="1" t="s">
        <v>8203</v>
      </c>
      <c r="T659" s="2" t="s">
        <v>13</v>
      </c>
      <c r="U659" s="3">
        <v>1</v>
      </c>
      <c r="V659" s="3">
        <v>1</v>
      </c>
      <c r="W659" s="4" t="s">
        <v>5705</v>
      </c>
      <c r="X659" s="4" t="s">
        <v>5705</v>
      </c>
      <c r="Y659" s="4" t="s">
        <v>8204</v>
      </c>
      <c r="Z659" s="4" t="s">
        <v>8204</v>
      </c>
      <c r="AA659" s="3">
        <v>671</v>
      </c>
      <c r="AB659" s="3">
        <v>600</v>
      </c>
      <c r="AC659" s="3">
        <v>608</v>
      </c>
      <c r="AD659" s="3">
        <v>4</v>
      </c>
      <c r="AE659" s="9">
        <v>4</v>
      </c>
      <c r="AF659" s="9">
        <v>27</v>
      </c>
      <c r="AG659" s="9">
        <v>27</v>
      </c>
      <c r="AH659" s="3">
        <v>11</v>
      </c>
      <c r="AI659" s="3">
        <v>11</v>
      </c>
      <c r="AJ659" s="3">
        <v>6</v>
      </c>
      <c r="AK659" s="3">
        <v>6</v>
      </c>
      <c r="AL659" s="3">
        <v>16</v>
      </c>
      <c r="AM659" s="3">
        <v>16</v>
      </c>
      <c r="AN659" s="3">
        <v>3</v>
      </c>
      <c r="AO659" s="3">
        <v>3</v>
      </c>
      <c r="AP659" s="3">
        <v>0</v>
      </c>
      <c r="AQ659" s="3">
        <v>0</v>
      </c>
      <c r="AR659" s="2" t="s">
        <v>5</v>
      </c>
      <c r="AS659" s="2" t="s">
        <v>46</v>
      </c>
      <c r="AT659" s="5" t="str">
        <f>HYPERLINK("http://catalog.hathitrust.org/Record/001049880","HathiTrust Record")</f>
        <v>HathiTrust Record</v>
      </c>
      <c r="AU659" s="5" t="str">
        <f>HYPERLINK("https://creighton-primo.hosted.exlibrisgroup.com/primo-explore/search?tab=default_tab&amp;search_scope=EVERYTHING&amp;vid=01CRU&amp;lang=en_US&amp;offset=0&amp;query=any,contains,991002195079702656","Catalog Record")</f>
        <v>Catalog Record</v>
      </c>
      <c r="AV659" s="5" t="str">
        <f>HYPERLINK("http://www.worldcat.org/oclc/282672","WorldCat Record")</f>
        <v>WorldCat Record</v>
      </c>
      <c r="AW659" s="2" t="s">
        <v>8205</v>
      </c>
      <c r="AX659" s="2" t="s">
        <v>8206</v>
      </c>
      <c r="AY659" s="2" t="s">
        <v>8207</v>
      </c>
      <c r="AZ659" s="2" t="s">
        <v>8207</v>
      </c>
      <c r="BA659" s="2" t="s">
        <v>8208</v>
      </c>
      <c r="BB659" s="2" t="s">
        <v>20</v>
      </c>
      <c r="BE659" s="2" t="s">
        <v>8209</v>
      </c>
      <c r="BF659" s="2" t="s">
        <v>8210</v>
      </c>
    </row>
    <row r="660" spans="1:58" ht="39.75" customHeight="1" x14ac:dyDescent="0.25">
      <c r="A660" s="7" t="s">
        <v>5</v>
      </c>
      <c r="B660" s="1" t="s">
        <v>0</v>
      </c>
      <c r="C660" s="1" t="s">
        <v>1</v>
      </c>
      <c r="D660" s="1" t="s">
        <v>8211</v>
      </c>
      <c r="E660" s="1" t="s">
        <v>8212</v>
      </c>
      <c r="F660" s="1" t="s">
        <v>8213</v>
      </c>
      <c r="H660" s="2" t="s">
        <v>5</v>
      </c>
      <c r="I660" s="2" t="s">
        <v>6</v>
      </c>
      <c r="J660" s="2" t="s">
        <v>5</v>
      </c>
      <c r="K660" s="2" t="s">
        <v>5</v>
      </c>
      <c r="L660" s="2" t="s">
        <v>7</v>
      </c>
      <c r="M660" s="1" t="s">
        <v>8214</v>
      </c>
      <c r="N660" s="1" t="s">
        <v>8215</v>
      </c>
      <c r="O660" s="2" t="s">
        <v>494</v>
      </c>
      <c r="P660" s="1" t="s">
        <v>2908</v>
      </c>
      <c r="Q660" s="2" t="s">
        <v>1151</v>
      </c>
      <c r="R660" s="2" t="s">
        <v>1152</v>
      </c>
      <c r="S660" s="1" t="s">
        <v>8216</v>
      </c>
      <c r="T660" s="2" t="s">
        <v>13</v>
      </c>
      <c r="U660" s="3">
        <v>0</v>
      </c>
      <c r="V660" s="3">
        <v>0</v>
      </c>
      <c r="W660" s="4" t="s">
        <v>7746</v>
      </c>
      <c r="X660" s="4" t="s">
        <v>7746</v>
      </c>
      <c r="Y660" s="4" t="s">
        <v>8217</v>
      </c>
      <c r="Z660" s="4" t="s">
        <v>8217</v>
      </c>
      <c r="AA660" s="3">
        <v>23</v>
      </c>
      <c r="AB660" s="3">
        <v>19</v>
      </c>
      <c r="AC660" s="3">
        <v>77</v>
      </c>
      <c r="AD660" s="3">
        <v>1</v>
      </c>
      <c r="AE660" s="9">
        <v>1</v>
      </c>
      <c r="AF660" s="9">
        <v>0</v>
      </c>
      <c r="AG660" s="9">
        <v>2</v>
      </c>
      <c r="AH660" s="3">
        <v>0</v>
      </c>
      <c r="AI660" s="3">
        <v>1</v>
      </c>
      <c r="AJ660" s="3">
        <v>0</v>
      </c>
      <c r="AK660" s="3">
        <v>1</v>
      </c>
      <c r="AL660" s="3">
        <v>0</v>
      </c>
      <c r="AM660" s="3">
        <v>1</v>
      </c>
      <c r="AN660" s="3">
        <v>0</v>
      </c>
      <c r="AO660" s="3">
        <v>0</v>
      </c>
      <c r="AP660" s="3">
        <v>0</v>
      </c>
      <c r="AQ660" s="3">
        <v>0</v>
      </c>
      <c r="AR660" s="2" t="s">
        <v>5</v>
      </c>
      <c r="AS660" s="2" t="s">
        <v>5</v>
      </c>
      <c r="AU660" s="5" t="str">
        <f>HYPERLINK("https://creighton-primo.hosted.exlibrisgroup.com/primo-explore/search?tab=default_tab&amp;search_scope=EVERYTHING&amp;vid=01CRU&amp;lang=en_US&amp;offset=0&amp;query=any,contains,991004698129702656","Catalog Record")</f>
        <v>Catalog Record</v>
      </c>
      <c r="AV660" s="5" t="str">
        <f>HYPERLINK("http://www.worldcat.org/oclc/4654133","WorldCat Record")</f>
        <v>WorldCat Record</v>
      </c>
      <c r="AW660" s="2" t="s">
        <v>8218</v>
      </c>
      <c r="AX660" s="2" t="s">
        <v>8219</v>
      </c>
      <c r="AY660" s="2" t="s">
        <v>8220</v>
      </c>
      <c r="AZ660" s="2" t="s">
        <v>8220</v>
      </c>
      <c r="BA660" s="2" t="s">
        <v>8221</v>
      </c>
      <c r="BB660" s="2" t="s">
        <v>20</v>
      </c>
      <c r="BD660" s="2" t="s">
        <v>8222</v>
      </c>
      <c r="BE660" s="2" t="s">
        <v>8223</v>
      </c>
      <c r="BF660" s="2" t="s">
        <v>8224</v>
      </c>
    </row>
    <row r="661" spans="1:58" ht="39.75" customHeight="1" x14ac:dyDescent="0.25">
      <c r="A661" s="7" t="s">
        <v>5</v>
      </c>
      <c r="B661" s="1" t="s">
        <v>0</v>
      </c>
      <c r="C661" s="1" t="s">
        <v>1</v>
      </c>
      <c r="D661" s="1" t="s">
        <v>8225</v>
      </c>
      <c r="E661" s="1" t="s">
        <v>8226</v>
      </c>
      <c r="F661" s="1" t="s">
        <v>8227</v>
      </c>
      <c r="H661" s="2" t="s">
        <v>5</v>
      </c>
      <c r="I661" s="2" t="s">
        <v>6</v>
      </c>
      <c r="J661" s="2" t="s">
        <v>5</v>
      </c>
      <c r="K661" s="2" t="s">
        <v>5</v>
      </c>
      <c r="L661" s="2" t="s">
        <v>7</v>
      </c>
      <c r="M661" s="1" t="s">
        <v>8214</v>
      </c>
      <c r="N661" s="1" t="s">
        <v>8228</v>
      </c>
      <c r="O661" s="2" t="s">
        <v>569</v>
      </c>
      <c r="Q661" s="2" t="s">
        <v>1151</v>
      </c>
      <c r="R661" s="2" t="s">
        <v>1152</v>
      </c>
      <c r="S661" s="1" t="s">
        <v>8229</v>
      </c>
      <c r="T661" s="2" t="s">
        <v>13</v>
      </c>
      <c r="U661" s="3">
        <v>1</v>
      </c>
      <c r="V661" s="3">
        <v>1</v>
      </c>
      <c r="W661" s="4" t="s">
        <v>8230</v>
      </c>
      <c r="X661" s="4" t="s">
        <v>8230</v>
      </c>
      <c r="Y661" s="4" t="s">
        <v>8230</v>
      </c>
      <c r="Z661" s="4" t="s">
        <v>8230</v>
      </c>
      <c r="AA661" s="3">
        <v>89</v>
      </c>
      <c r="AB661" s="3">
        <v>63</v>
      </c>
      <c r="AC661" s="3">
        <v>344</v>
      </c>
      <c r="AD661" s="3">
        <v>1</v>
      </c>
      <c r="AE661" s="9">
        <v>4</v>
      </c>
      <c r="AF661" s="9">
        <v>1</v>
      </c>
      <c r="AG661" s="9">
        <v>14</v>
      </c>
      <c r="AH661" s="3">
        <v>1</v>
      </c>
      <c r="AI661" s="3">
        <v>5</v>
      </c>
      <c r="AJ661" s="3">
        <v>1</v>
      </c>
      <c r="AK661" s="3">
        <v>4</v>
      </c>
      <c r="AL661" s="3">
        <v>0</v>
      </c>
      <c r="AM661" s="3">
        <v>6</v>
      </c>
      <c r="AN661" s="3">
        <v>0</v>
      </c>
      <c r="AO661" s="3">
        <v>3</v>
      </c>
      <c r="AP661" s="3">
        <v>0</v>
      </c>
      <c r="AQ661" s="3">
        <v>0</v>
      </c>
      <c r="AR661" s="2" t="s">
        <v>5</v>
      </c>
      <c r="AS661" s="2" t="s">
        <v>46</v>
      </c>
      <c r="AT661" s="5" t="str">
        <f>HYPERLINK("http://catalog.hathitrust.org/Record/004011411","HathiTrust Record")</f>
        <v>HathiTrust Record</v>
      </c>
      <c r="AU661" s="5" t="str">
        <f>HYPERLINK("https://creighton-primo.hosted.exlibrisgroup.com/primo-explore/search?tab=default_tab&amp;search_scope=EVERYTHING&amp;vid=01CRU&amp;lang=en_US&amp;offset=0&amp;query=any,contains,991003253509702656","Catalog Record")</f>
        <v>Catalog Record</v>
      </c>
      <c r="AV661" s="5" t="str">
        <f>HYPERLINK("http://www.worldcat.org/oclc/40162785","WorldCat Record")</f>
        <v>WorldCat Record</v>
      </c>
      <c r="AW661" s="2" t="s">
        <v>8231</v>
      </c>
      <c r="AX661" s="2" t="s">
        <v>8232</v>
      </c>
      <c r="AY661" s="2" t="s">
        <v>8233</v>
      </c>
      <c r="AZ661" s="2" t="s">
        <v>8233</v>
      </c>
      <c r="BA661" s="2" t="s">
        <v>8234</v>
      </c>
      <c r="BB661" s="2" t="s">
        <v>20</v>
      </c>
      <c r="BD661" s="2" t="s">
        <v>8235</v>
      </c>
      <c r="BE661" s="2" t="s">
        <v>8236</v>
      </c>
      <c r="BF661" s="2" t="s">
        <v>8237</v>
      </c>
    </row>
    <row r="662" spans="1:58" ht="39.75" customHeight="1" x14ac:dyDescent="0.25">
      <c r="A662" s="7" t="s">
        <v>5</v>
      </c>
      <c r="B662" s="1" t="s">
        <v>0</v>
      </c>
      <c r="C662" s="1" t="s">
        <v>1</v>
      </c>
      <c r="D662" s="1" t="s">
        <v>8238</v>
      </c>
      <c r="E662" s="1" t="s">
        <v>8239</v>
      </c>
      <c r="F662" s="1" t="s">
        <v>8240</v>
      </c>
      <c r="H662" s="2" t="s">
        <v>5</v>
      </c>
      <c r="I662" s="2" t="s">
        <v>6</v>
      </c>
      <c r="J662" s="2" t="s">
        <v>5</v>
      </c>
      <c r="K662" s="2" t="s">
        <v>5</v>
      </c>
      <c r="L662" s="2" t="s">
        <v>7</v>
      </c>
      <c r="M662" s="1" t="s">
        <v>8241</v>
      </c>
      <c r="N662" s="1" t="s">
        <v>8242</v>
      </c>
      <c r="O662" s="2" t="s">
        <v>392</v>
      </c>
      <c r="Q662" s="2" t="s">
        <v>1151</v>
      </c>
      <c r="R662" s="2" t="s">
        <v>1152</v>
      </c>
      <c r="S662" s="1" t="s">
        <v>8243</v>
      </c>
      <c r="T662" s="2" t="s">
        <v>13</v>
      </c>
      <c r="U662" s="3">
        <v>2</v>
      </c>
      <c r="V662" s="3">
        <v>2</v>
      </c>
      <c r="W662" s="4" t="s">
        <v>8244</v>
      </c>
      <c r="X662" s="4" t="s">
        <v>8244</v>
      </c>
      <c r="Y662" s="4" t="s">
        <v>820</v>
      </c>
      <c r="Z662" s="4" t="s">
        <v>820</v>
      </c>
      <c r="AA662" s="3">
        <v>277</v>
      </c>
      <c r="AB662" s="3">
        <v>255</v>
      </c>
      <c r="AC662" s="3">
        <v>397</v>
      </c>
      <c r="AD662" s="3">
        <v>1</v>
      </c>
      <c r="AE662" s="9">
        <v>5</v>
      </c>
      <c r="AF662" s="9">
        <v>16</v>
      </c>
      <c r="AG662" s="9">
        <v>25</v>
      </c>
      <c r="AH662" s="3">
        <v>4</v>
      </c>
      <c r="AI662" s="3">
        <v>7</v>
      </c>
      <c r="AJ662" s="3">
        <v>6</v>
      </c>
      <c r="AK662" s="3">
        <v>8</v>
      </c>
      <c r="AL662" s="3">
        <v>11</v>
      </c>
      <c r="AM662" s="3">
        <v>14</v>
      </c>
      <c r="AN662" s="3">
        <v>0</v>
      </c>
      <c r="AO662" s="3">
        <v>4</v>
      </c>
      <c r="AP662" s="3">
        <v>0</v>
      </c>
      <c r="AQ662" s="3">
        <v>0</v>
      </c>
      <c r="AR662" s="2" t="s">
        <v>5</v>
      </c>
      <c r="AS662" s="2" t="s">
        <v>5</v>
      </c>
      <c r="AU662" s="5" t="str">
        <f>HYPERLINK("https://creighton-primo.hosted.exlibrisgroup.com/primo-explore/search?tab=default_tab&amp;search_scope=EVERYTHING&amp;vid=01CRU&amp;lang=en_US&amp;offset=0&amp;query=any,contains,991003417849702656","Catalog Record")</f>
        <v>Catalog Record</v>
      </c>
      <c r="AV662" s="5" t="str">
        <f>HYPERLINK("http://www.worldcat.org/oclc/959362","WorldCat Record")</f>
        <v>WorldCat Record</v>
      </c>
      <c r="AW662" s="2" t="s">
        <v>8245</v>
      </c>
      <c r="AX662" s="2" t="s">
        <v>8246</v>
      </c>
      <c r="AY662" s="2" t="s">
        <v>8247</v>
      </c>
      <c r="AZ662" s="2" t="s">
        <v>8247</v>
      </c>
      <c r="BA662" s="2" t="s">
        <v>8248</v>
      </c>
      <c r="BB662" s="2" t="s">
        <v>20</v>
      </c>
      <c r="BD662" s="2" t="s">
        <v>8249</v>
      </c>
      <c r="BE662" s="2" t="s">
        <v>8250</v>
      </c>
      <c r="BF662" s="2" t="s">
        <v>8251</v>
      </c>
    </row>
    <row r="663" spans="1:58" ht="39.75" customHeight="1" x14ac:dyDescent="0.25">
      <c r="A663" s="7" t="s">
        <v>5</v>
      </c>
      <c r="B663" s="1" t="s">
        <v>0</v>
      </c>
      <c r="C663" s="1" t="s">
        <v>1</v>
      </c>
      <c r="D663" s="1" t="s">
        <v>8252</v>
      </c>
      <c r="E663" s="1" t="s">
        <v>8253</v>
      </c>
      <c r="F663" s="1" t="s">
        <v>8254</v>
      </c>
      <c r="H663" s="2" t="s">
        <v>5</v>
      </c>
      <c r="I663" s="2" t="s">
        <v>6</v>
      </c>
      <c r="J663" s="2" t="s">
        <v>5</v>
      </c>
      <c r="K663" s="2" t="s">
        <v>5</v>
      </c>
      <c r="L663" s="2" t="s">
        <v>7</v>
      </c>
      <c r="M663" s="1" t="s">
        <v>8255</v>
      </c>
      <c r="N663" s="1" t="s">
        <v>8256</v>
      </c>
      <c r="O663" s="2" t="s">
        <v>392</v>
      </c>
      <c r="Q663" s="2" t="s">
        <v>60</v>
      </c>
      <c r="R663" s="2" t="s">
        <v>61</v>
      </c>
      <c r="S663" s="1" t="s">
        <v>8257</v>
      </c>
      <c r="T663" s="2" t="s">
        <v>13</v>
      </c>
      <c r="U663" s="3">
        <v>1</v>
      </c>
      <c r="V663" s="3">
        <v>1</v>
      </c>
      <c r="W663" s="4" t="s">
        <v>8244</v>
      </c>
      <c r="X663" s="4" t="s">
        <v>8244</v>
      </c>
      <c r="Y663" s="4" t="s">
        <v>8258</v>
      </c>
      <c r="Z663" s="4" t="s">
        <v>8258</v>
      </c>
      <c r="AA663" s="3">
        <v>692</v>
      </c>
      <c r="AB663" s="3">
        <v>611</v>
      </c>
      <c r="AC663" s="3">
        <v>618</v>
      </c>
      <c r="AD663" s="3">
        <v>4</v>
      </c>
      <c r="AE663" s="9">
        <v>4</v>
      </c>
      <c r="AF663" s="9">
        <v>30</v>
      </c>
      <c r="AG663" s="9">
        <v>30</v>
      </c>
      <c r="AH663" s="3">
        <v>11</v>
      </c>
      <c r="AI663" s="3">
        <v>11</v>
      </c>
      <c r="AJ663" s="3">
        <v>7</v>
      </c>
      <c r="AK663" s="3">
        <v>7</v>
      </c>
      <c r="AL663" s="3">
        <v>17</v>
      </c>
      <c r="AM663" s="3">
        <v>17</v>
      </c>
      <c r="AN663" s="3">
        <v>3</v>
      </c>
      <c r="AO663" s="3">
        <v>3</v>
      </c>
      <c r="AP663" s="3">
        <v>0</v>
      </c>
      <c r="AQ663" s="3">
        <v>0</v>
      </c>
      <c r="AR663" s="2" t="s">
        <v>5</v>
      </c>
      <c r="AS663" s="2" t="s">
        <v>46</v>
      </c>
      <c r="AT663" s="5" t="str">
        <f>HYPERLINK("http://catalog.hathitrust.org/Record/001050215","HathiTrust Record")</f>
        <v>HathiTrust Record</v>
      </c>
      <c r="AU663" s="5" t="str">
        <f>HYPERLINK("https://creighton-primo.hosted.exlibrisgroup.com/primo-explore/search?tab=default_tab&amp;search_scope=EVERYTHING&amp;vid=01CRU&amp;lang=en_US&amp;offset=0&amp;query=any,contains,991003148799702656","Catalog Record")</f>
        <v>Catalog Record</v>
      </c>
      <c r="AV663" s="5" t="str">
        <f>HYPERLINK("http://www.worldcat.org/oclc/688651","WorldCat Record")</f>
        <v>WorldCat Record</v>
      </c>
      <c r="AW663" s="2" t="s">
        <v>8259</v>
      </c>
      <c r="AX663" s="2" t="s">
        <v>8260</v>
      </c>
      <c r="AY663" s="2" t="s">
        <v>8261</v>
      </c>
      <c r="AZ663" s="2" t="s">
        <v>8261</v>
      </c>
      <c r="BA663" s="2" t="s">
        <v>8262</v>
      </c>
      <c r="BB663" s="2" t="s">
        <v>20</v>
      </c>
      <c r="BE663" s="2" t="s">
        <v>8263</v>
      </c>
      <c r="BF663" s="2" t="s">
        <v>8264</v>
      </c>
    </row>
    <row r="664" spans="1:58" ht="39.75" customHeight="1" x14ac:dyDescent="0.25">
      <c r="A664" s="7" t="s">
        <v>5</v>
      </c>
      <c r="B664" s="1" t="s">
        <v>0</v>
      </c>
      <c r="C664" s="1" t="s">
        <v>1</v>
      </c>
      <c r="D664" s="1" t="s">
        <v>8265</v>
      </c>
      <c r="E664" s="1" t="s">
        <v>8266</v>
      </c>
      <c r="F664" s="1" t="s">
        <v>8267</v>
      </c>
      <c r="H664" s="2" t="s">
        <v>5</v>
      </c>
      <c r="I664" s="2" t="s">
        <v>6</v>
      </c>
      <c r="J664" s="2" t="s">
        <v>5</v>
      </c>
      <c r="K664" s="2" t="s">
        <v>5</v>
      </c>
      <c r="L664" s="2" t="s">
        <v>7</v>
      </c>
      <c r="M664" s="1" t="s">
        <v>8268</v>
      </c>
      <c r="N664" s="1" t="s">
        <v>8269</v>
      </c>
      <c r="O664" s="2" t="s">
        <v>2859</v>
      </c>
      <c r="P664" s="1" t="s">
        <v>5911</v>
      </c>
      <c r="Q664" s="2" t="s">
        <v>1151</v>
      </c>
      <c r="R664" s="2" t="s">
        <v>1152</v>
      </c>
      <c r="S664" s="1" t="s">
        <v>8270</v>
      </c>
      <c r="T664" s="2" t="s">
        <v>13</v>
      </c>
      <c r="U664" s="3">
        <v>3</v>
      </c>
      <c r="V664" s="3">
        <v>3</v>
      </c>
      <c r="W664" s="4" t="s">
        <v>7619</v>
      </c>
      <c r="X664" s="4" t="s">
        <v>7619</v>
      </c>
      <c r="Y664" s="4" t="s">
        <v>6146</v>
      </c>
      <c r="Z664" s="4" t="s">
        <v>6146</v>
      </c>
      <c r="AA664" s="3">
        <v>99</v>
      </c>
      <c r="AB664" s="3">
        <v>72</v>
      </c>
      <c r="AC664" s="3">
        <v>79</v>
      </c>
      <c r="AD664" s="3">
        <v>1</v>
      </c>
      <c r="AE664" s="9">
        <v>1</v>
      </c>
      <c r="AF664" s="9">
        <v>1</v>
      </c>
      <c r="AG664" s="9">
        <v>1</v>
      </c>
      <c r="AH664" s="3">
        <v>0</v>
      </c>
      <c r="AI664" s="3">
        <v>0</v>
      </c>
      <c r="AJ664" s="3">
        <v>1</v>
      </c>
      <c r="AK664" s="3">
        <v>1</v>
      </c>
      <c r="AL664" s="3">
        <v>0</v>
      </c>
      <c r="AM664" s="3">
        <v>0</v>
      </c>
      <c r="AN664" s="3">
        <v>0</v>
      </c>
      <c r="AO664" s="3">
        <v>0</v>
      </c>
      <c r="AP664" s="3">
        <v>0</v>
      </c>
      <c r="AQ664" s="3">
        <v>0</v>
      </c>
      <c r="AR664" s="2" t="s">
        <v>5</v>
      </c>
      <c r="AS664" s="2" t="s">
        <v>46</v>
      </c>
      <c r="AT664" s="5" t="str">
        <f>HYPERLINK("http://catalog.hathitrust.org/Record/000567543","HathiTrust Record")</f>
        <v>HathiTrust Record</v>
      </c>
      <c r="AU664" s="5" t="str">
        <f>HYPERLINK("https://creighton-primo.hosted.exlibrisgroup.com/primo-explore/search?tab=default_tab&amp;search_scope=EVERYTHING&amp;vid=01CRU&amp;lang=en_US&amp;offset=0&amp;query=any,contains,991000587519702656","Catalog Record")</f>
        <v>Catalog Record</v>
      </c>
      <c r="AV664" s="5" t="str">
        <f>HYPERLINK("http://www.worldcat.org/oclc/11774124","WorldCat Record")</f>
        <v>WorldCat Record</v>
      </c>
      <c r="AW664" s="2" t="s">
        <v>8271</v>
      </c>
      <c r="AX664" s="2" t="s">
        <v>8272</v>
      </c>
      <c r="AY664" s="2" t="s">
        <v>8273</v>
      </c>
      <c r="AZ664" s="2" t="s">
        <v>8273</v>
      </c>
      <c r="BA664" s="2" t="s">
        <v>8274</v>
      </c>
      <c r="BB664" s="2" t="s">
        <v>20</v>
      </c>
      <c r="BD664" s="2" t="s">
        <v>8275</v>
      </c>
      <c r="BE664" s="2" t="s">
        <v>8276</v>
      </c>
      <c r="BF664" s="2" t="s">
        <v>8277</v>
      </c>
    </row>
    <row r="665" spans="1:58" ht="39.75" customHeight="1" x14ac:dyDescent="0.25">
      <c r="A665" s="7" t="s">
        <v>5</v>
      </c>
      <c r="B665" s="1" t="s">
        <v>0</v>
      </c>
      <c r="C665" s="1" t="s">
        <v>1</v>
      </c>
      <c r="D665" s="1" t="s">
        <v>8278</v>
      </c>
      <c r="E665" s="1" t="s">
        <v>8279</v>
      </c>
      <c r="F665" s="1" t="s">
        <v>8280</v>
      </c>
      <c r="H665" s="2" t="s">
        <v>5</v>
      </c>
      <c r="I665" s="2" t="s">
        <v>6</v>
      </c>
      <c r="J665" s="2" t="s">
        <v>5</v>
      </c>
      <c r="K665" s="2" t="s">
        <v>5</v>
      </c>
      <c r="L665" s="2" t="s">
        <v>7</v>
      </c>
      <c r="M665" s="1" t="s">
        <v>8281</v>
      </c>
      <c r="N665" s="1" t="s">
        <v>8282</v>
      </c>
      <c r="O665" s="2" t="s">
        <v>639</v>
      </c>
      <c r="Q665" s="2" t="s">
        <v>1151</v>
      </c>
      <c r="R665" s="2" t="s">
        <v>1152</v>
      </c>
      <c r="S665" s="1" t="s">
        <v>8283</v>
      </c>
      <c r="T665" s="2" t="s">
        <v>13</v>
      </c>
      <c r="U665" s="3">
        <v>1</v>
      </c>
      <c r="V665" s="3">
        <v>1</v>
      </c>
      <c r="W665" s="4" t="s">
        <v>8284</v>
      </c>
      <c r="X665" s="4" t="s">
        <v>8284</v>
      </c>
      <c r="Y665" s="4" t="s">
        <v>8284</v>
      </c>
      <c r="Z665" s="4" t="s">
        <v>8284</v>
      </c>
      <c r="AA665" s="3">
        <v>4</v>
      </c>
      <c r="AB665" s="3">
        <v>3</v>
      </c>
      <c r="AC665" s="3">
        <v>4</v>
      </c>
      <c r="AD665" s="3">
        <v>1</v>
      </c>
      <c r="AE665" s="9">
        <v>1</v>
      </c>
      <c r="AF665" s="9">
        <v>0</v>
      </c>
      <c r="AG665" s="9">
        <v>0</v>
      </c>
      <c r="AH665" s="3">
        <v>0</v>
      </c>
      <c r="AI665" s="3">
        <v>0</v>
      </c>
      <c r="AJ665" s="3">
        <v>0</v>
      </c>
      <c r="AK665" s="3">
        <v>0</v>
      </c>
      <c r="AL665" s="3">
        <v>0</v>
      </c>
      <c r="AM665" s="3">
        <v>0</v>
      </c>
      <c r="AN665" s="3">
        <v>0</v>
      </c>
      <c r="AO665" s="3">
        <v>0</v>
      </c>
      <c r="AP665" s="3">
        <v>0</v>
      </c>
      <c r="AQ665" s="3">
        <v>0</v>
      </c>
      <c r="AR665" s="2" t="s">
        <v>5</v>
      </c>
      <c r="AS665" s="2" t="s">
        <v>46</v>
      </c>
      <c r="AT665" s="5" t="str">
        <f>HYPERLINK("http://catalog.hathitrust.org/Record/102595101","HathiTrust Record")</f>
        <v>HathiTrust Record</v>
      </c>
      <c r="AU665" s="5" t="str">
        <f>HYPERLINK("https://creighton-primo.hosted.exlibrisgroup.com/primo-explore/search?tab=default_tab&amp;search_scope=EVERYTHING&amp;vid=01CRU&amp;lang=en_US&amp;offset=0&amp;query=any,contains,991003749979702656","Catalog Record")</f>
        <v>Catalog Record</v>
      </c>
      <c r="AV665" s="5" t="str">
        <f>HYPERLINK("http://www.worldcat.org/oclc/31159423","WorldCat Record")</f>
        <v>WorldCat Record</v>
      </c>
      <c r="AW665" s="2" t="s">
        <v>8285</v>
      </c>
      <c r="AX665" s="2" t="s">
        <v>8286</v>
      </c>
      <c r="AY665" s="2" t="s">
        <v>8287</v>
      </c>
      <c r="AZ665" s="2" t="s">
        <v>8287</v>
      </c>
      <c r="BA665" s="2" t="s">
        <v>8288</v>
      </c>
      <c r="BB665" s="2" t="s">
        <v>20</v>
      </c>
      <c r="BD665" s="2" t="s">
        <v>8289</v>
      </c>
      <c r="BE665" s="2" t="s">
        <v>8290</v>
      </c>
      <c r="BF665" s="2" t="s">
        <v>8291</v>
      </c>
    </row>
    <row r="666" spans="1:58" ht="39.75" customHeight="1" x14ac:dyDescent="0.25">
      <c r="A666" s="7" t="s">
        <v>5</v>
      </c>
      <c r="B666" s="1" t="s">
        <v>0</v>
      </c>
      <c r="C666" s="1" t="s">
        <v>1</v>
      </c>
      <c r="D666" s="1" t="s">
        <v>8292</v>
      </c>
      <c r="E666" s="1" t="s">
        <v>8293</v>
      </c>
      <c r="F666" s="1" t="s">
        <v>8294</v>
      </c>
      <c r="H666" s="2" t="s">
        <v>5</v>
      </c>
      <c r="I666" s="2" t="s">
        <v>6</v>
      </c>
      <c r="J666" s="2" t="s">
        <v>5</v>
      </c>
      <c r="K666" s="2" t="s">
        <v>5</v>
      </c>
      <c r="L666" s="2" t="s">
        <v>7</v>
      </c>
      <c r="N666" s="1" t="s">
        <v>8295</v>
      </c>
      <c r="O666" s="2" t="s">
        <v>2859</v>
      </c>
      <c r="P666" s="1" t="s">
        <v>8296</v>
      </c>
      <c r="Q666" s="2" t="s">
        <v>1151</v>
      </c>
      <c r="R666" s="2" t="s">
        <v>1152</v>
      </c>
      <c r="S666" s="1" t="s">
        <v>8297</v>
      </c>
      <c r="T666" s="2" t="s">
        <v>13</v>
      </c>
      <c r="U666" s="3">
        <v>2</v>
      </c>
      <c r="V666" s="3">
        <v>2</v>
      </c>
      <c r="W666" s="4" t="s">
        <v>8298</v>
      </c>
      <c r="X666" s="4" t="s">
        <v>8298</v>
      </c>
      <c r="Y666" s="4" t="s">
        <v>8204</v>
      </c>
      <c r="Z666" s="4" t="s">
        <v>8204</v>
      </c>
      <c r="AA666" s="3">
        <v>7</v>
      </c>
      <c r="AB666" s="3">
        <v>6</v>
      </c>
      <c r="AC666" s="3">
        <v>47</v>
      </c>
      <c r="AD666" s="3">
        <v>1</v>
      </c>
      <c r="AE666" s="9">
        <v>1</v>
      </c>
      <c r="AF666" s="9">
        <v>0</v>
      </c>
      <c r="AG666" s="9">
        <v>0</v>
      </c>
      <c r="AH666" s="3">
        <v>0</v>
      </c>
      <c r="AI666" s="3">
        <v>0</v>
      </c>
      <c r="AJ666" s="3">
        <v>0</v>
      </c>
      <c r="AK666" s="3">
        <v>0</v>
      </c>
      <c r="AL666" s="3">
        <v>0</v>
      </c>
      <c r="AM666" s="3">
        <v>0</v>
      </c>
      <c r="AN666" s="3">
        <v>0</v>
      </c>
      <c r="AO666" s="3">
        <v>0</v>
      </c>
      <c r="AP666" s="3">
        <v>0</v>
      </c>
      <c r="AQ666" s="3">
        <v>0</v>
      </c>
      <c r="AR666" s="2" t="s">
        <v>5</v>
      </c>
      <c r="AS666" s="2" t="s">
        <v>5</v>
      </c>
      <c r="AU666" s="5" t="str">
        <f>HYPERLINK("https://creighton-primo.hosted.exlibrisgroup.com/primo-explore/search?tab=default_tab&amp;search_scope=EVERYTHING&amp;vid=01CRU&amp;lang=en_US&amp;offset=0&amp;query=any,contains,991000846889702656","Catalog Record")</f>
        <v>Catalog Record</v>
      </c>
      <c r="AV666" s="5" t="str">
        <f>HYPERLINK("http://www.worldcat.org/oclc/13563453","WorldCat Record")</f>
        <v>WorldCat Record</v>
      </c>
      <c r="AW666" s="2" t="s">
        <v>8299</v>
      </c>
      <c r="AX666" s="2" t="s">
        <v>8300</v>
      </c>
      <c r="AY666" s="2" t="s">
        <v>8301</v>
      </c>
      <c r="AZ666" s="2" t="s">
        <v>8301</v>
      </c>
      <c r="BA666" s="2" t="s">
        <v>8302</v>
      </c>
      <c r="BB666" s="2" t="s">
        <v>20</v>
      </c>
      <c r="BD666" s="2" t="s">
        <v>8303</v>
      </c>
      <c r="BE666" s="2" t="s">
        <v>8304</v>
      </c>
      <c r="BF666" s="2" t="s">
        <v>8305</v>
      </c>
    </row>
    <row r="667" spans="1:58" ht="39.75" customHeight="1" x14ac:dyDescent="0.25">
      <c r="A667" s="7" t="s">
        <v>5</v>
      </c>
      <c r="B667" s="1" t="s">
        <v>0</v>
      </c>
      <c r="C667" s="1" t="s">
        <v>1</v>
      </c>
      <c r="D667" s="1" t="s">
        <v>8306</v>
      </c>
      <c r="E667" s="1" t="s">
        <v>8307</v>
      </c>
      <c r="F667" s="1" t="s">
        <v>8308</v>
      </c>
      <c r="H667" s="2" t="s">
        <v>5</v>
      </c>
      <c r="I667" s="2" t="s">
        <v>6</v>
      </c>
      <c r="J667" s="2" t="s">
        <v>5</v>
      </c>
      <c r="K667" s="2" t="s">
        <v>5</v>
      </c>
      <c r="L667" s="2" t="s">
        <v>7</v>
      </c>
      <c r="M667" s="1" t="s">
        <v>8309</v>
      </c>
      <c r="N667" s="1" t="s">
        <v>8310</v>
      </c>
      <c r="O667" s="2" t="s">
        <v>3250</v>
      </c>
      <c r="P667" s="1" t="s">
        <v>2908</v>
      </c>
      <c r="Q667" s="2" t="s">
        <v>1151</v>
      </c>
      <c r="R667" s="2" t="s">
        <v>1152</v>
      </c>
      <c r="T667" s="2" t="s">
        <v>13</v>
      </c>
      <c r="U667" s="3">
        <v>1</v>
      </c>
      <c r="V667" s="3">
        <v>1</v>
      </c>
      <c r="W667" s="4" t="s">
        <v>367</v>
      </c>
      <c r="X667" s="4" t="s">
        <v>367</v>
      </c>
      <c r="Y667" s="4" t="s">
        <v>367</v>
      </c>
      <c r="Z667" s="4" t="s">
        <v>367</v>
      </c>
      <c r="AA667" s="3">
        <v>137</v>
      </c>
      <c r="AB667" s="3">
        <v>100</v>
      </c>
      <c r="AC667" s="3">
        <v>107</v>
      </c>
      <c r="AD667" s="3">
        <v>1</v>
      </c>
      <c r="AE667" s="9">
        <v>1</v>
      </c>
      <c r="AF667" s="9">
        <v>3</v>
      </c>
      <c r="AG667" s="9">
        <v>3</v>
      </c>
      <c r="AH667" s="3">
        <v>1</v>
      </c>
      <c r="AI667" s="3">
        <v>1</v>
      </c>
      <c r="AJ667" s="3">
        <v>2</v>
      </c>
      <c r="AK667" s="3">
        <v>2</v>
      </c>
      <c r="AL667" s="3">
        <v>1</v>
      </c>
      <c r="AM667" s="3">
        <v>1</v>
      </c>
      <c r="AN667" s="3">
        <v>0</v>
      </c>
      <c r="AO667" s="3">
        <v>0</v>
      </c>
      <c r="AP667" s="3">
        <v>0</v>
      </c>
      <c r="AQ667" s="3">
        <v>0</v>
      </c>
      <c r="AR667" s="2" t="s">
        <v>5</v>
      </c>
      <c r="AS667" s="2" t="s">
        <v>46</v>
      </c>
      <c r="AT667" s="5" t="str">
        <f>HYPERLINK("http://catalog.hathitrust.org/Record/003876844","HathiTrust Record")</f>
        <v>HathiTrust Record</v>
      </c>
      <c r="AU667" s="5" t="str">
        <f>HYPERLINK("https://creighton-primo.hosted.exlibrisgroup.com/primo-explore/search?tab=default_tab&amp;search_scope=EVERYTHING&amp;vid=01CRU&amp;lang=en_US&amp;offset=0&amp;query=any,contains,991004378999702656","Catalog Record")</f>
        <v>Catalog Record</v>
      </c>
      <c r="AV667" s="5" t="str">
        <f>HYPERLINK("http://www.worldcat.org/oclc/52819844","WorldCat Record")</f>
        <v>WorldCat Record</v>
      </c>
      <c r="AW667" s="2" t="s">
        <v>8311</v>
      </c>
      <c r="AX667" s="2" t="s">
        <v>8312</v>
      </c>
      <c r="AY667" s="2" t="s">
        <v>8313</v>
      </c>
      <c r="AZ667" s="2" t="s">
        <v>8313</v>
      </c>
      <c r="BA667" s="2" t="s">
        <v>8314</v>
      </c>
      <c r="BB667" s="2" t="s">
        <v>20</v>
      </c>
      <c r="BD667" s="2" t="s">
        <v>8315</v>
      </c>
      <c r="BE667" s="2" t="s">
        <v>8316</v>
      </c>
      <c r="BF667" s="2" t="s">
        <v>8317</v>
      </c>
    </row>
    <row r="668" spans="1:58" ht="39.75" customHeight="1" x14ac:dyDescent="0.25">
      <c r="A668" s="7" t="s">
        <v>5</v>
      </c>
      <c r="B668" s="1" t="s">
        <v>0</v>
      </c>
      <c r="C668" s="1" t="s">
        <v>1</v>
      </c>
      <c r="D668" s="1" t="s">
        <v>8318</v>
      </c>
      <c r="E668" s="1" t="s">
        <v>8319</v>
      </c>
      <c r="F668" s="1" t="s">
        <v>8320</v>
      </c>
      <c r="H668" s="2" t="s">
        <v>5</v>
      </c>
      <c r="I668" s="2" t="s">
        <v>6</v>
      </c>
      <c r="J668" s="2" t="s">
        <v>5</v>
      </c>
      <c r="K668" s="2" t="s">
        <v>5</v>
      </c>
      <c r="L668" s="2" t="s">
        <v>7</v>
      </c>
      <c r="M668" s="1" t="s">
        <v>8321</v>
      </c>
      <c r="N668" s="1" t="s">
        <v>8322</v>
      </c>
      <c r="O668" s="2" t="s">
        <v>421</v>
      </c>
      <c r="P668" s="1" t="s">
        <v>5911</v>
      </c>
      <c r="Q668" s="2" t="s">
        <v>1151</v>
      </c>
      <c r="R668" s="2" t="s">
        <v>1152</v>
      </c>
      <c r="S668" s="1" t="s">
        <v>8323</v>
      </c>
      <c r="T668" s="2" t="s">
        <v>13</v>
      </c>
      <c r="U668" s="3">
        <v>1</v>
      </c>
      <c r="V668" s="3">
        <v>1</v>
      </c>
      <c r="W668" s="4" t="s">
        <v>8324</v>
      </c>
      <c r="X668" s="4" t="s">
        <v>8324</v>
      </c>
      <c r="Y668" s="4" t="s">
        <v>8325</v>
      </c>
      <c r="Z668" s="4" t="s">
        <v>8325</v>
      </c>
      <c r="AA668" s="3">
        <v>82</v>
      </c>
      <c r="AB668" s="3">
        <v>61</v>
      </c>
      <c r="AC668" s="3">
        <v>62</v>
      </c>
      <c r="AD668" s="3">
        <v>1</v>
      </c>
      <c r="AE668" s="9">
        <v>1</v>
      </c>
      <c r="AF668" s="9">
        <v>1</v>
      </c>
      <c r="AG668" s="9">
        <v>1</v>
      </c>
      <c r="AH668" s="3">
        <v>0</v>
      </c>
      <c r="AI668" s="3">
        <v>0</v>
      </c>
      <c r="AJ668" s="3">
        <v>1</v>
      </c>
      <c r="AK668" s="3">
        <v>1</v>
      </c>
      <c r="AL668" s="3">
        <v>0</v>
      </c>
      <c r="AM668" s="3">
        <v>0</v>
      </c>
      <c r="AN668" s="3">
        <v>0</v>
      </c>
      <c r="AO668" s="3">
        <v>0</v>
      </c>
      <c r="AP668" s="3">
        <v>0</v>
      </c>
      <c r="AQ668" s="3">
        <v>0</v>
      </c>
      <c r="AR668" s="2" t="s">
        <v>5</v>
      </c>
      <c r="AS668" s="2" t="s">
        <v>5</v>
      </c>
      <c r="AU668" s="5" t="str">
        <f>HYPERLINK("https://creighton-primo.hosted.exlibrisgroup.com/primo-explore/search?tab=default_tab&amp;search_scope=EVERYTHING&amp;vid=01CRU&amp;lang=en_US&amp;offset=0&amp;query=any,contains,991000453079702656","Catalog Record")</f>
        <v>Catalog Record</v>
      </c>
      <c r="AV668" s="5" t="str">
        <f>HYPERLINK("http://www.worldcat.org/oclc/10908851","WorldCat Record")</f>
        <v>WorldCat Record</v>
      </c>
      <c r="AW668" s="2" t="s">
        <v>8326</v>
      </c>
      <c r="AX668" s="2" t="s">
        <v>8327</v>
      </c>
      <c r="AY668" s="2" t="s">
        <v>8328</v>
      </c>
      <c r="AZ668" s="2" t="s">
        <v>8328</v>
      </c>
      <c r="BA668" s="2" t="s">
        <v>8329</v>
      </c>
      <c r="BB668" s="2" t="s">
        <v>20</v>
      </c>
      <c r="BD668" s="2" t="s">
        <v>8330</v>
      </c>
      <c r="BE668" s="2" t="s">
        <v>8331</v>
      </c>
      <c r="BF668" s="2" t="s">
        <v>8332</v>
      </c>
    </row>
    <row r="669" spans="1:58" ht="39.75" customHeight="1" x14ac:dyDescent="0.25">
      <c r="A669" s="7" t="s">
        <v>5</v>
      </c>
      <c r="B669" s="1" t="s">
        <v>0</v>
      </c>
      <c r="C669" s="1" t="s">
        <v>1</v>
      </c>
      <c r="D669" s="1" t="s">
        <v>8333</v>
      </c>
      <c r="E669" s="1" t="s">
        <v>8334</v>
      </c>
      <c r="F669" s="1" t="s">
        <v>8335</v>
      </c>
      <c r="H669" s="2" t="s">
        <v>5</v>
      </c>
      <c r="I669" s="2" t="s">
        <v>6</v>
      </c>
      <c r="J669" s="2" t="s">
        <v>5</v>
      </c>
      <c r="K669" s="2" t="s">
        <v>5</v>
      </c>
      <c r="L669" s="2" t="s">
        <v>7</v>
      </c>
      <c r="M669" s="1" t="s">
        <v>8336</v>
      </c>
      <c r="N669" s="1" t="s">
        <v>8337</v>
      </c>
      <c r="O669" s="2" t="s">
        <v>2610</v>
      </c>
      <c r="P669" s="1" t="s">
        <v>8338</v>
      </c>
      <c r="Q669" s="2" t="s">
        <v>1151</v>
      </c>
      <c r="R669" s="2" t="s">
        <v>1152</v>
      </c>
      <c r="S669" s="1" t="s">
        <v>8339</v>
      </c>
      <c r="T669" s="2" t="s">
        <v>13</v>
      </c>
      <c r="U669" s="3">
        <v>1</v>
      </c>
      <c r="V669" s="3">
        <v>1</v>
      </c>
      <c r="W669" s="4" t="s">
        <v>8298</v>
      </c>
      <c r="X669" s="4" t="s">
        <v>8298</v>
      </c>
      <c r="Y669" s="4" t="s">
        <v>5115</v>
      </c>
      <c r="Z669" s="4" t="s">
        <v>5115</v>
      </c>
      <c r="AA669" s="3">
        <v>35</v>
      </c>
      <c r="AB669" s="3">
        <v>29</v>
      </c>
      <c r="AC669" s="3">
        <v>181</v>
      </c>
      <c r="AD669" s="3">
        <v>1</v>
      </c>
      <c r="AE669" s="9">
        <v>1</v>
      </c>
      <c r="AF669" s="9">
        <v>1</v>
      </c>
      <c r="AG669" s="9">
        <v>6</v>
      </c>
      <c r="AH669" s="3">
        <v>1</v>
      </c>
      <c r="AI669" s="3">
        <v>5</v>
      </c>
      <c r="AJ669" s="3">
        <v>0</v>
      </c>
      <c r="AK669" s="3">
        <v>1</v>
      </c>
      <c r="AL669" s="3">
        <v>0</v>
      </c>
      <c r="AM669" s="3">
        <v>2</v>
      </c>
      <c r="AN669" s="3">
        <v>0</v>
      </c>
      <c r="AO669" s="3">
        <v>0</v>
      </c>
      <c r="AP669" s="3">
        <v>0</v>
      </c>
      <c r="AQ669" s="3">
        <v>0</v>
      </c>
      <c r="AR669" s="2" t="s">
        <v>5</v>
      </c>
      <c r="AS669" s="2" t="s">
        <v>5</v>
      </c>
      <c r="AU669" s="5" t="str">
        <f>HYPERLINK("https://creighton-primo.hosted.exlibrisgroup.com/primo-explore/search?tab=default_tab&amp;search_scope=EVERYTHING&amp;vid=01CRU&amp;lang=en_US&amp;offset=0&amp;query=any,contains,991003920969702656","Catalog Record")</f>
        <v>Catalog Record</v>
      </c>
      <c r="AV669" s="5" t="str">
        <f>HYPERLINK("http://www.worldcat.org/oclc/1870575","WorldCat Record")</f>
        <v>WorldCat Record</v>
      </c>
      <c r="AW669" s="2" t="s">
        <v>8340</v>
      </c>
      <c r="AX669" s="2" t="s">
        <v>8341</v>
      </c>
      <c r="AY669" s="2" t="s">
        <v>8342</v>
      </c>
      <c r="AZ669" s="2" t="s">
        <v>8342</v>
      </c>
      <c r="BA669" s="2" t="s">
        <v>8343</v>
      </c>
      <c r="BB669" s="2" t="s">
        <v>20</v>
      </c>
      <c r="BD669" s="2" t="s">
        <v>8344</v>
      </c>
      <c r="BE669" s="2" t="s">
        <v>8345</v>
      </c>
      <c r="BF669" s="2" t="s">
        <v>8346</v>
      </c>
    </row>
    <row r="670" spans="1:58" ht="39.75" customHeight="1" x14ac:dyDescent="0.25">
      <c r="A670" s="7" t="s">
        <v>5</v>
      </c>
      <c r="B670" s="1" t="s">
        <v>0</v>
      </c>
      <c r="C670" s="1" t="s">
        <v>1</v>
      </c>
      <c r="D670" s="1" t="s">
        <v>8347</v>
      </c>
      <c r="E670" s="1" t="s">
        <v>8348</v>
      </c>
      <c r="F670" s="1" t="s">
        <v>8349</v>
      </c>
      <c r="H670" s="2" t="s">
        <v>5</v>
      </c>
      <c r="I670" s="2" t="s">
        <v>6</v>
      </c>
      <c r="J670" s="2" t="s">
        <v>5</v>
      </c>
      <c r="K670" s="2" t="s">
        <v>5</v>
      </c>
      <c r="L670" s="2" t="s">
        <v>7</v>
      </c>
      <c r="M670" s="1" t="s">
        <v>8350</v>
      </c>
      <c r="N670" s="1" t="s">
        <v>8351</v>
      </c>
      <c r="O670" s="2" t="s">
        <v>248</v>
      </c>
      <c r="Q670" s="2" t="s">
        <v>1151</v>
      </c>
      <c r="R670" s="2" t="s">
        <v>1152</v>
      </c>
      <c r="T670" s="2" t="s">
        <v>13</v>
      </c>
      <c r="U670" s="3">
        <v>1</v>
      </c>
      <c r="V670" s="3">
        <v>1</v>
      </c>
      <c r="W670" s="4" t="s">
        <v>8352</v>
      </c>
      <c r="X670" s="4" t="s">
        <v>8352</v>
      </c>
      <c r="Y670" s="4" t="s">
        <v>2478</v>
      </c>
      <c r="Z670" s="4" t="s">
        <v>2478</v>
      </c>
      <c r="AA670" s="3">
        <v>71</v>
      </c>
      <c r="AB670" s="3">
        <v>58</v>
      </c>
      <c r="AC670" s="3">
        <v>61</v>
      </c>
      <c r="AD670" s="3">
        <v>1</v>
      </c>
      <c r="AE670" s="9">
        <v>1</v>
      </c>
      <c r="AF670" s="9">
        <v>3</v>
      </c>
      <c r="AG670" s="9">
        <v>3</v>
      </c>
      <c r="AH670" s="3">
        <v>1</v>
      </c>
      <c r="AI670" s="3">
        <v>1</v>
      </c>
      <c r="AJ670" s="3">
        <v>2</v>
      </c>
      <c r="AK670" s="3">
        <v>2</v>
      </c>
      <c r="AL670" s="3">
        <v>2</v>
      </c>
      <c r="AM670" s="3">
        <v>2</v>
      </c>
      <c r="AN670" s="3">
        <v>0</v>
      </c>
      <c r="AO670" s="3">
        <v>0</v>
      </c>
      <c r="AP670" s="3">
        <v>0</v>
      </c>
      <c r="AQ670" s="3">
        <v>0</v>
      </c>
      <c r="AR670" s="2" t="s">
        <v>5</v>
      </c>
      <c r="AS670" s="2" t="s">
        <v>46</v>
      </c>
      <c r="AT670" s="5" t="str">
        <f>HYPERLINK("http://catalog.hathitrust.org/Record/007974595","HathiTrust Record")</f>
        <v>HathiTrust Record</v>
      </c>
      <c r="AU670" s="5" t="str">
        <f>HYPERLINK("https://creighton-primo.hosted.exlibrisgroup.com/primo-explore/search?tab=default_tab&amp;search_scope=EVERYTHING&amp;vid=01CRU&amp;lang=en_US&amp;offset=0&amp;query=any,contains,991003058149702656","Catalog Record")</f>
        <v>Catalog Record</v>
      </c>
      <c r="AV670" s="5" t="str">
        <f>HYPERLINK("http://www.worldcat.org/oclc/616061","WorldCat Record")</f>
        <v>WorldCat Record</v>
      </c>
      <c r="AW670" s="2" t="s">
        <v>8353</v>
      </c>
      <c r="AX670" s="2" t="s">
        <v>8354</v>
      </c>
      <c r="AY670" s="2" t="s">
        <v>8355</v>
      </c>
      <c r="AZ670" s="2" t="s">
        <v>8355</v>
      </c>
      <c r="BA670" s="2" t="s">
        <v>8356</v>
      </c>
      <c r="BB670" s="2" t="s">
        <v>20</v>
      </c>
      <c r="BE670" s="2" t="s">
        <v>8357</v>
      </c>
      <c r="BF670" s="2" t="s">
        <v>8358</v>
      </c>
    </row>
    <row r="671" spans="1:58" ht="39.75" customHeight="1" x14ac:dyDescent="0.25">
      <c r="A671" s="7" t="s">
        <v>5</v>
      </c>
      <c r="B671" s="1" t="s">
        <v>0</v>
      </c>
      <c r="C671" s="1" t="s">
        <v>1</v>
      </c>
      <c r="D671" s="1" t="s">
        <v>8359</v>
      </c>
      <c r="E671" s="1" t="s">
        <v>8360</v>
      </c>
      <c r="F671" s="1" t="s">
        <v>8361</v>
      </c>
      <c r="H671" s="2" t="s">
        <v>5</v>
      </c>
      <c r="I671" s="2" t="s">
        <v>6</v>
      </c>
      <c r="J671" s="2" t="s">
        <v>5</v>
      </c>
      <c r="K671" s="2" t="s">
        <v>5</v>
      </c>
      <c r="L671" s="2" t="s">
        <v>7</v>
      </c>
      <c r="M671" s="1" t="s">
        <v>8362</v>
      </c>
      <c r="N671" s="1" t="s">
        <v>8363</v>
      </c>
      <c r="O671" s="2" t="s">
        <v>248</v>
      </c>
      <c r="P671" s="1" t="s">
        <v>8364</v>
      </c>
      <c r="Q671" s="2" t="s">
        <v>1151</v>
      </c>
      <c r="R671" s="2" t="s">
        <v>1152</v>
      </c>
      <c r="S671" s="1" t="s">
        <v>8365</v>
      </c>
      <c r="T671" s="2" t="s">
        <v>13</v>
      </c>
      <c r="U671" s="3">
        <v>1</v>
      </c>
      <c r="V671" s="3">
        <v>1</v>
      </c>
      <c r="W671" s="4" t="s">
        <v>5137</v>
      </c>
      <c r="X671" s="4" t="s">
        <v>5137</v>
      </c>
      <c r="Y671" s="4" t="s">
        <v>5137</v>
      </c>
      <c r="Z671" s="4" t="s">
        <v>5137</v>
      </c>
      <c r="AA671" s="3">
        <v>46</v>
      </c>
      <c r="AB671" s="3">
        <v>37</v>
      </c>
      <c r="AC671" s="3">
        <v>139</v>
      </c>
      <c r="AD671" s="3">
        <v>2</v>
      </c>
      <c r="AE671" s="9">
        <v>2</v>
      </c>
      <c r="AF671" s="9">
        <v>2</v>
      </c>
      <c r="AG671" s="9">
        <v>4</v>
      </c>
      <c r="AH671" s="3">
        <v>0</v>
      </c>
      <c r="AI671" s="3">
        <v>0</v>
      </c>
      <c r="AJ671" s="3">
        <v>0</v>
      </c>
      <c r="AK671" s="3">
        <v>2</v>
      </c>
      <c r="AL671" s="3">
        <v>1</v>
      </c>
      <c r="AM671" s="3">
        <v>1</v>
      </c>
      <c r="AN671" s="3">
        <v>1</v>
      </c>
      <c r="AO671" s="3">
        <v>1</v>
      </c>
      <c r="AP671" s="3">
        <v>0</v>
      </c>
      <c r="AQ671" s="3">
        <v>0</v>
      </c>
      <c r="AR671" s="2" t="s">
        <v>5</v>
      </c>
      <c r="AS671" s="2" t="s">
        <v>5</v>
      </c>
      <c r="AU671" s="5" t="str">
        <f>HYPERLINK("https://creighton-primo.hosted.exlibrisgroup.com/primo-explore/search?tab=default_tab&amp;search_scope=EVERYTHING&amp;vid=01CRU&amp;lang=en_US&amp;offset=0&amp;query=any,contains,991004509719702656","Catalog Record")</f>
        <v>Catalog Record</v>
      </c>
      <c r="AV671" s="5" t="str">
        <f>HYPERLINK("http://www.worldcat.org/oclc/1543145","WorldCat Record")</f>
        <v>WorldCat Record</v>
      </c>
      <c r="AW671" s="2" t="s">
        <v>8366</v>
      </c>
      <c r="AX671" s="2" t="s">
        <v>8367</v>
      </c>
      <c r="AY671" s="2" t="s">
        <v>8368</v>
      </c>
      <c r="AZ671" s="2" t="s">
        <v>8368</v>
      </c>
      <c r="BA671" s="2" t="s">
        <v>8369</v>
      </c>
      <c r="BB671" s="2" t="s">
        <v>20</v>
      </c>
      <c r="BE671" s="2" t="s">
        <v>8370</v>
      </c>
      <c r="BF671" s="2" t="s">
        <v>8371</v>
      </c>
    </row>
    <row r="672" spans="1:58" ht="39.75" customHeight="1" x14ac:dyDescent="0.25">
      <c r="A672" s="7" t="s">
        <v>5</v>
      </c>
      <c r="B672" s="1" t="s">
        <v>0</v>
      </c>
      <c r="C672" s="1" t="s">
        <v>1</v>
      </c>
      <c r="D672" s="1" t="s">
        <v>8372</v>
      </c>
      <c r="E672" s="1" t="s">
        <v>8373</v>
      </c>
      <c r="F672" s="1" t="s">
        <v>8374</v>
      </c>
      <c r="H672" s="2" t="s">
        <v>5</v>
      </c>
      <c r="I672" s="2" t="s">
        <v>6</v>
      </c>
      <c r="J672" s="2" t="s">
        <v>5</v>
      </c>
      <c r="K672" s="2" t="s">
        <v>5</v>
      </c>
      <c r="L672" s="2" t="s">
        <v>7</v>
      </c>
      <c r="M672" s="1" t="s">
        <v>8375</v>
      </c>
      <c r="N672" s="1" t="s">
        <v>8376</v>
      </c>
      <c r="O672" s="2" t="s">
        <v>6611</v>
      </c>
      <c r="Q672" s="2" t="s">
        <v>1151</v>
      </c>
      <c r="R672" s="2" t="s">
        <v>6916</v>
      </c>
      <c r="S672" s="1" t="s">
        <v>8377</v>
      </c>
      <c r="T672" s="2" t="s">
        <v>13</v>
      </c>
      <c r="U672" s="3">
        <v>2</v>
      </c>
      <c r="V672" s="3">
        <v>2</v>
      </c>
      <c r="W672" s="4" t="s">
        <v>8378</v>
      </c>
      <c r="X672" s="4" t="s">
        <v>8378</v>
      </c>
      <c r="Y672" s="4" t="s">
        <v>8379</v>
      </c>
      <c r="Z672" s="4" t="s">
        <v>8379</v>
      </c>
      <c r="AA672" s="3">
        <v>10</v>
      </c>
      <c r="AB672" s="3">
        <v>9</v>
      </c>
      <c r="AC672" s="3">
        <v>9</v>
      </c>
      <c r="AD672" s="3">
        <v>1</v>
      </c>
      <c r="AE672" s="9">
        <v>1</v>
      </c>
      <c r="AF672" s="9">
        <v>0</v>
      </c>
      <c r="AG672" s="9">
        <v>0</v>
      </c>
      <c r="AH672" s="3">
        <v>0</v>
      </c>
      <c r="AI672" s="3">
        <v>0</v>
      </c>
      <c r="AJ672" s="3">
        <v>0</v>
      </c>
      <c r="AK672" s="3">
        <v>0</v>
      </c>
      <c r="AL672" s="3">
        <v>0</v>
      </c>
      <c r="AM672" s="3">
        <v>0</v>
      </c>
      <c r="AN672" s="3">
        <v>0</v>
      </c>
      <c r="AO672" s="3">
        <v>0</v>
      </c>
      <c r="AP672" s="3">
        <v>0</v>
      </c>
      <c r="AQ672" s="3">
        <v>0</v>
      </c>
      <c r="AR672" s="2" t="s">
        <v>5</v>
      </c>
      <c r="AS672" s="2" t="s">
        <v>5</v>
      </c>
      <c r="AU672" s="5" t="str">
        <f>HYPERLINK("https://creighton-primo.hosted.exlibrisgroup.com/primo-explore/search?tab=default_tab&amp;search_scope=EVERYTHING&amp;vid=01CRU&amp;lang=en_US&amp;offset=0&amp;query=any,contains,991002799749702656","Catalog Record")</f>
        <v>Catalog Record</v>
      </c>
      <c r="AV672" s="5" t="str">
        <f>HYPERLINK("http://www.worldcat.org/oclc/36768757","WorldCat Record")</f>
        <v>WorldCat Record</v>
      </c>
      <c r="AW672" s="2" t="s">
        <v>8380</v>
      </c>
      <c r="AX672" s="2" t="s">
        <v>8381</v>
      </c>
      <c r="AY672" s="2" t="s">
        <v>8382</v>
      </c>
      <c r="AZ672" s="2" t="s">
        <v>8382</v>
      </c>
      <c r="BA672" s="2" t="s">
        <v>8383</v>
      </c>
      <c r="BB672" s="2" t="s">
        <v>20</v>
      </c>
      <c r="BE672" s="2" t="s">
        <v>8384</v>
      </c>
      <c r="BF672" s="2" t="s">
        <v>8385</v>
      </c>
    </row>
    <row r="673" spans="1:58" ht="39.75" customHeight="1" x14ac:dyDescent="0.25">
      <c r="A673" s="7" t="s">
        <v>5</v>
      </c>
      <c r="B673" s="1" t="s">
        <v>0</v>
      </c>
      <c r="C673" s="1" t="s">
        <v>1</v>
      </c>
      <c r="D673" s="1" t="s">
        <v>8386</v>
      </c>
      <c r="E673" s="1" t="s">
        <v>8387</v>
      </c>
      <c r="F673" s="1" t="s">
        <v>8388</v>
      </c>
      <c r="H673" s="2" t="s">
        <v>5</v>
      </c>
      <c r="I673" s="2" t="s">
        <v>6</v>
      </c>
      <c r="J673" s="2" t="s">
        <v>5</v>
      </c>
      <c r="K673" s="2" t="s">
        <v>5</v>
      </c>
      <c r="L673" s="2" t="s">
        <v>7</v>
      </c>
      <c r="M673" s="1" t="s">
        <v>8389</v>
      </c>
      <c r="N673" s="1" t="s">
        <v>8390</v>
      </c>
      <c r="O673" s="2" t="s">
        <v>421</v>
      </c>
      <c r="P673" s="1" t="s">
        <v>2908</v>
      </c>
      <c r="Q673" s="2" t="s">
        <v>1151</v>
      </c>
      <c r="R673" s="2" t="s">
        <v>1152</v>
      </c>
      <c r="S673" s="1" t="s">
        <v>8391</v>
      </c>
      <c r="T673" s="2" t="s">
        <v>13</v>
      </c>
      <c r="U673" s="3">
        <v>3</v>
      </c>
      <c r="V673" s="3">
        <v>3</v>
      </c>
      <c r="W673" s="4" t="s">
        <v>8392</v>
      </c>
      <c r="X673" s="4" t="s">
        <v>8392</v>
      </c>
      <c r="Y673" s="4" t="s">
        <v>8204</v>
      </c>
      <c r="Z673" s="4" t="s">
        <v>8204</v>
      </c>
      <c r="AA673" s="3">
        <v>125</v>
      </c>
      <c r="AB673" s="3">
        <v>96</v>
      </c>
      <c r="AC673" s="3">
        <v>102</v>
      </c>
      <c r="AD673" s="3">
        <v>1</v>
      </c>
      <c r="AE673" s="9">
        <v>1</v>
      </c>
      <c r="AF673" s="9">
        <v>4</v>
      </c>
      <c r="AG673" s="9">
        <v>4</v>
      </c>
      <c r="AH673" s="3">
        <v>2</v>
      </c>
      <c r="AI673" s="3">
        <v>2</v>
      </c>
      <c r="AJ673" s="3">
        <v>1</v>
      </c>
      <c r="AK673" s="3">
        <v>1</v>
      </c>
      <c r="AL673" s="3">
        <v>4</v>
      </c>
      <c r="AM673" s="3">
        <v>4</v>
      </c>
      <c r="AN673" s="3">
        <v>0</v>
      </c>
      <c r="AO673" s="3">
        <v>0</v>
      </c>
      <c r="AP673" s="3">
        <v>0</v>
      </c>
      <c r="AQ673" s="3">
        <v>0</v>
      </c>
      <c r="AR673" s="2" t="s">
        <v>5</v>
      </c>
      <c r="AS673" s="2" t="s">
        <v>46</v>
      </c>
      <c r="AT673" s="5" t="str">
        <f>HYPERLINK("http://catalog.hathitrust.org/Record/002704195","HathiTrust Record")</f>
        <v>HathiTrust Record</v>
      </c>
      <c r="AU673" s="5" t="str">
        <f>HYPERLINK("https://creighton-primo.hosted.exlibrisgroup.com/primo-explore/search?tab=default_tab&amp;search_scope=EVERYTHING&amp;vid=01CRU&amp;lang=en_US&amp;offset=0&amp;query=any,contains,991000284389702656","Catalog Record")</f>
        <v>Catalog Record</v>
      </c>
      <c r="AV673" s="5" t="str">
        <f>HYPERLINK("http://www.worldcat.org/oclc/9934207","WorldCat Record")</f>
        <v>WorldCat Record</v>
      </c>
      <c r="AW673" s="2" t="s">
        <v>8393</v>
      </c>
      <c r="AX673" s="2" t="s">
        <v>8394</v>
      </c>
      <c r="AY673" s="2" t="s">
        <v>8395</v>
      </c>
      <c r="AZ673" s="2" t="s">
        <v>8395</v>
      </c>
      <c r="BA673" s="2" t="s">
        <v>8396</v>
      </c>
      <c r="BB673" s="2" t="s">
        <v>20</v>
      </c>
      <c r="BD673" s="2" t="s">
        <v>8397</v>
      </c>
      <c r="BE673" s="2" t="s">
        <v>8398</v>
      </c>
      <c r="BF673" s="2" t="s">
        <v>8399</v>
      </c>
    </row>
    <row r="674" spans="1:58" ht="39.75" customHeight="1" x14ac:dyDescent="0.25">
      <c r="A674" s="7" t="s">
        <v>5</v>
      </c>
      <c r="B674" s="1" t="s">
        <v>0</v>
      </c>
      <c r="C674" s="1" t="s">
        <v>1</v>
      </c>
      <c r="D674" s="1" t="s">
        <v>8400</v>
      </c>
      <c r="E674" s="1" t="s">
        <v>8401</v>
      </c>
      <c r="F674" s="1" t="s">
        <v>8402</v>
      </c>
      <c r="H674" s="2" t="s">
        <v>5</v>
      </c>
      <c r="I674" s="2" t="s">
        <v>6</v>
      </c>
      <c r="J674" s="2" t="s">
        <v>5</v>
      </c>
      <c r="K674" s="2" t="s">
        <v>5</v>
      </c>
      <c r="L674" s="2" t="s">
        <v>7</v>
      </c>
      <c r="M674" s="1" t="s">
        <v>8403</v>
      </c>
      <c r="N674" s="1" t="s">
        <v>8404</v>
      </c>
      <c r="O674" s="2" t="s">
        <v>2610</v>
      </c>
      <c r="Q674" s="2" t="s">
        <v>60</v>
      </c>
      <c r="R674" s="2" t="s">
        <v>871</v>
      </c>
      <c r="S674" s="1" t="s">
        <v>8405</v>
      </c>
      <c r="T674" s="2" t="s">
        <v>13</v>
      </c>
      <c r="U674" s="3">
        <v>1</v>
      </c>
      <c r="V674" s="3">
        <v>1</v>
      </c>
      <c r="W674" s="4" t="s">
        <v>5032</v>
      </c>
      <c r="X674" s="4" t="s">
        <v>5032</v>
      </c>
      <c r="Y674" s="4" t="s">
        <v>5032</v>
      </c>
      <c r="Z674" s="4" t="s">
        <v>5032</v>
      </c>
      <c r="AA674" s="3">
        <v>216</v>
      </c>
      <c r="AB674" s="3">
        <v>202</v>
      </c>
      <c r="AC674" s="3">
        <v>204</v>
      </c>
      <c r="AD674" s="3">
        <v>1</v>
      </c>
      <c r="AE674" s="9">
        <v>1</v>
      </c>
      <c r="AF674" s="9">
        <v>11</v>
      </c>
      <c r="AG674" s="9">
        <v>11</v>
      </c>
      <c r="AH674" s="3">
        <v>2</v>
      </c>
      <c r="AI674" s="3">
        <v>2</v>
      </c>
      <c r="AJ674" s="3">
        <v>5</v>
      </c>
      <c r="AK674" s="3">
        <v>5</v>
      </c>
      <c r="AL674" s="3">
        <v>6</v>
      </c>
      <c r="AM674" s="3">
        <v>6</v>
      </c>
      <c r="AN674" s="3">
        <v>0</v>
      </c>
      <c r="AO674" s="3">
        <v>0</v>
      </c>
      <c r="AP674" s="3">
        <v>0</v>
      </c>
      <c r="AQ674" s="3">
        <v>0</v>
      </c>
      <c r="AR674" s="2" t="s">
        <v>5</v>
      </c>
      <c r="AS674" s="2" t="s">
        <v>46</v>
      </c>
      <c r="AT674" s="5" t="str">
        <f>HYPERLINK("http://catalog.hathitrust.org/Record/001947595","HathiTrust Record")</f>
        <v>HathiTrust Record</v>
      </c>
      <c r="AU674" s="5" t="str">
        <f>HYPERLINK("https://creighton-primo.hosted.exlibrisgroup.com/primo-explore/search?tab=default_tab&amp;search_scope=EVERYTHING&amp;vid=01CRU&amp;lang=en_US&amp;offset=0&amp;query=any,contains,991004490039702656","Catalog Record")</f>
        <v>Catalog Record</v>
      </c>
      <c r="AV674" s="5" t="str">
        <f>HYPERLINK("http://www.worldcat.org/oclc/20055732","WorldCat Record")</f>
        <v>WorldCat Record</v>
      </c>
      <c r="AW674" s="2" t="s">
        <v>8406</v>
      </c>
      <c r="AX674" s="2" t="s">
        <v>8407</v>
      </c>
      <c r="AY674" s="2" t="s">
        <v>8408</v>
      </c>
      <c r="AZ674" s="2" t="s">
        <v>8408</v>
      </c>
      <c r="BA674" s="2" t="s">
        <v>8409</v>
      </c>
      <c r="BB674" s="2" t="s">
        <v>20</v>
      </c>
      <c r="BD674" s="2" t="s">
        <v>8410</v>
      </c>
      <c r="BE674" s="2" t="s">
        <v>8411</v>
      </c>
      <c r="BF674" s="2" t="s">
        <v>8412</v>
      </c>
    </row>
    <row r="675" spans="1:58" ht="39.75" customHeight="1" x14ac:dyDescent="0.25">
      <c r="A675" s="7" t="s">
        <v>5</v>
      </c>
      <c r="B675" s="1" t="s">
        <v>0</v>
      </c>
      <c r="C675" s="1" t="s">
        <v>1</v>
      </c>
      <c r="D675" s="1" t="s">
        <v>8413</v>
      </c>
      <c r="E675" s="1" t="s">
        <v>8414</v>
      </c>
      <c r="F675" s="1" t="s">
        <v>8415</v>
      </c>
      <c r="H675" s="2" t="s">
        <v>5</v>
      </c>
      <c r="I675" s="2" t="s">
        <v>6</v>
      </c>
      <c r="J675" s="2" t="s">
        <v>5</v>
      </c>
      <c r="K675" s="2" t="s">
        <v>5</v>
      </c>
      <c r="L675" s="2" t="s">
        <v>7</v>
      </c>
      <c r="M675" s="1" t="s">
        <v>8416</v>
      </c>
      <c r="N675" s="1" t="s">
        <v>8417</v>
      </c>
      <c r="O675" s="2" t="s">
        <v>1273</v>
      </c>
      <c r="Q675" s="2" t="s">
        <v>60</v>
      </c>
      <c r="R675" s="2" t="s">
        <v>193</v>
      </c>
      <c r="S675" s="1" t="s">
        <v>8418</v>
      </c>
      <c r="T675" s="2" t="s">
        <v>13</v>
      </c>
      <c r="U675" s="3">
        <v>1</v>
      </c>
      <c r="V675" s="3">
        <v>1</v>
      </c>
      <c r="W675" s="4" t="s">
        <v>5032</v>
      </c>
      <c r="X675" s="4" t="s">
        <v>5032</v>
      </c>
      <c r="Y675" s="4" t="s">
        <v>5032</v>
      </c>
      <c r="Z675" s="4" t="s">
        <v>5032</v>
      </c>
      <c r="AA675" s="3">
        <v>169</v>
      </c>
      <c r="AB675" s="3">
        <v>122</v>
      </c>
      <c r="AC675" s="3">
        <v>122</v>
      </c>
      <c r="AD675" s="3">
        <v>2</v>
      </c>
      <c r="AE675" s="9">
        <v>2</v>
      </c>
      <c r="AF675" s="9">
        <v>4</v>
      </c>
      <c r="AG675" s="9">
        <v>4</v>
      </c>
      <c r="AH675" s="3">
        <v>1</v>
      </c>
      <c r="AI675" s="3">
        <v>1</v>
      </c>
      <c r="AJ675" s="3">
        <v>2</v>
      </c>
      <c r="AK675" s="3">
        <v>2</v>
      </c>
      <c r="AL675" s="3">
        <v>2</v>
      </c>
      <c r="AM675" s="3">
        <v>2</v>
      </c>
      <c r="AN675" s="3">
        <v>1</v>
      </c>
      <c r="AO675" s="3">
        <v>1</v>
      </c>
      <c r="AP675" s="3">
        <v>0</v>
      </c>
      <c r="AQ675" s="3">
        <v>0</v>
      </c>
      <c r="AR675" s="2" t="s">
        <v>5</v>
      </c>
      <c r="AS675" s="2" t="s">
        <v>5</v>
      </c>
      <c r="AU675" s="5" t="str">
        <f>HYPERLINK("https://creighton-primo.hosted.exlibrisgroup.com/primo-explore/search?tab=default_tab&amp;search_scope=EVERYTHING&amp;vid=01CRU&amp;lang=en_US&amp;offset=0&amp;query=any,contains,991004489489702656","Catalog Record")</f>
        <v>Catalog Record</v>
      </c>
      <c r="AV675" s="5" t="str">
        <f>HYPERLINK("http://www.worldcat.org/oclc/16751521","WorldCat Record")</f>
        <v>WorldCat Record</v>
      </c>
      <c r="AW675" s="2" t="s">
        <v>8419</v>
      </c>
      <c r="AX675" s="2" t="s">
        <v>8420</v>
      </c>
      <c r="AY675" s="2" t="s">
        <v>8421</v>
      </c>
      <c r="AZ675" s="2" t="s">
        <v>8421</v>
      </c>
      <c r="BA675" s="2" t="s">
        <v>8422</v>
      </c>
      <c r="BB675" s="2" t="s">
        <v>20</v>
      </c>
      <c r="BD675" s="2" t="s">
        <v>8423</v>
      </c>
      <c r="BE675" s="2" t="s">
        <v>8424</v>
      </c>
      <c r="BF675" s="2" t="s">
        <v>8425</v>
      </c>
    </row>
    <row r="676" spans="1:58" ht="39.75" customHeight="1" x14ac:dyDescent="0.25">
      <c r="A676" s="7" t="s">
        <v>5</v>
      </c>
      <c r="B676" s="1" t="s">
        <v>0</v>
      </c>
      <c r="C676" s="1" t="s">
        <v>1</v>
      </c>
      <c r="D676" s="1" t="s">
        <v>8426</v>
      </c>
      <c r="E676" s="1" t="s">
        <v>8427</v>
      </c>
      <c r="F676" s="1" t="s">
        <v>8428</v>
      </c>
      <c r="H676" s="2" t="s">
        <v>5</v>
      </c>
      <c r="I676" s="2" t="s">
        <v>6</v>
      </c>
      <c r="J676" s="2" t="s">
        <v>5</v>
      </c>
      <c r="K676" s="2" t="s">
        <v>5</v>
      </c>
      <c r="L676" s="2" t="s">
        <v>7</v>
      </c>
      <c r="M676" s="1" t="s">
        <v>8429</v>
      </c>
      <c r="N676" s="1" t="s">
        <v>8430</v>
      </c>
      <c r="O676" s="2" t="s">
        <v>452</v>
      </c>
      <c r="P676" s="1" t="s">
        <v>8431</v>
      </c>
      <c r="Q676" s="2" t="s">
        <v>1151</v>
      </c>
      <c r="R676" s="2" t="s">
        <v>1152</v>
      </c>
      <c r="S676" s="1" t="s">
        <v>8432</v>
      </c>
      <c r="T676" s="2" t="s">
        <v>13</v>
      </c>
      <c r="U676" s="3">
        <v>1</v>
      </c>
      <c r="V676" s="3">
        <v>1</v>
      </c>
      <c r="W676" s="4" t="s">
        <v>367</v>
      </c>
      <c r="X676" s="4" t="s">
        <v>367</v>
      </c>
      <c r="Y676" s="4" t="s">
        <v>367</v>
      </c>
      <c r="Z676" s="4" t="s">
        <v>367</v>
      </c>
      <c r="AA676" s="3">
        <v>22</v>
      </c>
      <c r="AB676" s="3">
        <v>17</v>
      </c>
      <c r="AC676" s="3">
        <v>18</v>
      </c>
      <c r="AD676" s="3">
        <v>1</v>
      </c>
      <c r="AE676" s="9">
        <v>1</v>
      </c>
      <c r="AF676" s="9">
        <v>0</v>
      </c>
      <c r="AG676" s="9">
        <v>0</v>
      </c>
      <c r="AH676" s="3">
        <v>0</v>
      </c>
      <c r="AI676" s="3">
        <v>0</v>
      </c>
      <c r="AJ676" s="3">
        <v>0</v>
      </c>
      <c r="AK676" s="3">
        <v>0</v>
      </c>
      <c r="AL676" s="3">
        <v>0</v>
      </c>
      <c r="AM676" s="3">
        <v>0</v>
      </c>
      <c r="AN676" s="3">
        <v>0</v>
      </c>
      <c r="AO676" s="3">
        <v>0</v>
      </c>
      <c r="AP676" s="3">
        <v>0</v>
      </c>
      <c r="AQ676" s="3">
        <v>0</v>
      </c>
      <c r="AR676" s="2" t="s">
        <v>5</v>
      </c>
      <c r="AS676" s="2" t="s">
        <v>5</v>
      </c>
      <c r="AU676" s="5" t="str">
        <f>HYPERLINK("https://creighton-primo.hosted.exlibrisgroup.com/primo-explore/search?tab=default_tab&amp;search_scope=EVERYTHING&amp;vid=01CRU&amp;lang=en_US&amp;offset=0&amp;query=any,contains,991004345809702656","Catalog Record")</f>
        <v>Catalog Record</v>
      </c>
      <c r="AV676" s="5" t="str">
        <f>HYPERLINK("http://www.worldcat.org/oclc/38025665","WorldCat Record")</f>
        <v>WorldCat Record</v>
      </c>
      <c r="AW676" s="2" t="s">
        <v>8433</v>
      </c>
      <c r="AX676" s="2" t="s">
        <v>8434</v>
      </c>
      <c r="AY676" s="2" t="s">
        <v>8435</v>
      </c>
      <c r="AZ676" s="2" t="s">
        <v>8435</v>
      </c>
      <c r="BA676" s="2" t="s">
        <v>8436</v>
      </c>
      <c r="BB676" s="2" t="s">
        <v>20</v>
      </c>
      <c r="BD676" s="2" t="s">
        <v>8437</v>
      </c>
      <c r="BE676" s="2" t="s">
        <v>8438</v>
      </c>
      <c r="BF676" s="2" t="s">
        <v>8439</v>
      </c>
    </row>
    <row r="677" spans="1:58" ht="39.75" customHeight="1" x14ac:dyDescent="0.25">
      <c r="A677" s="7" t="s">
        <v>5</v>
      </c>
      <c r="B677" s="1" t="s">
        <v>0</v>
      </c>
      <c r="C677" s="1" t="s">
        <v>1</v>
      </c>
      <c r="D677" s="1" t="s">
        <v>8440</v>
      </c>
      <c r="E677" s="1" t="s">
        <v>8441</v>
      </c>
      <c r="F677" s="1" t="s">
        <v>8442</v>
      </c>
      <c r="H677" s="2" t="s">
        <v>5</v>
      </c>
      <c r="I677" s="2" t="s">
        <v>6</v>
      </c>
      <c r="J677" s="2" t="s">
        <v>5</v>
      </c>
      <c r="K677" s="2" t="s">
        <v>5</v>
      </c>
      <c r="L677" s="2" t="s">
        <v>7</v>
      </c>
      <c r="M677" s="1" t="s">
        <v>8443</v>
      </c>
      <c r="N677" s="1" t="s">
        <v>8444</v>
      </c>
      <c r="O677" s="2" t="s">
        <v>162</v>
      </c>
      <c r="Q677" s="2" t="s">
        <v>60</v>
      </c>
      <c r="R677" s="2" t="s">
        <v>61</v>
      </c>
      <c r="S677" s="1" t="s">
        <v>8445</v>
      </c>
      <c r="T677" s="2" t="s">
        <v>13</v>
      </c>
      <c r="U677" s="3">
        <v>1</v>
      </c>
      <c r="V677" s="3">
        <v>1</v>
      </c>
      <c r="W677" s="4" t="s">
        <v>2423</v>
      </c>
      <c r="X677" s="4" t="s">
        <v>2423</v>
      </c>
      <c r="Y677" s="4" t="s">
        <v>8204</v>
      </c>
      <c r="Z677" s="4" t="s">
        <v>8204</v>
      </c>
      <c r="AA677" s="3">
        <v>646</v>
      </c>
      <c r="AB677" s="3">
        <v>578</v>
      </c>
      <c r="AC677" s="3">
        <v>585</v>
      </c>
      <c r="AD677" s="3">
        <v>5</v>
      </c>
      <c r="AE677" s="9">
        <v>5</v>
      </c>
      <c r="AF677" s="9">
        <v>27</v>
      </c>
      <c r="AG677" s="9">
        <v>27</v>
      </c>
      <c r="AH677" s="3">
        <v>9</v>
      </c>
      <c r="AI677" s="3">
        <v>9</v>
      </c>
      <c r="AJ677" s="3">
        <v>7</v>
      </c>
      <c r="AK677" s="3">
        <v>7</v>
      </c>
      <c r="AL677" s="3">
        <v>16</v>
      </c>
      <c r="AM677" s="3">
        <v>16</v>
      </c>
      <c r="AN677" s="3">
        <v>3</v>
      </c>
      <c r="AO677" s="3">
        <v>3</v>
      </c>
      <c r="AP677" s="3">
        <v>0</v>
      </c>
      <c r="AQ677" s="3">
        <v>0</v>
      </c>
      <c r="AR677" s="2" t="s">
        <v>5</v>
      </c>
      <c r="AS677" s="2" t="s">
        <v>46</v>
      </c>
      <c r="AT677" s="5" t="str">
        <f>HYPERLINK("http://catalog.hathitrust.org/Record/001051726","HathiTrust Record")</f>
        <v>HathiTrust Record</v>
      </c>
      <c r="AU677" s="5" t="str">
        <f>HYPERLINK("https://creighton-primo.hosted.exlibrisgroup.com/primo-explore/search?tab=default_tab&amp;search_scope=EVERYTHING&amp;vid=01CRU&amp;lang=en_US&amp;offset=0&amp;query=any,contains,991000680919702656","Catalog Record")</f>
        <v>Catalog Record</v>
      </c>
      <c r="AV677" s="5" t="str">
        <f>HYPERLINK("http://www.worldcat.org/oclc/121907","WorldCat Record")</f>
        <v>WorldCat Record</v>
      </c>
      <c r="AW677" s="2" t="s">
        <v>8446</v>
      </c>
      <c r="AX677" s="2" t="s">
        <v>8447</v>
      </c>
      <c r="AY677" s="2" t="s">
        <v>8448</v>
      </c>
      <c r="AZ677" s="2" t="s">
        <v>8448</v>
      </c>
      <c r="BA677" s="2" t="s">
        <v>8449</v>
      </c>
      <c r="BB677" s="2" t="s">
        <v>20</v>
      </c>
      <c r="BE677" s="2" t="s">
        <v>8450</v>
      </c>
      <c r="BF677" s="2" t="s">
        <v>8451</v>
      </c>
    </row>
    <row r="678" spans="1:58" ht="39.75" customHeight="1" x14ac:dyDescent="0.25">
      <c r="A678" s="7" t="s">
        <v>5</v>
      </c>
      <c r="B678" s="1" t="s">
        <v>0</v>
      </c>
      <c r="C678" s="1" t="s">
        <v>1</v>
      </c>
      <c r="D678" s="1" t="s">
        <v>8452</v>
      </c>
      <c r="E678" s="1" t="s">
        <v>8453</v>
      </c>
      <c r="F678" s="1" t="s">
        <v>8454</v>
      </c>
      <c r="H678" s="2" t="s">
        <v>5</v>
      </c>
      <c r="I678" s="2" t="s">
        <v>6</v>
      </c>
      <c r="J678" s="2" t="s">
        <v>5</v>
      </c>
      <c r="K678" s="2" t="s">
        <v>5</v>
      </c>
      <c r="L678" s="2" t="s">
        <v>7</v>
      </c>
      <c r="M678" s="1" t="s">
        <v>8455</v>
      </c>
      <c r="N678" s="1" t="s">
        <v>8456</v>
      </c>
      <c r="O678" s="2" t="s">
        <v>886</v>
      </c>
      <c r="Q678" s="2" t="s">
        <v>1151</v>
      </c>
      <c r="R678" s="2" t="s">
        <v>1152</v>
      </c>
      <c r="S678" s="1" t="s">
        <v>8457</v>
      </c>
      <c r="T678" s="2" t="s">
        <v>13</v>
      </c>
      <c r="U678" s="3">
        <v>1</v>
      </c>
      <c r="V678" s="3">
        <v>1</v>
      </c>
      <c r="W678" s="4" t="s">
        <v>5086</v>
      </c>
      <c r="X678" s="4" t="s">
        <v>5086</v>
      </c>
      <c r="Y678" s="4" t="s">
        <v>5086</v>
      </c>
      <c r="Z678" s="4" t="s">
        <v>5086</v>
      </c>
      <c r="AA678" s="3">
        <v>163</v>
      </c>
      <c r="AB678" s="3">
        <v>112</v>
      </c>
      <c r="AC678" s="3">
        <v>114</v>
      </c>
      <c r="AD678" s="3">
        <v>1</v>
      </c>
      <c r="AE678" s="9">
        <v>1</v>
      </c>
      <c r="AF678" s="9">
        <v>2</v>
      </c>
      <c r="AG678" s="9">
        <v>2</v>
      </c>
      <c r="AH678" s="3">
        <v>0</v>
      </c>
      <c r="AI678" s="3">
        <v>0</v>
      </c>
      <c r="AJ678" s="3">
        <v>1</v>
      </c>
      <c r="AK678" s="3">
        <v>1</v>
      </c>
      <c r="AL678" s="3">
        <v>1</v>
      </c>
      <c r="AM678" s="3">
        <v>1</v>
      </c>
      <c r="AN678" s="3">
        <v>0</v>
      </c>
      <c r="AO678" s="3">
        <v>0</v>
      </c>
      <c r="AP678" s="3">
        <v>0</v>
      </c>
      <c r="AQ678" s="3">
        <v>0</v>
      </c>
      <c r="AR678" s="2" t="s">
        <v>5</v>
      </c>
      <c r="AS678" s="2" t="s">
        <v>46</v>
      </c>
      <c r="AT678" s="5" t="str">
        <f>HYPERLINK("http://catalog.hathitrust.org/Record/001051773","HathiTrust Record")</f>
        <v>HathiTrust Record</v>
      </c>
      <c r="AU678" s="5" t="str">
        <f>HYPERLINK("https://creighton-primo.hosted.exlibrisgroup.com/primo-explore/search?tab=default_tab&amp;search_scope=EVERYTHING&amp;vid=01CRU&amp;lang=en_US&amp;offset=0&amp;query=any,contains,991004522369702656","Catalog Record")</f>
        <v>Catalog Record</v>
      </c>
      <c r="AV678" s="5" t="str">
        <f>HYPERLINK("http://www.worldcat.org/oclc/1293371","WorldCat Record")</f>
        <v>WorldCat Record</v>
      </c>
      <c r="AW678" s="2" t="s">
        <v>8458</v>
      </c>
      <c r="AX678" s="2" t="s">
        <v>8459</v>
      </c>
      <c r="AY678" s="2" t="s">
        <v>8460</v>
      </c>
      <c r="AZ678" s="2" t="s">
        <v>8460</v>
      </c>
      <c r="BA678" s="2" t="s">
        <v>8461</v>
      </c>
      <c r="BB678" s="2" t="s">
        <v>20</v>
      </c>
      <c r="BD678" s="2" t="s">
        <v>8462</v>
      </c>
      <c r="BE678" s="2" t="s">
        <v>8463</v>
      </c>
      <c r="BF678" s="2" t="s">
        <v>8464</v>
      </c>
    </row>
    <row r="679" spans="1:58" ht="39.75" customHeight="1" x14ac:dyDescent="0.25">
      <c r="A679" s="7" t="s">
        <v>5</v>
      </c>
      <c r="B679" s="1" t="s">
        <v>0</v>
      </c>
      <c r="C679" s="1" t="s">
        <v>1</v>
      </c>
      <c r="D679" s="1" t="s">
        <v>8465</v>
      </c>
      <c r="E679" s="1" t="s">
        <v>8466</v>
      </c>
      <c r="F679" s="1" t="s">
        <v>8467</v>
      </c>
      <c r="H679" s="2" t="s">
        <v>5</v>
      </c>
      <c r="I679" s="2" t="s">
        <v>6</v>
      </c>
      <c r="J679" s="2" t="s">
        <v>5</v>
      </c>
      <c r="K679" s="2" t="s">
        <v>5</v>
      </c>
      <c r="L679" s="2" t="s">
        <v>7</v>
      </c>
      <c r="M679" s="1" t="s">
        <v>8468</v>
      </c>
      <c r="N679" s="1" t="s">
        <v>8469</v>
      </c>
      <c r="O679" s="2" t="s">
        <v>494</v>
      </c>
      <c r="P679" s="1" t="s">
        <v>2908</v>
      </c>
      <c r="Q679" s="2" t="s">
        <v>1151</v>
      </c>
      <c r="R679" s="2" t="s">
        <v>1152</v>
      </c>
      <c r="T679" s="2" t="s">
        <v>13</v>
      </c>
      <c r="U679" s="3">
        <v>1</v>
      </c>
      <c r="V679" s="3">
        <v>1</v>
      </c>
      <c r="W679" s="4" t="s">
        <v>4676</v>
      </c>
      <c r="X679" s="4" t="s">
        <v>4676</v>
      </c>
      <c r="Y679" s="4" t="s">
        <v>4676</v>
      </c>
      <c r="Z679" s="4" t="s">
        <v>4676</v>
      </c>
      <c r="AA679" s="3">
        <v>124</v>
      </c>
      <c r="AB679" s="3">
        <v>86</v>
      </c>
      <c r="AC679" s="3">
        <v>161</v>
      </c>
      <c r="AD679" s="3">
        <v>2</v>
      </c>
      <c r="AE679" s="9">
        <v>2</v>
      </c>
      <c r="AF679" s="9">
        <v>4</v>
      </c>
      <c r="AG679" s="9">
        <v>7</v>
      </c>
      <c r="AH679" s="3">
        <v>0</v>
      </c>
      <c r="AI679" s="3">
        <v>0</v>
      </c>
      <c r="AJ679" s="3">
        <v>2</v>
      </c>
      <c r="AK679" s="3">
        <v>3</v>
      </c>
      <c r="AL679" s="3">
        <v>3</v>
      </c>
      <c r="AM679" s="3">
        <v>5</v>
      </c>
      <c r="AN679" s="3">
        <v>1</v>
      </c>
      <c r="AO679" s="3">
        <v>1</v>
      </c>
      <c r="AP679" s="3">
        <v>0</v>
      </c>
      <c r="AQ679" s="3">
        <v>0</v>
      </c>
      <c r="AR679" s="2" t="s">
        <v>5</v>
      </c>
      <c r="AS679" s="2" t="s">
        <v>46</v>
      </c>
      <c r="AT679" s="5" t="str">
        <f>HYPERLINK("http://catalog.hathitrust.org/Record/000946421","HathiTrust Record")</f>
        <v>HathiTrust Record</v>
      </c>
      <c r="AU679" s="5" t="str">
        <f>HYPERLINK("https://creighton-primo.hosted.exlibrisgroup.com/primo-explore/search?tab=default_tab&amp;search_scope=EVERYTHING&amp;vid=01CRU&amp;lang=en_US&amp;offset=0&amp;query=any,contains,991004311109702656","Catalog Record")</f>
        <v>Catalog Record</v>
      </c>
      <c r="AV679" s="5" t="str">
        <f>HYPERLINK("http://www.worldcat.org/oclc/6040530","WorldCat Record")</f>
        <v>WorldCat Record</v>
      </c>
      <c r="AW679" s="2" t="s">
        <v>8470</v>
      </c>
      <c r="AX679" s="2" t="s">
        <v>8471</v>
      </c>
      <c r="AY679" s="2" t="s">
        <v>8472</v>
      </c>
      <c r="AZ679" s="2" t="s">
        <v>8472</v>
      </c>
      <c r="BA679" s="2" t="s">
        <v>8473</v>
      </c>
      <c r="BB679" s="2" t="s">
        <v>20</v>
      </c>
      <c r="BD679" s="2" t="s">
        <v>8474</v>
      </c>
      <c r="BE679" s="2" t="s">
        <v>8475</v>
      </c>
      <c r="BF679" s="2" t="s">
        <v>8476</v>
      </c>
    </row>
    <row r="680" spans="1:58" ht="39.75" customHeight="1" x14ac:dyDescent="0.25">
      <c r="A680" s="7" t="s">
        <v>5</v>
      </c>
      <c r="B680" s="1" t="s">
        <v>0</v>
      </c>
      <c r="C680" s="1" t="s">
        <v>1</v>
      </c>
      <c r="D680" s="1" t="s">
        <v>8477</v>
      </c>
      <c r="E680" s="1" t="s">
        <v>8478</v>
      </c>
      <c r="F680" s="1" t="s">
        <v>8479</v>
      </c>
      <c r="H680" s="2" t="s">
        <v>5</v>
      </c>
      <c r="I680" s="2" t="s">
        <v>6</v>
      </c>
      <c r="J680" s="2" t="s">
        <v>5</v>
      </c>
      <c r="K680" s="2" t="s">
        <v>5</v>
      </c>
      <c r="L680" s="2" t="s">
        <v>7</v>
      </c>
      <c r="M680" s="1" t="s">
        <v>8480</v>
      </c>
      <c r="N680" s="1" t="s">
        <v>1650</v>
      </c>
      <c r="O680" s="2" t="s">
        <v>276</v>
      </c>
      <c r="Q680" s="2" t="s">
        <v>60</v>
      </c>
      <c r="R680" s="2" t="s">
        <v>277</v>
      </c>
      <c r="S680" s="1" t="s">
        <v>8481</v>
      </c>
      <c r="T680" s="2" t="s">
        <v>13</v>
      </c>
      <c r="U680" s="3">
        <v>3</v>
      </c>
      <c r="V680" s="3">
        <v>3</v>
      </c>
      <c r="W680" s="4" t="s">
        <v>7986</v>
      </c>
      <c r="X680" s="4" t="s">
        <v>7986</v>
      </c>
      <c r="Y680" s="4" t="s">
        <v>8482</v>
      </c>
      <c r="Z680" s="4" t="s">
        <v>8482</v>
      </c>
      <c r="AA680" s="3">
        <v>605</v>
      </c>
      <c r="AB680" s="3">
        <v>546</v>
      </c>
      <c r="AC680" s="3">
        <v>554</v>
      </c>
      <c r="AD680" s="3">
        <v>6</v>
      </c>
      <c r="AE680" s="9">
        <v>6</v>
      </c>
      <c r="AF680" s="9">
        <v>27</v>
      </c>
      <c r="AG680" s="9">
        <v>27</v>
      </c>
      <c r="AH680" s="3">
        <v>10</v>
      </c>
      <c r="AI680" s="3">
        <v>10</v>
      </c>
      <c r="AJ680" s="3">
        <v>8</v>
      </c>
      <c r="AK680" s="3">
        <v>8</v>
      </c>
      <c r="AL680" s="3">
        <v>11</v>
      </c>
      <c r="AM680" s="3">
        <v>11</v>
      </c>
      <c r="AN680" s="3">
        <v>5</v>
      </c>
      <c r="AO680" s="3">
        <v>5</v>
      </c>
      <c r="AP680" s="3">
        <v>0</v>
      </c>
      <c r="AQ680" s="3">
        <v>0</v>
      </c>
      <c r="AR680" s="2" t="s">
        <v>5</v>
      </c>
      <c r="AS680" s="2" t="s">
        <v>46</v>
      </c>
      <c r="AT680" s="5" t="str">
        <f>HYPERLINK("http://catalog.hathitrust.org/Record/000034002","HathiTrust Record")</f>
        <v>HathiTrust Record</v>
      </c>
      <c r="AU680" s="5" t="str">
        <f>HYPERLINK("https://creighton-primo.hosted.exlibrisgroup.com/primo-explore/search?tab=default_tab&amp;search_scope=EVERYTHING&amp;vid=01CRU&amp;lang=en_US&amp;offset=0&amp;query=any,contains,991003829229702656","Catalog Record")</f>
        <v>Catalog Record</v>
      </c>
      <c r="AV680" s="5" t="str">
        <f>HYPERLINK("http://www.worldcat.org/oclc/1582840","WorldCat Record")</f>
        <v>WorldCat Record</v>
      </c>
      <c r="AW680" s="2" t="s">
        <v>8483</v>
      </c>
      <c r="AX680" s="2" t="s">
        <v>8484</v>
      </c>
      <c r="AY680" s="2" t="s">
        <v>8485</v>
      </c>
      <c r="AZ680" s="2" t="s">
        <v>8485</v>
      </c>
      <c r="BA680" s="2" t="s">
        <v>8486</v>
      </c>
      <c r="BB680" s="2" t="s">
        <v>20</v>
      </c>
      <c r="BD680" s="2" t="s">
        <v>8487</v>
      </c>
      <c r="BE680" s="2" t="s">
        <v>8488</v>
      </c>
      <c r="BF680" s="2" t="s">
        <v>8489</v>
      </c>
    </row>
    <row r="681" spans="1:58" ht="39.75" customHeight="1" x14ac:dyDescent="0.25">
      <c r="A681" s="7" t="s">
        <v>5</v>
      </c>
      <c r="B681" s="1" t="s">
        <v>0</v>
      </c>
      <c r="C681" s="1" t="s">
        <v>1</v>
      </c>
      <c r="D681" s="1" t="s">
        <v>8490</v>
      </c>
      <c r="E681" s="1" t="s">
        <v>8491</v>
      </c>
      <c r="F681" s="1" t="s">
        <v>8492</v>
      </c>
      <c r="H681" s="2" t="s">
        <v>5</v>
      </c>
      <c r="I681" s="2" t="s">
        <v>6</v>
      </c>
      <c r="J681" s="2" t="s">
        <v>5</v>
      </c>
      <c r="K681" s="2" t="s">
        <v>5</v>
      </c>
      <c r="L681" s="2" t="s">
        <v>7</v>
      </c>
      <c r="M681" s="1" t="s">
        <v>5812</v>
      </c>
      <c r="N681" s="1" t="s">
        <v>8493</v>
      </c>
      <c r="O681" s="2" t="s">
        <v>1418</v>
      </c>
      <c r="P681" s="1" t="s">
        <v>8494</v>
      </c>
      <c r="Q681" s="2" t="s">
        <v>1151</v>
      </c>
      <c r="R681" s="2" t="s">
        <v>1152</v>
      </c>
      <c r="S681" s="1" t="s">
        <v>8495</v>
      </c>
      <c r="T681" s="2" t="s">
        <v>13</v>
      </c>
      <c r="U681" s="3">
        <v>1</v>
      </c>
      <c r="V681" s="3">
        <v>1</v>
      </c>
      <c r="W681" s="4" t="s">
        <v>5086</v>
      </c>
      <c r="X681" s="4" t="s">
        <v>5086</v>
      </c>
      <c r="Y681" s="4" t="s">
        <v>5086</v>
      </c>
      <c r="Z681" s="4" t="s">
        <v>5086</v>
      </c>
      <c r="AA681" s="3">
        <v>275</v>
      </c>
      <c r="AB681" s="3">
        <v>231</v>
      </c>
      <c r="AC681" s="3">
        <v>238</v>
      </c>
      <c r="AD681" s="3">
        <v>2</v>
      </c>
      <c r="AE681" s="9">
        <v>2</v>
      </c>
      <c r="AF681" s="9">
        <v>10</v>
      </c>
      <c r="AG681" s="9">
        <v>11</v>
      </c>
      <c r="AH681" s="3">
        <v>2</v>
      </c>
      <c r="AI681" s="3">
        <v>2</v>
      </c>
      <c r="AJ681" s="3">
        <v>3</v>
      </c>
      <c r="AK681" s="3">
        <v>4</v>
      </c>
      <c r="AL681" s="3">
        <v>5</v>
      </c>
      <c r="AM681" s="3">
        <v>5</v>
      </c>
      <c r="AN681" s="3">
        <v>1</v>
      </c>
      <c r="AO681" s="3">
        <v>1</v>
      </c>
      <c r="AP681" s="3">
        <v>0</v>
      </c>
      <c r="AQ681" s="3">
        <v>0</v>
      </c>
      <c r="AR681" s="2" t="s">
        <v>5</v>
      </c>
      <c r="AS681" s="2" t="s">
        <v>46</v>
      </c>
      <c r="AT681" s="5" t="str">
        <f>HYPERLINK("http://catalog.hathitrust.org/Record/001037776","HathiTrust Record")</f>
        <v>HathiTrust Record</v>
      </c>
      <c r="AU681" s="5" t="str">
        <f>HYPERLINK("https://creighton-primo.hosted.exlibrisgroup.com/primo-explore/search?tab=default_tab&amp;search_scope=EVERYTHING&amp;vid=01CRU&amp;lang=en_US&amp;offset=0&amp;query=any,contains,991004522869702656","Catalog Record")</f>
        <v>Catalog Record</v>
      </c>
      <c r="AV681" s="5" t="str">
        <f>HYPERLINK("http://www.worldcat.org/oclc/279638","WorldCat Record")</f>
        <v>WorldCat Record</v>
      </c>
      <c r="AW681" s="2" t="s">
        <v>8496</v>
      </c>
      <c r="AX681" s="2" t="s">
        <v>8497</v>
      </c>
      <c r="AY681" s="2" t="s">
        <v>8498</v>
      </c>
      <c r="AZ681" s="2" t="s">
        <v>8498</v>
      </c>
      <c r="BA681" s="2" t="s">
        <v>8499</v>
      </c>
      <c r="BB681" s="2" t="s">
        <v>20</v>
      </c>
      <c r="BE681" s="2" t="s">
        <v>8500</v>
      </c>
      <c r="BF681" s="2" t="s">
        <v>8501</v>
      </c>
    </row>
    <row r="682" spans="1:58" ht="39.75" customHeight="1" x14ac:dyDescent="0.25">
      <c r="A682" s="7" t="s">
        <v>5</v>
      </c>
      <c r="B682" s="1" t="s">
        <v>0</v>
      </c>
      <c r="C682" s="1" t="s">
        <v>1</v>
      </c>
      <c r="D682" s="1" t="s">
        <v>8502</v>
      </c>
      <c r="E682" s="1" t="s">
        <v>8503</v>
      </c>
      <c r="F682" s="1" t="s">
        <v>8504</v>
      </c>
      <c r="H682" s="2" t="s">
        <v>5</v>
      </c>
      <c r="I682" s="2" t="s">
        <v>6</v>
      </c>
      <c r="J682" s="2" t="s">
        <v>5</v>
      </c>
      <c r="K682" s="2" t="s">
        <v>5</v>
      </c>
      <c r="L682" s="2" t="s">
        <v>7</v>
      </c>
      <c r="M682" s="1" t="s">
        <v>8505</v>
      </c>
      <c r="N682" s="1" t="s">
        <v>8506</v>
      </c>
      <c r="O682" s="2" t="s">
        <v>248</v>
      </c>
      <c r="Q682" s="2" t="s">
        <v>1151</v>
      </c>
      <c r="R682" s="2" t="s">
        <v>1152</v>
      </c>
      <c r="T682" s="2" t="s">
        <v>13</v>
      </c>
      <c r="U682" s="3">
        <v>1</v>
      </c>
      <c r="V682" s="3">
        <v>1</v>
      </c>
      <c r="W682" s="4" t="s">
        <v>8507</v>
      </c>
      <c r="X682" s="4" t="s">
        <v>8507</v>
      </c>
      <c r="Y682" s="4" t="s">
        <v>8508</v>
      </c>
      <c r="Z682" s="4" t="s">
        <v>8508</v>
      </c>
      <c r="AA682" s="3">
        <v>313</v>
      </c>
      <c r="AB682" s="3">
        <v>256</v>
      </c>
      <c r="AC682" s="3">
        <v>260</v>
      </c>
      <c r="AD682" s="3">
        <v>4</v>
      </c>
      <c r="AE682" s="9">
        <v>4</v>
      </c>
      <c r="AF682" s="9">
        <v>14</v>
      </c>
      <c r="AG682" s="9">
        <v>14</v>
      </c>
      <c r="AH682" s="3">
        <v>3</v>
      </c>
      <c r="AI682" s="3">
        <v>3</v>
      </c>
      <c r="AJ682" s="3">
        <v>4</v>
      </c>
      <c r="AK682" s="3">
        <v>4</v>
      </c>
      <c r="AL682" s="3">
        <v>7</v>
      </c>
      <c r="AM682" s="3">
        <v>7</v>
      </c>
      <c r="AN682" s="3">
        <v>3</v>
      </c>
      <c r="AO682" s="3">
        <v>3</v>
      </c>
      <c r="AP682" s="3">
        <v>0</v>
      </c>
      <c r="AQ682" s="3">
        <v>0</v>
      </c>
      <c r="AR682" s="2" t="s">
        <v>5</v>
      </c>
      <c r="AS682" s="2" t="s">
        <v>46</v>
      </c>
      <c r="AT682" s="5" t="str">
        <f>HYPERLINK("http://catalog.hathitrust.org/Record/001590681","HathiTrust Record")</f>
        <v>HathiTrust Record</v>
      </c>
      <c r="AU682" s="5" t="str">
        <f>HYPERLINK("https://creighton-primo.hosted.exlibrisgroup.com/primo-explore/search?tab=default_tab&amp;search_scope=EVERYTHING&amp;vid=01CRU&amp;lang=en_US&amp;offset=0&amp;query=any,contains,991002297149702656","Catalog Record")</f>
        <v>Catalog Record</v>
      </c>
      <c r="AV682" s="5" t="str">
        <f>HYPERLINK("http://www.worldcat.org/oclc/316230","WorldCat Record")</f>
        <v>WorldCat Record</v>
      </c>
      <c r="AW682" s="2" t="s">
        <v>8509</v>
      </c>
      <c r="AX682" s="2" t="s">
        <v>8510</v>
      </c>
      <c r="AY682" s="2" t="s">
        <v>8511</v>
      </c>
      <c r="AZ682" s="2" t="s">
        <v>8511</v>
      </c>
      <c r="BA682" s="2" t="s">
        <v>8512</v>
      </c>
      <c r="BB682" s="2" t="s">
        <v>20</v>
      </c>
      <c r="BE682" s="2" t="s">
        <v>8513</v>
      </c>
      <c r="BF682" s="2" t="s">
        <v>8514</v>
      </c>
    </row>
    <row r="683" spans="1:58" ht="39.75" customHeight="1" x14ac:dyDescent="0.25">
      <c r="A683" s="7" t="s">
        <v>5</v>
      </c>
      <c r="B683" s="1" t="s">
        <v>0</v>
      </c>
      <c r="C683" s="1" t="s">
        <v>1</v>
      </c>
      <c r="D683" s="1" t="s">
        <v>8515</v>
      </c>
      <c r="E683" s="1" t="s">
        <v>8516</v>
      </c>
      <c r="F683" s="1" t="s">
        <v>8517</v>
      </c>
      <c r="H683" s="2" t="s">
        <v>5</v>
      </c>
      <c r="I683" s="2" t="s">
        <v>6</v>
      </c>
      <c r="J683" s="2" t="s">
        <v>5</v>
      </c>
      <c r="K683" s="2" t="s">
        <v>5</v>
      </c>
      <c r="L683" s="2" t="s">
        <v>7</v>
      </c>
      <c r="M683" s="1" t="s">
        <v>8518</v>
      </c>
      <c r="N683" s="1" t="s">
        <v>994</v>
      </c>
      <c r="O683" s="2" t="s">
        <v>995</v>
      </c>
      <c r="Q683" s="2" t="s">
        <v>60</v>
      </c>
      <c r="R683" s="2" t="s">
        <v>277</v>
      </c>
      <c r="S683" s="1" t="s">
        <v>8519</v>
      </c>
      <c r="T683" s="2" t="s">
        <v>13</v>
      </c>
      <c r="U683" s="3">
        <v>1</v>
      </c>
      <c r="V683" s="3">
        <v>1</v>
      </c>
      <c r="W683" s="4" t="s">
        <v>8520</v>
      </c>
      <c r="X683" s="4" t="s">
        <v>8520</v>
      </c>
      <c r="Y683" s="4" t="s">
        <v>8521</v>
      </c>
      <c r="Z683" s="4" t="s">
        <v>8521</v>
      </c>
      <c r="AA683" s="3">
        <v>516</v>
      </c>
      <c r="AB683" s="3">
        <v>445</v>
      </c>
      <c r="AC683" s="3">
        <v>447</v>
      </c>
      <c r="AD683" s="3">
        <v>4</v>
      </c>
      <c r="AE683" s="9">
        <v>4</v>
      </c>
      <c r="AF683" s="9">
        <v>19</v>
      </c>
      <c r="AG683" s="9">
        <v>19</v>
      </c>
      <c r="AH683" s="3">
        <v>8</v>
      </c>
      <c r="AI683" s="3">
        <v>8</v>
      </c>
      <c r="AJ683" s="3">
        <v>3</v>
      </c>
      <c r="AK683" s="3">
        <v>3</v>
      </c>
      <c r="AL683" s="3">
        <v>12</v>
      </c>
      <c r="AM683" s="3">
        <v>12</v>
      </c>
      <c r="AN683" s="3">
        <v>3</v>
      </c>
      <c r="AO683" s="3">
        <v>3</v>
      </c>
      <c r="AP683" s="3">
        <v>0</v>
      </c>
      <c r="AQ683" s="3">
        <v>0</v>
      </c>
      <c r="AR683" s="2" t="s">
        <v>5</v>
      </c>
      <c r="AS683" s="2" t="s">
        <v>46</v>
      </c>
      <c r="AT683" s="5" t="str">
        <f>HYPERLINK("http://catalog.hathitrust.org/Record/000086348","HathiTrust Record")</f>
        <v>HathiTrust Record</v>
      </c>
      <c r="AU683" s="5" t="str">
        <f>HYPERLINK("https://creighton-primo.hosted.exlibrisgroup.com/primo-explore/search?tab=default_tab&amp;search_scope=EVERYTHING&amp;vid=01CRU&amp;lang=en_US&amp;offset=0&amp;query=any,contains,991005039639702656","Catalog Record")</f>
        <v>Catalog Record</v>
      </c>
      <c r="AV683" s="5" t="str">
        <f>HYPERLINK("http://www.worldcat.org/oclc/6788802","WorldCat Record")</f>
        <v>WorldCat Record</v>
      </c>
      <c r="AW683" s="2" t="s">
        <v>8522</v>
      </c>
      <c r="AX683" s="2" t="s">
        <v>8523</v>
      </c>
      <c r="AY683" s="2" t="s">
        <v>8524</v>
      </c>
      <c r="AZ683" s="2" t="s">
        <v>8524</v>
      </c>
      <c r="BA683" s="2" t="s">
        <v>8525</v>
      </c>
      <c r="BB683" s="2" t="s">
        <v>20</v>
      </c>
      <c r="BD683" s="2" t="s">
        <v>8526</v>
      </c>
      <c r="BE683" s="2" t="s">
        <v>8527</v>
      </c>
      <c r="BF683" s="2" t="s">
        <v>8528</v>
      </c>
    </row>
    <row r="684" spans="1:58" ht="39.75" customHeight="1" x14ac:dyDescent="0.25">
      <c r="A684" s="7" t="s">
        <v>5</v>
      </c>
      <c r="B684" s="1" t="s">
        <v>0</v>
      </c>
      <c r="C684" s="1" t="s">
        <v>1</v>
      </c>
      <c r="D684" s="1" t="s">
        <v>8529</v>
      </c>
      <c r="E684" s="1" t="s">
        <v>8530</v>
      </c>
      <c r="F684" s="1" t="s">
        <v>8531</v>
      </c>
      <c r="H684" s="2" t="s">
        <v>5</v>
      </c>
      <c r="I684" s="2" t="s">
        <v>6</v>
      </c>
      <c r="J684" s="2" t="s">
        <v>5</v>
      </c>
      <c r="K684" s="2" t="s">
        <v>5</v>
      </c>
      <c r="L684" s="2" t="s">
        <v>7</v>
      </c>
      <c r="M684" s="1" t="s">
        <v>8532</v>
      </c>
      <c r="N684" s="1" t="s">
        <v>8533</v>
      </c>
      <c r="O684" s="2" t="s">
        <v>584</v>
      </c>
      <c r="Q684" s="2" t="s">
        <v>1151</v>
      </c>
      <c r="R684" s="2" t="s">
        <v>1152</v>
      </c>
      <c r="T684" s="2" t="s">
        <v>13</v>
      </c>
      <c r="U684" s="3">
        <v>4</v>
      </c>
      <c r="V684" s="3">
        <v>4</v>
      </c>
      <c r="W684" s="4" t="s">
        <v>1918</v>
      </c>
      <c r="X684" s="4" t="s">
        <v>1918</v>
      </c>
      <c r="Y684" s="4" t="s">
        <v>8508</v>
      </c>
      <c r="Z684" s="4" t="s">
        <v>8508</v>
      </c>
      <c r="AA684" s="3">
        <v>246</v>
      </c>
      <c r="AB684" s="3">
        <v>206</v>
      </c>
      <c r="AC684" s="3">
        <v>213</v>
      </c>
      <c r="AD684" s="3">
        <v>2</v>
      </c>
      <c r="AE684" s="9">
        <v>2</v>
      </c>
      <c r="AF684" s="9">
        <v>7</v>
      </c>
      <c r="AG684" s="9">
        <v>7</v>
      </c>
      <c r="AH684" s="3">
        <v>1</v>
      </c>
      <c r="AI684" s="3">
        <v>1</v>
      </c>
      <c r="AJ684" s="3">
        <v>2</v>
      </c>
      <c r="AK684" s="3">
        <v>2</v>
      </c>
      <c r="AL684" s="3">
        <v>5</v>
      </c>
      <c r="AM684" s="3">
        <v>5</v>
      </c>
      <c r="AN684" s="3">
        <v>1</v>
      </c>
      <c r="AO684" s="3">
        <v>1</v>
      </c>
      <c r="AP684" s="3">
        <v>0</v>
      </c>
      <c r="AQ684" s="3">
        <v>0</v>
      </c>
      <c r="AR684" s="2" t="s">
        <v>5</v>
      </c>
      <c r="AS684" s="2" t="s">
        <v>46</v>
      </c>
      <c r="AT684" s="5" t="str">
        <f>HYPERLINK("http://catalog.hathitrust.org/Record/001052365","HathiTrust Record")</f>
        <v>HathiTrust Record</v>
      </c>
      <c r="AU684" s="5" t="str">
        <f>HYPERLINK("https://creighton-primo.hosted.exlibrisgroup.com/primo-explore/search?tab=default_tab&amp;search_scope=EVERYTHING&amp;vid=01CRU&amp;lang=en_US&amp;offset=0&amp;query=any,contains,991001096079702656","Catalog Record")</f>
        <v>Catalog Record</v>
      </c>
      <c r="AV684" s="5" t="str">
        <f>HYPERLINK("http://www.worldcat.org/oclc/183308","WorldCat Record")</f>
        <v>WorldCat Record</v>
      </c>
      <c r="AW684" s="2" t="s">
        <v>8534</v>
      </c>
      <c r="AX684" s="2" t="s">
        <v>8535</v>
      </c>
      <c r="AY684" s="2" t="s">
        <v>8536</v>
      </c>
      <c r="AZ684" s="2" t="s">
        <v>8536</v>
      </c>
      <c r="BA684" s="2" t="s">
        <v>8537</v>
      </c>
      <c r="BB684" s="2" t="s">
        <v>20</v>
      </c>
      <c r="BE684" s="2" t="s">
        <v>8538</v>
      </c>
      <c r="BF684" s="2" t="s">
        <v>8539</v>
      </c>
    </row>
    <row r="685" spans="1:58" ht="39.75" customHeight="1" x14ac:dyDescent="0.25">
      <c r="A685" s="7" t="s">
        <v>5</v>
      </c>
      <c r="B685" s="1" t="s">
        <v>0</v>
      </c>
      <c r="C685" s="1" t="s">
        <v>1</v>
      </c>
      <c r="D685" s="1" t="s">
        <v>8540</v>
      </c>
      <c r="E685" s="1" t="s">
        <v>8541</v>
      </c>
      <c r="F685" s="1" t="s">
        <v>8542</v>
      </c>
      <c r="H685" s="2" t="s">
        <v>5</v>
      </c>
      <c r="I685" s="2" t="s">
        <v>6</v>
      </c>
      <c r="J685" s="2" t="s">
        <v>5</v>
      </c>
      <c r="K685" s="2" t="s">
        <v>5</v>
      </c>
      <c r="L685" s="2" t="s">
        <v>7</v>
      </c>
      <c r="M685" s="1" t="s">
        <v>8543</v>
      </c>
      <c r="N685" s="1" t="s">
        <v>8544</v>
      </c>
      <c r="O685" s="2" t="s">
        <v>995</v>
      </c>
      <c r="Q685" s="2" t="s">
        <v>1151</v>
      </c>
      <c r="R685" s="2" t="s">
        <v>1152</v>
      </c>
      <c r="T685" s="2" t="s">
        <v>13</v>
      </c>
      <c r="U685" s="3">
        <v>1</v>
      </c>
      <c r="V685" s="3">
        <v>1</v>
      </c>
      <c r="W685" s="4" t="s">
        <v>5518</v>
      </c>
      <c r="X685" s="4" t="s">
        <v>5518</v>
      </c>
      <c r="Y685" s="4" t="s">
        <v>5518</v>
      </c>
      <c r="Z685" s="4" t="s">
        <v>5518</v>
      </c>
      <c r="AA685" s="3">
        <v>165</v>
      </c>
      <c r="AB685" s="3">
        <v>115</v>
      </c>
      <c r="AC685" s="3">
        <v>127</v>
      </c>
      <c r="AD685" s="3">
        <v>2</v>
      </c>
      <c r="AE685" s="9">
        <v>2</v>
      </c>
      <c r="AF685" s="9">
        <v>3</v>
      </c>
      <c r="AG685" s="9">
        <v>4</v>
      </c>
      <c r="AH685" s="3">
        <v>1</v>
      </c>
      <c r="AI685" s="3">
        <v>1</v>
      </c>
      <c r="AJ685" s="3">
        <v>1</v>
      </c>
      <c r="AK685" s="3">
        <v>1</v>
      </c>
      <c r="AL685" s="3">
        <v>2</v>
      </c>
      <c r="AM685" s="3">
        <v>3</v>
      </c>
      <c r="AN685" s="3">
        <v>1</v>
      </c>
      <c r="AO685" s="3">
        <v>1</v>
      </c>
      <c r="AP685" s="3">
        <v>0</v>
      </c>
      <c r="AQ685" s="3">
        <v>0</v>
      </c>
      <c r="AR685" s="2" t="s">
        <v>5</v>
      </c>
      <c r="AS685" s="2" t="s">
        <v>46</v>
      </c>
      <c r="AT685" s="5" t="str">
        <f>HYPERLINK("http://catalog.hathitrust.org/Record/000145774","HathiTrust Record")</f>
        <v>HathiTrust Record</v>
      </c>
      <c r="AU685" s="5" t="str">
        <f>HYPERLINK("https://creighton-primo.hosted.exlibrisgroup.com/primo-explore/search?tab=default_tab&amp;search_scope=EVERYTHING&amp;vid=01CRU&amp;lang=en_US&amp;offset=0&amp;query=any,contains,991004508259702656","Catalog Record")</f>
        <v>Catalog Record</v>
      </c>
      <c r="AV685" s="5" t="str">
        <f>HYPERLINK("http://www.worldcat.org/oclc/8473527","WorldCat Record")</f>
        <v>WorldCat Record</v>
      </c>
      <c r="AW685" s="2" t="s">
        <v>8545</v>
      </c>
      <c r="AX685" s="2" t="s">
        <v>8546</v>
      </c>
      <c r="AY685" s="2" t="s">
        <v>8547</v>
      </c>
      <c r="AZ685" s="2" t="s">
        <v>8547</v>
      </c>
      <c r="BA685" s="2" t="s">
        <v>8548</v>
      </c>
      <c r="BB685" s="2" t="s">
        <v>20</v>
      </c>
      <c r="BD685" s="2" t="s">
        <v>8549</v>
      </c>
      <c r="BE685" s="2" t="s">
        <v>8550</v>
      </c>
      <c r="BF685" s="2" t="s">
        <v>8551</v>
      </c>
    </row>
    <row r="686" spans="1:58" ht="39.75" customHeight="1" x14ac:dyDescent="0.25">
      <c r="A686" s="7" t="s">
        <v>5</v>
      </c>
      <c r="B686" s="1" t="s">
        <v>0</v>
      </c>
      <c r="C686" s="1" t="s">
        <v>1</v>
      </c>
      <c r="D686" s="1" t="s">
        <v>8552</v>
      </c>
      <c r="E686" s="1" t="s">
        <v>8553</v>
      </c>
      <c r="F686" s="1" t="s">
        <v>8554</v>
      </c>
      <c r="H686" s="2" t="s">
        <v>5</v>
      </c>
      <c r="I686" s="2" t="s">
        <v>6</v>
      </c>
      <c r="J686" s="2" t="s">
        <v>5</v>
      </c>
      <c r="K686" s="2" t="s">
        <v>5</v>
      </c>
      <c r="L686" s="2" t="s">
        <v>7</v>
      </c>
      <c r="M686" s="1" t="s">
        <v>8555</v>
      </c>
      <c r="N686" s="1" t="s">
        <v>8556</v>
      </c>
      <c r="O686" s="2" t="s">
        <v>1273</v>
      </c>
      <c r="Q686" s="2" t="s">
        <v>1151</v>
      </c>
      <c r="R686" s="2" t="s">
        <v>1152</v>
      </c>
      <c r="S686" s="1" t="s">
        <v>8557</v>
      </c>
      <c r="T686" s="2" t="s">
        <v>13</v>
      </c>
      <c r="U686" s="3">
        <v>2</v>
      </c>
      <c r="V686" s="3">
        <v>2</v>
      </c>
      <c r="W686" s="4" t="s">
        <v>8558</v>
      </c>
      <c r="X686" s="4" t="s">
        <v>8558</v>
      </c>
      <c r="Y686" s="4" t="s">
        <v>8521</v>
      </c>
      <c r="Z686" s="4" t="s">
        <v>8521</v>
      </c>
      <c r="AA686" s="3">
        <v>78</v>
      </c>
      <c r="AB686" s="3">
        <v>50</v>
      </c>
      <c r="AC686" s="3">
        <v>51</v>
      </c>
      <c r="AD686" s="3">
        <v>2</v>
      </c>
      <c r="AE686" s="9">
        <v>2</v>
      </c>
      <c r="AF686" s="9">
        <v>1</v>
      </c>
      <c r="AG686" s="9">
        <v>1</v>
      </c>
      <c r="AH686" s="3">
        <v>0</v>
      </c>
      <c r="AI686" s="3">
        <v>0</v>
      </c>
      <c r="AJ686" s="3">
        <v>0</v>
      </c>
      <c r="AK686" s="3">
        <v>0</v>
      </c>
      <c r="AL686" s="3">
        <v>0</v>
      </c>
      <c r="AM686" s="3">
        <v>0</v>
      </c>
      <c r="AN686" s="3">
        <v>1</v>
      </c>
      <c r="AO686" s="3">
        <v>1</v>
      </c>
      <c r="AP686" s="3">
        <v>0</v>
      </c>
      <c r="AQ686" s="3">
        <v>0</v>
      </c>
      <c r="AR686" s="2" t="s">
        <v>5</v>
      </c>
      <c r="AS686" s="2" t="s">
        <v>46</v>
      </c>
      <c r="AT686" s="5" t="str">
        <f>HYPERLINK("http://catalog.hathitrust.org/Record/000883433","HathiTrust Record")</f>
        <v>HathiTrust Record</v>
      </c>
      <c r="AU686" s="5" t="str">
        <f>HYPERLINK("https://creighton-primo.hosted.exlibrisgroup.com/primo-explore/search?tab=default_tab&amp;search_scope=EVERYTHING&amp;vid=01CRU&amp;lang=en_US&amp;offset=0&amp;query=any,contains,991001134579702656","Catalog Record")</f>
        <v>Catalog Record</v>
      </c>
      <c r="AV686" s="5" t="str">
        <f>HYPERLINK("http://www.worldcat.org/oclc/16703948","WorldCat Record")</f>
        <v>WorldCat Record</v>
      </c>
      <c r="AW686" s="2" t="s">
        <v>8559</v>
      </c>
      <c r="AX686" s="2" t="s">
        <v>8560</v>
      </c>
      <c r="AY686" s="2" t="s">
        <v>8561</v>
      </c>
      <c r="AZ686" s="2" t="s">
        <v>8561</v>
      </c>
      <c r="BA686" s="2" t="s">
        <v>8562</v>
      </c>
      <c r="BB686" s="2" t="s">
        <v>20</v>
      </c>
      <c r="BD686" s="2" t="s">
        <v>8563</v>
      </c>
      <c r="BE686" s="2" t="s">
        <v>8564</v>
      </c>
      <c r="BF686" s="2" t="s">
        <v>8565</v>
      </c>
    </row>
    <row r="687" spans="1:58" ht="39.75" customHeight="1" x14ac:dyDescent="0.25">
      <c r="A687" s="7" t="s">
        <v>5</v>
      </c>
      <c r="B687" s="1" t="s">
        <v>0</v>
      </c>
      <c r="C687" s="1" t="s">
        <v>1</v>
      </c>
      <c r="D687" s="1" t="s">
        <v>8566</v>
      </c>
      <c r="E687" s="1" t="s">
        <v>8567</v>
      </c>
      <c r="F687" s="1" t="s">
        <v>8568</v>
      </c>
      <c r="H687" s="2" t="s">
        <v>5</v>
      </c>
      <c r="I687" s="2" t="s">
        <v>6</v>
      </c>
      <c r="J687" s="2" t="s">
        <v>5</v>
      </c>
      <c r="K687" s="2" t="s">
        <v>5</v>
      </c>
      <c r="L687" s="2" t="s">
        <v>7</v>
      </c>
      <c r="M687" s="1" t="s">
        <v>8569</v>
      </c>
      <c r="N687" s="1" t="s">
        <v>8570</v>
      </c>
      <c r="O687" s="2" t="s">
        <v>969</v>
      </c>
      <c r="Q687" s="2" t="s">
        <v>1151</v>
      </c>
      <c r="R687" s="2" t="s">
        <v>3002</v>
      </c>
      <c r="S687" s="1" t="s">
        <v>8571</v>
      </c>
      <c r="T687" s="2" t="s">
        <v>13</v>
      </c>
      <c r="U687" s="3">
        <v>2</v>
      </c>
      <c r="V687" s="3">
        <v>2</v>
      </c>
      <c r="W687" s="4" t="s">
        <v>8558</v>
      </c>
      <c r="X687" s="4" t="s">
        <v>8558</v>
      </c>
      <c r="Y687" s="4" t="s">
        <v>8508</v>
      </c>
      <c r="Z687" s="4" t="s">
        <v>8508</v>
      </c>
      <c r="AA687" s="3">
        <v>67</v>
      </c>
      <c r="AB687" s="3">
        <v>57</v>
      </c>
      <c r="AC687" s="3">
        <v>167</v>
      </c>
      <c r="AD687" s="3">
        <v>1</v>
      </c>
      <c r="AE687" s="9">
        <v>2</v>
      </c>
      <c r="AF687" s="9">
        <v>3</v>
      </c>
      <c r="AG687" s="9">
        <v>10</v>
      </c>
      <c r="AH687" s="3">
        <v>1</v>
      </c>
      <c r="AI687" s="3">
        <v>3</v>
      </c>
      <c r="AJ687" s="3">
        <v>0</v>
      </c>
      <c r="AK687" s="3">
        <v>3</v>
      </c>
      <c r="AL687" s="3">
        <v>2</v>
      </c>
      <c r="AM687" s="3">
        <v>6</v>
      </c>
      <c r="AN687" s="3">
        <v>0</v>
      </c>
      <c r="AO687" s="3">
        <v>1</v>
      </c>
      <c r="AP687" s="3">
        <v>0</v>
      </c>
      <c r="AQ687" s="3">
        <v>0</v>
      </c>
      <c r="AR687" s="2" t="s">
        <v>5</v>
      </c>
      <c r="AS687" s="2" t="s">
        <v>46</v>
      </c>
      <c r="AT687" s="5" t="str">
        <f>HYPERLINK("http://catalog.hathitrust.org/Record/001052384","HathiTrust Record")</f>
        <v>HathiTrust Record</v>
      </c>
      <c r="AU687" s="5" t="str">
        <f>HYPERLINK("https://creighton-primo.hosted.exlibrisgroup.com/primo-explore/search?tab=default_tab&amp;search_scope=EVERYTHING&amp;vid=01CRU&amp;lang=en_US&amp;offset=0&amp;query=any,contains,991005062489702656","Catalog Record")</f>
        <v>Catalog Record</v>
      </c>
      <c r="AV687" s="5" t="str">
        <f>HYPERLINK("http://www.worldcat.org/oclc/6932297","WorldCat Record")</f>
        <v>WorldCat Record</v>
      </c>
      <c r="AW687" s="2" t="s">
        <v>8572</v>
      </c>
      <c r="AX687" s="2" t="s">
        <v>8573</v>
      </c>
      <c r="AY687" s="2" t="s">
        <v>8574</v>
      </c>
      <c r="AZ687" s="2" t="s">
        <v>8574</v>
      </c>
      <c r="BA687" s="2" t="s">
        <v>8575</v>
      </c>
      <c r="BB687" s="2" t="s">
        <v>20</v>
      </c>
      <c r="BE687" s="2" t="s">
        <v>8576</v>
      </c>
      <c r="BF687" s="2" t="s">
        <v>8577</v>
      </c>
    </row>
    <row r="688" spans="1:58" ht="39.75" customHeight="1" x14ac:dyDescent="0.25">
      <c r="A688" s="7" t="s">
        <v>5</v>
      </c>
      <c r="B688" s="1" t="s">
        <v>0</v>
      </c>
      <c r="C688" s="1" t="s">
        <v>1</v>
      </c>
      <c r="D688" s="1" t="s">
        <v>8578</v>
      </c>
      <c r="E688" s="1" t="s">
        <v>8579</v>
      </c>
      <c r="F688" s="1" t="s">
        <v>8580</v>
      </c>
      <c r="H688" s="2" t="s">
        <v>5</v>
      </c>
      <c r="I688" s="2" t="s">
        <v>6</v>
      </c>
      <c r="J688" s="2" t="s">
        <v>5</v>
      </c>
      <c r="K688" s="2" t="s">
        <v>5</v>
      </c>
      <c r="L688" s="2" t="s">
        <v>7</v>
      </c>
      <c r="M688" s="1" t="s">
        <v>8581</v>
      </c>
      <c r="N688" s="1" t="s">
        <v>8582</v>
      </c>
      <c r="O688" s="2" t="s">
        <v>708</v>
      </c>
      <c r="P688" s="1" t="s">
        <v>5911</v>
      </c>
      <c r="Q688" s="2" t="s">
        <v>1151</v>
      </c>
      <c r="R688" s="2" t="s">
        <v>1152</v>
      </c>
      <c r="S688" s="1" t="s">
        <v>8086</v>
      </c>
      <c r="T688" s="2" t="s">
        <v>13</v>
      </c>
      <c r="U688" s="3">
        <v>1</v>
      </c>
      <c r="V688" s="3">
        <v>1</v>
      </c>
      <c r="W688" s="4" t="s">
        <v>8583</v>
      </c>
      <c r="X688" s="4" t="s">
        <v>8583</v>
      </c>
      <c r="Y688" s="4" t="s">
        <v>8584</v>
      </c>
      <c r="Z688" s="4" t="s">
        <v>8584</v>
      </c>
      <c r="AA688" s="3">
        <v>170</v>
      </c>
      <c r="AB688" s="3">
        <v>127</v>
      </c>
      <c r="AC688" s="3">
        <v>136</v>
      </c>
      <c r="AD688" s="3">
        <v>1</v>
      </c>
      <c r="AE688" s="9">
        <v>1</v>
      </c>
      <c r="AF688" s="9">
        <v>4</v>
      </c>
      <c r="AG688" s="9">
        <v>4</v>
      </c>
      <c r="AH688" s="3">
        <v>2</v>
      </c>
      <c r="AI688" s="3">
        <v>2</v>
      </c>
      <c r="AJ688" s="3">
        <v>3</v>
      </c>
      <c r="AK688" s="3">
        <v>3</v>
      </c>
      <c r="AL688" s="3">
        <v>1</v>
      </c>
      <c r="AM688" s="3">
        <v>1</v>
      </c>
      <c r="AN688" s="3">
        <v>0</v>
      </c>
      <c r="AO688" s="3">
        <v>0</v>
      </c>
      <c r="AP688" s="3">
        <v>0</v>
      </c>
      <c r="AQ688" s="3">
        <v>0</v>
      </c>
      <c r="AR688" s="2" t="s">
        <v>5</v>
      </c>
      <c r="AS688" s="2" t="s">
        <v>46</v>
      </c>
      <c r="AT688" s="5" t="str">
        <f>HYPERLINK("http://catalog.hathitrust.org/Record/000857104","HathiTrust Record")</f>
        <v>HathiTrust Record</v>
      </c>
      <c r="AU688" s="5" t="str">
        <f>HYPERLINK("https://creighton-primo.hosted.exlibrisgroup.com/primo-explore/search?tab=default_tab&amp;search_scope=EVERYTHING&amp;vid=01CRU&amp;lang=en_US&amp;offset=0&amp;query=any,contains,991001077159702656","Catalog Record")</f>
        <v>Catalog Record</v>
      </c>
      <c r="AV688" s="5" t="str">
        <f>HYPERLINK("http://www.worldcat.org/oclc/16074525","WorldCat Record")</f>
        <v>WorldCat Record</v>
      </c>
      <c r="AW688" s="2" t="s">
        <v>8585</v>
      </c>
      <c r="AX688" s="2" t="s">
        <v>8586</v>
      </c>
      <c r="AY688" s="2" t="s">
        <v>8587</v>
      </c>
      <c r="AZ688" s="2" t="s">
        <v>8587</v>
      </c>
      <c r="BA688" s="2" t="s">
        <v>8588</v>
      </c>
      <c r="BB688" s="2" t="s">
        <v>20</v>
      </c>
      <c r="BD688" s="2" t="s">
        <v>8589</v>
      </c>
      <c r="BE688" s="2" t="s">
        <v>8590</v>
      </c>
      <c r="BF688" s="2" t="s">
        <v>8591</v>
      </c>
    </row>
    <row r="689" spans="1:58" ht="39.75" customHeight="1" x14ac:dyDescent="0.25">
      <c r="A689" s="7" t="s">
        <v>5</v>
      </c>
      <c r="B689" s="1" t="s">
        <v>0</v>
      </c>
      <c r="C689" s="1" t="s">
        <v>1</v>
      </c>
      <c r="D689" s="1" t="s">
        <v>8592</v>
      </c>
      <c r="E689" s="1" t="s">
        <v>8593</v>
      </c>
      <c r="F689" s="1" t="s">
        <v>8594</v>
      </c>
      <c r="H689" s="2" t="s">
        <v>5</v>
      </c>
      <c r="I689" s="2" t="s">
        <v>6</v>
      </c>
      <c r="J689" s="2" t="s">
        <v>5</v>
      </c>
      <c r="K689" s="2" t="s">
        <v>5</v>
      </c>
      <c r="L689" s="2" t="s">
        <v>7</v>
      </c>
      <c r="M689" s="1" t="s">
        <v>8595</v>
      </c>
      <c r="N689" s="1" t="s">
        <v>8596</v>
      </c>
      <c r="O689" s="2" t="s">
        <v>494</v>
      </c>
      <c r="P689" s="1" t="s">
        <v>2908</v>
      </c>
      <c r="Q689" s="2" t="s">
        <v>1151</v>
      </c>
      <c r="R689" s="2" t="s">
        <v>1152</v>
      </c>
      <c r="S689" s="1" t="s">
        <v>8597</v>
      </c>
      <c r="T689" s="2" t="s">
        <v>13</v>
      </c>
      <c r="U689" s="3">
        <v>2</v>
      </c>
      <c r="V689" s="3">
        <v>2</v>
      </c>
      <c r="W689" s="4" t="s">
        <v>8598</v>
      </c>
      <c r="X689" s="4" t="s">
        <v>8598</v>
      </c>
      <c r="Y689" s="4" t="s">
        <v>8599</v>
      </c>
      <c r="Z689" s="4" t="s">
        <v>8599</v>
      </c>
      <c r="AA689" s="3">
        <v>194</v>
      </c>
      <c r="AB689" s="3">
        <v>135</v>
      </c>
      <c r="AC689" s="3">
        <v>604</v>
      </c>
      <c r="AD689" s="3">
        <v>1</v>
      </c>
      <c r="AE689" s="9">
        <v>5</v>
      </c>
      <c r="AF689" s="9">
        <v>5</v>
      </c>
      <c r="AG689" s="9">
        <v>33</v>
      </c>
      <c r="AH689" s="3">
        <v>4</v>
      </c>
      <c r="AI689" s="3">
        <v>16</v>
      </c>
      <c r="AJ689" s="3">
        <v>1</v>
      </c>
      <c r="AK689" s="3">
        <v>10</v>
      </c>
      <c r="AL689" s="3">
        <v>2</v>
      </c>
      <c r="AM689" s="3">
        <v>13</v>
      </c>
      <c r="AN689" s="3">
        <v>0</v>
      </c>
      <c r="AO689" s="3">
        <v>4</v>
      </c>
      <c r="AP689" s="3">
        <v>0</v>
      </c>
      <c r="AQ689" s="3">
        <v>0</v>
      </c>
      <c r="AR689" s="2" t="s">
        <v>5</v>
      </c>
      <c r="AS689" s="2" t="s">
        <v>5</v>
      </c>
      <c r="AU689" s="5" t="str">
        <f>HYPERLINK("https://creighton-primo.hosted.exlibrisgroup.com/primo-explore/search?tab=default_tab&amp;search_scope=EVERYTHING&amp;vid=01CRU&amp;lang=en_US&amp;offset=0&amp;query=any,contains,991004644269702656","Catalog Record")</f>
        <v>Catalog Record</v>
      </c>
      <c r="AV689" s="5" t="str">
        <f>HYPERLINK("http://www.worldcat.org/oclc/4486578","WorldCat Record")</f>
        <v>WorldCat Record</v>
      </c>
      <c r="AW689" s="2" t="s">
        <v>8600</v>
      </c>
      <c r="AX689" s="2" t="s">
        <v>8601</v>
      </c>
      <c r="AY689" s="2" t="s">
        <v>8602</v>
      </c>
      <c r="AZ689" s="2" t="s">
        <v>8602</v>
      </c>
      <c r="BA689" s="2" t="s">
        <v>8603</v>
      </c>
      <c r="BB689" s="2" t="s">
        <v>20</v>
      </c>
      <c r="BD689" s="2" t="s">
        <v>8604</v>
      </c>
      <c r="BE689" s="2" t="s">
        <v>8605</v>
      </c>
      <c r="BF689" s="2" t="s">
        <v>8606</v>
      </c>
    </row>
    <row r="690" spans="1:58" ht="39.75" customHeight="1" x14ac:dyDescent="0.25">
      <c r="A690" s="7" t="s">
        <v>5</v>
      </c>
      <c r="B690" s="1" t="s">
        <v>0</v>
      </c>
      <c r="C690" s="1" t="s">
        <v>1</v>
      </c>
      <c r="D690" s="1" t="s">
        <v>8607</v>
      </c>
      <c r="E690" s="1" t="s">
        <v>8608</v>
      </c>
      <c r="F690" s="1" t="s">
        <v>8609</v>
      </c>
      <c r="H690" s="2" t="s">
        <v>5</v>
      </c>
      <c r="I690" s="2" t="s">
        <v>6</v>
      </c>
      <c r="J690" s="2" t="s">
        <v>5</v>
      </c>
      <c r="K690" s="2" t="s">
        <v>5</v>
      </c>
      <c r="L690" s="2" t="s">
        <v>7</v>
      </c>
      <c r="M690" s="1" t="s">
        <v>8610</v>
      </c>
      <c r="N690" s="1" t="s">
        <v>7958</v>
      </c>
      <c r="O690" s="2" t="s">
        <v>995</v>
      </c>
      <c r="Q690" s="2" t="s">
        <v>60</v>
      </c>
      <c r="R690" s="2" t="s">
        <v>277</v>
      </c>
      <c r="S690" s="1" t="s">
        <v>8611</v>
      </c>
      <c r="T690" s="2" t="s">
        <v>13</v>
      </c>
      <c r="U690" s="3">
        <v>1</v>
      </c>
      <c r="V690" s="3">
        <v>1</v>
      </c>
      <c r="W690" s="4" t="s">
        <v>8612</v>
      </c>
      <c r="X690" s="4" t="s">
        <v>8612</v>
      </c>
      <c r="Y690" s="4" t="s">
        <v>8521</v>
      </c>
      <c r="Z690" s="4" t="s">
        <v>8521</v>
      </c>
      <c r="AA690" s="3">
        <v>526</v>
      </c>
      <c r="AB690" s="3">
        <v>465</v>
      </c>
      <c r="AC690" s="3">
        <v>472</v>
      </c>
      <c r="AD690" s="3">
        <v>4</v>
      </c>
      <c r="AE690" s="9">
        <v>4</v>
      </c>
      <c r="AF690" s="9">
        <v>19</v>
      </c>
      <c r="AG690" s="9">
        <v>19</v>
      </c>
      <c r="AH690" s="3">
        <v>9</v>
      </c>
      <c r="AI690" s="3">
        <v>9</v>
      </c>
      <c r="AJ690" s="3">
        <v>3</v>
      </c>
      <c r="AK690" s="3">
        <v>3</v>
      </c>
      <c r="AL690" s="3">
        <v>10</v>
      </c>
      <c r="AM690" s="3">
        <v>10</v>
      </c>
      <c r="AN690" s="3">
        <v>3</v>
      </c>
      <c r="AO690" s="3">
        <v>3</v>
      </c>
      <c r="AP690" s="3">
        <v>0</v>
      </c>
      <c r="AQ690" s="3">
        <v>0</v>
      </c>
      <c r="AR690" s="2" t="s">
        <v>5</v>
      </c>
      <c r="AS690" s="2" t="s">
        <v>46</v>
      </c>
      <c r="AT690" s="5" t="str">
        <f>HYPERLINK("http://catalog.hathitrust.org/Record/000730075","HathiTrust Record")</f>
        <v>HathiTrust Record</v>
      </c>
      <c r="AU690" s="5" t="str">
        <f>HYPERLINK("https://creighton-primo.hosted.exlibrisgroup.com/primo-explore/search?tab=default_tab&amp;search_scope=EVERYTHING&amp;vid=01CRU&amp;lang=en_US&amp;offset=0&amp;query=any,contains,991005037029702656","Catalog Record")</f>
        <v>Catalog Record</v>
      </c>
      <c r="AV690" s="5" t="str">
        <f>HYPERLINK("http://www.worldcat.org/oclc/6762446","WorldCat Record")</f>
        <v>WorldCat Record</v>
      </c>
      <c r="AW690" s="2" t="s">
        <v>8613</v>
      </c>
      <c r="AX690" s="2" t="s">
        <v>8614</v>
      </c>
      <c r="AY690" s="2" t="s">
        <v>8615</v>
      </c>
      <c r="AZ690" s="2" t="s">
        <v>8615</v>
      </c>
      <c r="BA690" s="2" t="s">
        <v>8616</v>
      </c>
      <c r="BB690" s="2" t="s">
        <v>20</v>
      </c>
      <c r="BD690" s="2" t="s">
        <v>8617</v>
      </c>
      <c r="BE690" s="2" t="s">
        <v>8618</v>
      </c>
      <c r="BF690" s="2" t="s">
        <v>8619</v>
      </c>
    </row>
    <row r="691" spans="1:58" ht="39.75" customHeight="1" x14ac:dyDescent="0.25">
      <c r="A691" s="7" t="s">
        <v>5</v>
      </c>
      <c r="B691" s="1" t="s">
        <v>0</v>
      </c>
      <c r="C691" s="1" t="s">
        <v>1</v>
      </c>
      <c r="D691" s="1" t="s">
        <v>8620</v>
      </c>
      <c r="E691" s="1" t="s">
        <v>8621</v>
      </c>
      <c r="F691" s="1" t="s">
        <v>8622</v>
      </c>
      <c r="H691" s="2" t="s">
        <v>5</v>
      </c>
      <c r="I691" s="2" t="s">
        <v>6</v>
      </c>
      <c r="J691" s="2" t="s">
        <v>5</v>
      </c>
      <c r="K691" s="2" t="s">
        <v>5</v>
      </c>
      <c r="L691" s="2" t="s">
        <v>7</v>
      </c>
      <c r="N691" s="1" t="s">
        <v>8623</v>
      </c>
      <c r="O691" s="2" t="s">
        <v>392</v>
      </c>
      <c r="Q691" s="2" t="s">
        <v>1151</v>
      </c>
      <c r="R691" s="2" t="s">
        <v>8624</v>
      </c>
      <c r="T691" s="2" t="s">
        <v>13</v>
      </c>
      <c r="U691" s="3">
        <v>1</v>
      </c>
      <c r="V691" s="3">
        <v>1</v>
      </c>
      <c r="W691" s="4" t="s">
        <v>8625</v>
      </c>
      <c r="X691" s="4" t="s">
        <v>8625</v>
      </c>
      <c r="Y691" s="4" t="s">
        <v>8625</v>
      </c>
      <c r="Z691" s="4" t="s">
        <v>8625</v>
      </c>
      <c r="AA691" s="3">
        <v>537</v>
      </c>
      <c r="AB691" s="3">
        <v>515</v>
      </c>
      <c r="AC691" s="3">
        <v>519</v>
      </c>
      <c r="AD691" s="3">
        <v>2</v>
      </c>
      <c r="AE691" s="9">
        <v>2</v>
      </c>
      <c r="AF691" s="9">
        <v>24</v>
      </c>
      <c r="AG691" s="9">
        <v>24</v>
      </c>
      <c r="AH691" s="3">
        <v>7</v>
      </c>
      <c r="AI691" s="3">
        <v>7</v>
      </c>
      <c r="AJ691" s="3">
        <v>7</v>
      </c>
      <c r="AK691" s="3">
        <v>7</v>
      </c>
      <c r="AL691" s="3">
        <v>14</v>
      </c>
      <c r="AM691" s="3">
        <v>14</v>
      </c>
      <c r="AN691" s="3">
        <v>1</v>
      </c>
      <c r="AO691" s="3">
        <v>1</v>
      </c>
      <c r="AP691" s="3">
        <v>0</v>
      </c>
      <c r="AQ691" s="3">
        <v>0</v>
      </c>
      <c r="AR691" s="2" t="s">
        <v>5</v>
      </c>
      <c r="AS691" s="2" t="s">
        <v>46</v>
      </c>
      <c r="AT691" s="5" t="str">
        <f>HYPERLINK("http://catalog.hathitrust.org/Record/001052594","HathiTrust Record")</f>
        <v>HathiTrust Record</v>
      </c>
      <c r="AU691" s="5" t="str">
        <f>HYPERLINK("https://creighton-primo.hosted.exlibrisgroup.com/primo-explore/search?tab=default_tab&amp;search_scope=EVERYTHING&amp;vid=01CRU&amp;lang=en_US&amp;offset=0&amp;query=any,contains,991003354649702656","Catalog Record")</f>
        <v>Catalog Record</v>
      </c>
      <c r="AV691" s="5" t="str">
        <f>HYPERLINK("http://www.worldcat.org/oclc/887639","WorldCat Record")</f>
        <v>WorldCat Record</v>
      </c>
      <c r="AW691" s="2" t="s">
        <v>8626</v>
      </c>
      <c r="AX691" s="2" t="s">
        <v>8627</v>
      </c>
      <c r="AY691" s="2" t="s">
        <v>8628</v>
      </c>
      <c r="AZ691" s="2" t="s">
        <v>8628</v>
      </c>
      <c r="BA691" s="2" t="s">
        <v>8629</v>
      </c>
      <c r="BB691" s="2" t="s">
        <v>20</v>
      </c>
      <c r="BE691" s="2" t="s">
        <v>8630</v>
      </c>
      <c r="BF691" s="2" t="s">
        <v>8631</v>
      </c>
    </row>
    <row r="692" spans="1:58" ht="39.75" customHeight="1" x14ac:dyDescent="0.25">
      <c r="A692" s="7" t="s">
        <v>5</v>
      </c>
      <c r="B692" s="1" t="s">
        <v>0</v>
      </c>
      <c r="C692" s="1" t="s">
        <v>1</v>
      </c>
      <c r="D692" s="1" t="s">
        <v>8632</v>
      </c>
      <c r="E692" s="1" t="s">
        <v>8633</v>
      </c>
      <c r="F692" s="1" t="s">
        <v>8634</v>
      </c>
      <c r="H692" s="2" t="s">
        <v>5</v>
      </c>
      <c r="I692" s="2" t="s">
        <v>6</v>
      </c>
      <c r="J692" s="2" t="s">
        <v>5</v>
      </c>
      <c r="K692" s="2" t="s">
        <v>5</v>
      </c>
      <c r="L692" s="2" t="s">
        <v>7</v>
      </c>
      <c r="M692" s="1" t="s">
        <v>8635</v>
      </c>
      <c r="N692" s="1" t="s">
        <v>8636</v>
      </c>
      <c r="O692" s="2" t="s">
        <v>248</v>
      </c>
      <c r="P692" s="1" t="s">
        <v>8637</v>
      </c>
      <c r="Q692" s="2" t="s">
        <v>1151</v>
      </c>
      <c r="R692" s="2" t="s">
        <v>1152</v>
      </c>
      <c r="S692" s="1" t="s">
        <v>8638</v>
      </c>
      <c r="T692" s="2" t="s">
        <v>13</v>
      </c>
      <c r="U692" s="3">
        <v>1</v>
      </c>
      <c r="V692" s="3">
        <v>1</v>
      </c>
      <c r="W692" s="4" t="s">
        <v>8639</v>
      </c>
      <c r="X692" s="4" t="s">
        <v>8639</v>
      </c>
      <c r="Y692" s="4" t="s">
        <v>8639</v>
      </c>
      <c r="Z692" s="4" t="s">
        <v>8639</v>
      </c>
      <c r="AA692" s="3">
        <v>177</v>
      </c>
      <c r="AB692" s="3">
        <v>128</v>
      </c>
      <c r="AC692" s="3">
        <v>136</v>
      </c>
      <c r="AD692" s="3">
        <v>2</v>
      </c>
      <c r="AE692" s="9">
        <v>2</v>
      </c>
      <c r="AF692" s="9">
        <v>6</v>
      </c>
      <c r="AG692" s="9">
        <v>6</v>
      </c>
      <c r="AH692" s="3">
        <v>0</v>
      </c>
      <c r="AI692" s="3">
        <v>0</v>
      </c>
      <c r="AJ692" s="3">
        <v>2</v>
      </c>
      <c r="AK692" s="3">
        <v>2</v>
      </c>
      <c r="AL692" s="3">
        <v>3</v>
      </c>
      <c r="AM692" s="3">
        <v>3</v>
      </c>
      <c r="AN692" s="3">
        <v>1</v>
      </c>
      <c r="AO692" s="3">
        <v>1</v>
      </c>
      <c r="AP692" s="3">
        <v>0</v>
      </c>
      <c r="AQ692" s="3">
        <v>0</v>
      </c>
      <c r="AR692" s="2" t="s">
        <v>5</v>
      </c>
      <c r="AS692" s="2" t="s">
        <v>46</v>
      </c>
      <c r="AT692" s="5" t="str">
        <f>HYPERLINK("http://catalog.hathitrust.org/Record/006711717","HathiTrust Record")</f>
        <v>HathiTrust Record</v>
      </c>
      <c r="AU692" s="5" t="str">
        <f>HYPERLINK("https://creighton-primo.hosted.exlibrisgroup.com/primo-explore/search?tab=default_tab&amp;search_scope=EVERYTHING&amp;vid=01CRU&amp;lang=en_US&amp;offset=0&amp;query=any,contains,991004332999702656","Catalog Record")</f>
        <v>Catalog Record</v>
      </c>
      <c r="AV692" s="5" t="str">
        <f>HYPERLINK("http://www.worldcat.org/oclc/889929","WorldCat Record")</f>
        <v>WorldCat Record</v>
      </c>
      <c r="AW692" s="2" t="s">
        <v>8640</v>
      </c>
      <c r="AX692" s="2" t="s">
        <v>8641</v>
      </c>
      <c r="AY692" s="2" t="s">
        <v>8642</v>
      </c>
      <c r="AZ692" s="2" t="s">
        <v>8642</v>
      </c>
      <c r="BA692" s="2" t="s">
        <v>8643</v>
      </c>
      <c r="BB692" s="2" t="s">
        <v>20</v>
      </c>
      <c r="BE692" s="2" t="s">
        <v>8644</v>
      </c>
      <c r="BF692" s="2" t="s">
        <v>8645</v>
      </c>
    </row>
    <row r="693" spans="1:58" ht="39.75" customHeight="1" x14ac:dyDescent="0.25">
      <c r="A693" s="7" t="s">
        <v>5</v>
      </c>
      <c r="B693" s="1" t="s">
        <v>0</v>
      </c>
      <c r="C693" s="1" t="s">
        <v>1</v>
      </c>
      <c r="D693" s="1" t="s">
        <v>8646</v>
      </c>
      <c r="E693" s="1" t="s">
        <v>8647</v>
      </c>
      <c r="F693" s="1" t="s">
        <v>8648</v>
      </c>
      <c r="H693" s="2" t="s">
        <v>5</v>
      </c>
      <c r="I693" s="2" t="s">
        <v>6</v>
      </c>
      <c r="J693" s="2" t="s">
        <v>5</v>
      </c>
      <c r="K693" s="2" t="s">
        <v>5</v>
      </c>
      <c r="L693" s="2" t="s">
        <v>7</v>
      </c>
      <c r="M693" s="1" t="s">
        <v>8649</v>
      </c>
      <c r="N693" s="1" t="s">
        <v>8650</v>
      </c>
      <c r="O693" s="2" t="s">
        <v>494</v>
      </c>
      <c r="Q693" s="2" t="s">
        <v>60</v>
      </c>
      <c r="R693" s="2" t="s">
        <v>277</v>
      </c>
      <c r="S693" s="1" t="s">
        <v>8651</v>
      </c>
      <c r="T693" s="2" t="s">
        <v>13</v>
      </c>
      <c r="U693" s="3">
        <v>2</v>
      </c>
      <c r="V693" s="3">
        <v>2</v>
      </c>
      <c r="W693" s="4" t="s">
        <v>8652</v>
      </c>
      <c r="X693" s="4" t="s">
        <v>8652</v>
      </c>
      <c r="Y693" s="4" t="s">
        <v>8521</v>
      </c>
      <c r="Z693" s="4" t="s">
        <v>8521</v>
      </c>
      <c r="AA693" s="3">
        <v>470</v>
      </c>
      <c r="AB693" s="3">
        <v>412</v>
      </c>
      <c r="AC693" s="3">
        <v>419</v>
      </c>
      <c r="AD693" s="3">
        <v>3</v>
      </c>
      <c r="AE693" s="9">
        <v>3</v>
      </c>
      <c r="AF693" s="9">
        <v>24</v>
      </c>
      <c r="AG693" s="9">
        <v>24</v>
      </c>
      <c r="AH693" s="3">
        <v>8</v>
      </c>
      <c r="AI693" s="3">
        <v>8</v>
      </c>
      <c r="AJ693" s="3">
        <v>7</v>
      </c>
      <c r="AK693" s="3">
        <v>7</v>
      </c>
      <c r="AL693" s="3">
        <v>15</v>
      </c>
      <c r="AM693" s="3">
        <v>15</v>
      </c>
      <c r="AN693" s="3">
        <v>2</v>
      </c>
      <c r="AO693" s="3">
        <v>2</v>
      </c>
      <c r="AP693" s="3">
        <v>0</v>
      </c>
      <c r="AQ693" s="3">
        <v>0</v>
      </c>
      <c r="AR693" s="2" t="s">
        <v>5</v>
      </c>
      <c r="AS693" s="2" t="s">
        <v>46</v>
      </c>
      <c r="AT693" s="5" t="str">
        <f>HYPERLINK("http://catalog.hathitrust.org/Record/000088636","HathiTrust Record")</f>
        <v>HathiTrust Record</v>
      </c>
      <c r="AU693" s="5" t="str">
        <f>HYPERLINK("https://creighton-primo.hosted.exlibrisgroup.com/primo-explore/search?tab=default_tab&amp;search_scope=EVERYTHING&amp;vid=01CRU&amp;lang=en_US&amp;offset=0&amp;query=any,contains,991004453689702656","Catalog Record")</f>
        <v>Catalog Record</v>
      </c>
      <c r="AV693" s="5" t="str">
        <f>HYPERLINK("http://www.worldcat.org/oclc/3516830","WorldCat Record")</f>
        <v>WorldCat Record</v>
      </c>
      <c r="AW693" s="2" t="s">
        <v>8653</v>
      </c>
      <c r="AX693" s="2" t="s">
        <v>8654</v>
      </c>
      <c r="AY693" s="2" t="s">
        <v>8655</v>
      </c>
      <c r="AZ693" s="2" t="s">
        <v>8655</v>
      </c>
      <c r="BA693" s="2" t="s">
        <v>8656</v>
      </c>
      <c r="BB693" s="2" t="s">
        <v>20</v>
      </c>
      <c r="BD693" s="2" t="s">
        <v>8657</v>
      </c>
      <c r="BE693" s="2" t="s">
        <v>8658</v>
      </c>
      <c r="BF693" s="2" t="s">
        <v>8659</v>
      </c>
    </row>
    <row r="694" spans="1:58" ht="39.75" customHeight="1" x14ac:dyDescent="0.25">
      <c r="A694" s="7" t="s">
        <v>5</v>
      </c>
      <c r="B694" s="1" t="s">
        <v>0</v>
      </c>
      <c r="C694" s="1" t="s">
        <v>1</v>
      </c>
      <c r="D694" s="1" t="s">
        <v>8660</v>
      </c>
      <c r="E694" s="1" t="s">
        <v>8661</v>
      </c>
      <c r="F694" s="1" t="s">
        <v>8662</v>
      </c>
      <c r="H694" s="2" t="s">
        <v>5</v>
      </c>
      <c r="I694" s="2" t="s">
        <v>6</v>
      </c>
      <c r="J694" s="2" t="s">
        <v>5</v>
      </c>
      <c r="K694" s="2" t="s">
        <v>5</v>
      </c>
      <c r="L694" s="2" t="s">
        <v>7</v>
      </c>
      <c r="M694" s="1" t="s">
        <v>8663</v>
      </c>
      <c r="N694" s="1" t="s">
        <v>8664</v>
      </c>
      <c r="O694" s="2" t="s">
        <v>162</v>
      </c>
      <c r="P694" s="1" t="s">
        <v>8665</v>
      </c>
      <c r="Q694" s="2" t="s">
        <v>1151</v>
      </c>
      <c r="R694" s="2" t="s">
        <v>1152</v>
      </c>
      <c r="S694" s="1" t="s">
        <v>8666</v>
      </c>
      <c r="T694" s="2" t="s">
        <v>13</v>
      </c>
      <c r="U694" s="3">
        <v>1</v>
      </c>
      <c r="V694" s="3">
        <v>1</v>
      </c>
      <c r="W694" s="4" t="s">
        <v>8667</v>
      </c>
      <c r="X694" s="4" t="s">
        <v>8667</v>
      </c>
      <c r="Y694" s="4" t="s">
        <v>8667</v>
      </c>
      <c r="Z694" s="4" t="s">
        <v>8667</v>
      </c>
      <c r="AA694" s="3">
        <v>75</v>
      </c>
      <c r="AB694" s="3">
        <v>63</v>
      </c>
      <c r="AC694" s="3">
        <v>83</v>
      </c>
      <c r="AD694" s="3">
        <v>1</v>
      </c>
      <c r="AE694" s="9">
        <v>2</v>
      </c>
      <c r="AF694" s="9">
        <v>3</v>
      </c>
      <c r="AG694" s="9">
        <v>5</v>
      </c>
      <c r="AH694" s="3">
        <v>0</v>
      </c>
      <c r="AI694" s="3">
        <v>0</v>
      </c>
      <c r="AJ694" s="3">
        <v>2</v>
      </c>
      <c r="AK694" s="3">
        <v>3</v>
      </c>
      <c r="AL694" s="3">
        <v>1</v>
      </c>
      <c r="AM694" s="3">
        <v>2</v>
      </c>
      <c r="AN694" s="3">
        <v>0</v>
      </c>
      <c r="AO694" s="3">
        <v>1</v>
      </c>
      <c r="AP694" s="3">
        <v>0</v>
      </c>
      <c r="AQ694" s="3">
        <v>0</v>
      </c>
      <c r="AR694" s="2" t="s">
        <v>5</v>
      </c>
      <c r="AS694" s="2" t="s">
        <v>5</v>
      </c>
      <c r="AU694" s="5" t="str">
        <f>HYPERLINK("https://creighton-primo.hosted.exlibrisgroup.com/primo-explore/search?tab=default_tab&amp;search_scope=EVERYTHING&amp;vid=01CRU&amp;lang=en_US&amp;offset=0&amp;query=any,contains,991004341319702656","Catalog Record")</f>
        <v>Catalog Record</v>
      </c>
      <c r="AV694" s="5" t="str">
        <f>HYPERLINK("http://www.worldcat.org/oclc/40322096","WorldCat Record")</f>
        <v>WorldCat Record</v>
      </c>
      <c r="AW694" s="2" t="s">
        <v>8668</v>
      </c>
      <c r="AX694" s="2" t="s">
        <v>8669</v>
      </c>
      <c r="AY694" s="2" t="s">
        <v>8670</v>
      </c>
      <c r="AZ694" s="2" t="s">
        <v>8670</v>
      </c>
      <c r="BA694" s="2" t="s">
        <v>8671</v>
      </c>
      <c r="BB694" s="2" t="s">
        <v>20</v>
      </c>
      <c r="BE694" s="2" t="s">
        <v>8672</v>
      </c>
      <c r="BF694" s="2" t="s">
        <v>8673</v>
      </c>
    </row>
    <row r="695" spans="1:58" ht="39.75" customHeight="1" x14ac:dyDescent="0.25">
      <c r="A695" s="7" t="s">
        <v>5</v>
      </c>
      <c r="B695" s="1" t="s">
        <v>0</v>
      </c>
      <c r="C695" s="1" t="s">
        <v>1</v>
      </c>
      <c r="D695" s="1" t="s">
        <v>8674</v>
      </c>
      <c r="E695" s="1" t="s">
        <v>8675</v>
      </c>
      <c r="F695" s="1" t="s">
        <v>8676</v>
      </c>
      <c r="H695" s="2" t="s">
        <v>5</v>
      </c>
      <c r="I695" s="2" t="s">
        <v>6</v>
      </c>
      <c r="J695" s="2" t="s">
        <v>5</v>
      </c>
      <c r="K695" s="2" t="s">
        <v>5</v>
      </c>
      <c r="L695" s="2" t="s">
        <v>7</v>
      </c>
      <c r="M695" s="1" t="s">
        <v>8677</v>
      </c>
      <c r="N695" s="1" t="s">
        <v>8678</v>
      </c>
      <c r="O695" s="2" t="s">
        <v>6611</v>
      </c>
      <c r="Q695" s="2" t="s">
        <v>60</v>
      </c>
      <c r="R695" s="2" t="s">
        <v>871</v>
      </c>
      <c r="T695" s="2" t="s">
        <v>13</v>
      </c>
      <c r="U695" s="3">
        <v>1</v>
      </c>
      <c r="V695" s="3">
        <v>1</v>
      </c>
      <c r="W695" s="4" t="s">
        <v>8679</v>
      </c>
      <c r="X695" s="4" t="s">
        <v>8679</v>
      </c>
      <c r="Y695" s="4" t="s">
        <v>8680</v>
      </c>
      <c r="Z695" s="4" t="s">
        <v>8680</v>
      </c>
      <c r="AA695" s="3">
        <v>317</v>
      </c>
      <c r="AB695" s="3">
        <v>270</v>
      </c>
      <c r="AC695" s="3">
        <v>272</v>
      </c>
      <c r="AD695" s="3">
        <v>2</v>
      </c>
      <c r="AE695" s="9">
        <v>2</v>
      </c>
      <c r="AF695" s="9">
        <v>17</v>
      </c>
      <c r="AG695" s="9">
        <v>17</v>
      </c>
      <c r="AH695" s="3">
        <v>6</v>
      </c>
      <c r="AI695" s="3">
        <v>6</v>
      </c>
      <c r="AJ695" s="3">
        <v>6</v>
      </c>
      <c r="AK695" s="3">
        <v>6</v>
      </c>
      <c r="AL695" s="3">
        <v>11</v>
      </c>
      <c r="AM695" s="3">
        <v>11</v>
      </c>
      <c r="AN695" s="3">
        <v>1</v>
      </c>
      <c r="AO695" s="3">
        <v>1</v>
      </c>
      <c r="AP695" s="3">
        <v>0</v>
      </c>
      <c r="AQ695" s="3">
        <v>0</v>
      </c>
      <c r="AR695" s="2" t="s">
        <v>5</v>
      </c>
      <c r="AS695" s="2" t="s">
        <v>46</v>
      </c>
      <c r="AT695" s="5" t="str">
        <f>HYPERLINK("http://catalog.hathitrust.org/Record/002967919","HathiTrust Record")</f>
        <v>HathiTrust Record</v>
      </c>
      <c r="AU695" s="5" t="str">
        <f>HYPERLINK("https://creighton-primo.hosted.exlibrisgroup.com/primo-explore/search?tab=default_tab&amp;search_scope=EVERYTHING&amp;vid=01CRU&amp;lang=en_US&amp;offset=0&amp;query=any,contains,991002370919702656","Catalog Record")</f>
        <v>Catalog Record</v>
      </c>
      <c r="AV695" s="5" t="str">
        <f>HYPERLINK("http://www.worldcat.org/oclc/30814049","WorldCat Record")</f>
        <v>WorldCat Record</v>
      </c>
      <c r="AW695" s="2" t="s">
        <v>8681</v>
      </c>
      <c r="AX695" s="2" t="s">
        <v>8682</v>
      </c>
      <c r="AY695" s="2" t="s">
        <v>8683</v>
      </c>
      <c r="AZ695" s="2" t="s">
        <v>8683</v>
      </c>
      <c r="BA695" s="2" t="s">
        <v>8684</v>
      </c>
      <c r="BB695" s="2" t="s">
        <v>20</v>
      </c>
      <c r="BD695" s="2" t="s">
        <v>8685</v>
      </c>
      <c r="BE695" s="2" t="s">
        <v>8686</v>
      </c>
      <c r="BF695" s="2" t="s">
        <v>8687</v>
      </c>
    </row>
    <row r="696" spans="1:58" ht="39.75" customHeight="1" x14ac:dyDescent="0.25">
      <c r="A696" s="7" t="s">
        <v>5</v>
      </c>
      <c r="B696" s="1" t="s">
        <v>0</v>
      </c>
      <c r="C696" s="1" t="s">
        <v>1</v>
      </c>
      <c r="D696" s="1" t="s">
        <v>8688</v>
      </c>
      <c r="E696" s="1" t="s">
        <v>8689</v>
      </c>
      <c r="F696" s="1" t="s">
        <v>8690</v>
      </c>
      <c r="H696" s="2" t="s">
        <v>5</v>
      </c>
      <c r="I696" s="2" t="s">
        <v>6</v>
      </c>
      <c r="J696" s="2" t="s">
        <v>5</v>
      </c>
      <c r="K696" s="2" t="s">
        <v>5</v>
      </c>
      <c r="L696" s="2" t="s">
        <v>7</v>
      </c>
      <c r="M696" s="1" t="s">
        <v>8691</v>
      </c>
      <c r="N696" s="1" t="s">
        <v>8009</v>
      </c>
      <c r="O696" s="2" t="s">
        <v>248</v>
      </c>
      <c r="Q696" s="2" t="s">
        <v>60</v>
      </c>
      <c r="R696" s="2" t="s">
        <v>61</v>
      </c>
      <c r="S696" s="1" t="s">
        <v>8692</v>
      </c>
      <c r="T696" s="2" t="s">
        <v>13</v>
      </c>
      <c r="U696" s="3">
        <v>1</v>
      </c>
      <c r="V696" s="3">
        <v>1</v>
      </c>
      <c r="W696" s="4" t="s">
        <v>8693</v>
      </c>
      <c r="X696" s="4" t="s">
        <v>8693</v>
      </c>
      <c r="Y696" s="4" t="s">
        <v>8482</v>
      </c>
      <c r="Z696" s="4" t="s">
        <v>8482</v>
      </c>
      <c r="AA696" s="3">
        <v>642</v>
      </c>
      <c r="AB696" s="3">
        <v>580</v>
      </c>
      <c r="AC696" s="3">
        <v>587</v>
      </c>
      <c r="AD696" s="3">
        <v>6</v>
      </c>
      <c r="AE696" s="9">
        <v>6</v>
      </c>
      <c r="AF696" s="9">
        <v>27</v>
      </c>
      <c r="AG696" s="9">
        <v>27</v>
      </c>
      <c r="AH696" s="3">
        <v>8</v>
      </c>
      <c r="AI696" s="3">
        <v>8</v>
      </c>
      <c r="AJ696" s="3">
        <v>6</v>
      </c>
      <c r="AK696" s="3">
        <v>6</v>
      </c>
      <c r="AL696" s="3">
        <v>14</v>
      </c>
      <c r="AM696" s="3">
        <v>14</v>
      </c>
      <c r="AN696" s="3">
        <v>5</v>
      </c>
      <c r="AO696" s="3">
        <v>5</v>
      </c>
      <c r="AP696" s="3">
        <v>0</v>
      </c>
      <c r="AQ696" s="3">
        <v>0</v>
      </c>
      <c r="AR696" s="2" t="s">
        <v>5</v>
      </c>
      <c r="AS696" s="2" t="s">
        <v>46</v>
      </c>
      <c r="AT696" s="5" t="str">
        <f>HYPERLINK("http://catalog.hathitrust.org/Record/001053247","HathiTrust Record")</f>
        <v>HathiTrust Record</v>
      </c>
      <c r="AU696" s="5" t="str">
        <f>HYPERLINK("https://creighton-primo.hosted.exlibrisgroup.com/primo-explore/search?tab=default_tab&amp;search_scope=EVERYTHING&amp;vid=01CRU&amp;lang=en_US&amp;offset=0&amp;query=any,contains,991001887969702656","Catalog Record")</f>
        <v>Catalog Record</v>
      </c>
      <c r="AV696" s="5" t="str">
        <f>HYPERLINK("http://www.worldcat.org/oclc/238594","WorldCat Record")</f>
        <v>WorldCat Record</v>
      </c>
      <c r="AW696" s="2" t="s">
        <v>8694</v>
      </c>
      <c r="AX696" s="2" t="s">
        <v>8695</v>
      </c>
      <c r="AY696" s="2" t="s">
        <v>8696</v>
      </c>
      <c r="AZ696" s="2" t="s">
        <v>8696</v>
      </c>
      <c r="BA696" s="2" t="s">
        <v>8697</v>
      </c>
      <c r="BB696" s="2" t="s">
        <v>20</v>
      </c>
      <c r="BE696" s="2" t="s">
        <v>8698</v>
      </c>
      <c r="BF696" s="2" t="s">
        <v>8699</v>
      </c>
    </row>
    <row r="697" spans="1:58" ht="39.75" customHeight="1" x14ac:dyDescent="0.25">
      <c r="A697" s="7" t="s">
        <v>5</v>
      </c>
      <c r="B697" s="1" t="s">
        <v>0</v>
      </c>
      <c r="C697" s="1" t="s">
        <v>1</v>
      </c>
      <c r="D697" s="1" t="s">
        <v>8700</v>
      </c>
      <c r="E697" s="1" t="s">
        <v>8701</v>
      </c>
      <c r="F697" s="1" t="s">
        <v>8702</v>
      </c>
      <c r="H697" s="2" t="s">
        <v>5</v>
      </c>
      <c r="I697" s="2" t="s">
        <v>6</v>
      </c>
      <c r="J697" s="2" t="s">
        <v>5</v>
      </c>
      <c r="K697" s="2" t="s">
        <v>5</v>
      </c>
      <c r="L697" s="2" t="s">
        <v>7</v>
      </c>
      <c r="M697" s="1" t="s">
        <v>8703</v>
      </c>
      <c r="N697" s="1" t="s">
        <v>8704</v>
      </c>
      <c r="O697" s="2" t="s">
        <v>1273</v>
      </c>
      <c r="P697" s="1" t="s">
        <v>8705</v>
      </c>
      <c r="Q697" s="2" t="s">
        <v>1151</v>
      </c>
      <c r="R697" s="2" t="s">
        <v>1152</v>
      </c>
      <c r="S697" s="1" t="s">
        <v>8706</v>
      </c>
      <c r="T697" s="2" t="s">
        <v>13</v>
      </c>
      <c r="U697" s="3">
        <v>1</v>
      </c>
      <c r="V697" s="3">
        <v>1</v>
      </c>
      <c r="W697" s="4" t="s">
        <v>8707</v>
      </c>
      <c r="X697" s="4" t="s">
        <v>8707</v>
      </c>
      <c r="Y697" s="4" t="s">
        <v>7569</v>
      </c>
      <c r="Z697" s="4" t="s">
        <v>7569</v>
      </c>
      <c r="AA697" s="3">
        <v>54</v>
      </c>
      <c r="AB697" s="3">
        <v>43</v>
      </c>
      <c r="AC697" s="3">
        <v>43</v>
      </c>
      <c r="AD697" s="3">
        <v>2</v>
      </c>
      <c r="AE697" s="9">
        <v>2</v>
      </c>
      <c r="AF697" s="9">
        <v>1</v>
      </c>
      <c r="AG697" s="9">
        <v>1</v>
      </c>
      <c r="AH697" s="3">
        <v>0</v>
      </c>
      <c r="AI697" s="3">
        <v>0</v>
      </c>
      <c r="AJ697" s="3">
        <v>0</v>
      </c>
      <c r="AK697" s="3">
        <v>0</v>
      </c>
      <c r="AL697" s="3">
        <v>0</v>
      </c>
      <c r="AM697" s="3">
        <v>0</v>
      </c>
      <c r="AN697" s="3">
        <v>1</v>
      </c>
      <c r="AO697" s="3">
        <v>1</v>
      </c>
      <c r="AP697" s="3">
        <v>0</v>
      </c>
      <c r="AQ697" s="3">
        <v>0</v>
      </c>
      <c r="AR697" s="2" t="s">
        <v>5</v>
      </c>
      <c r="AS697" s="2" t="s">
        <v>5</v>
      </c>
      <c r="AU697" s="5" t="str">
        <f>HYPERLINK("https://creighton-primo.hosted.exlibrisgroup.com/primo-explore/search?tab=default_tab&amp;search_scope=EVERYTHING&amp;vid=01CRU&amp;lang=en_US&amp;offset=0&amp;query=any,contains,991000925009702656","Catalog Record")</f>
        <v>Catalog Record</v>
      </c>
      <c r="AV697" s="5" t="str">
        <f>HYPERLINK("http://www.worldcat.org/oclc/14238052","WorldCat Record")</f>
        <v>WorldCat Record</v>
      </c>
      <c r="AW697" s="2" t="s">
        <v>8708</v>
      </c>
      <c r="AX697" s="2" t="s">
        <v>8709</v>
      </c>
      <c r="AY697" s="2" t="s">
        <v>8710</v>
      </c>
      <c r="AZ697" s="2" t="s">
        <v>8710</v>
      </c>
      <c r="BA697" s="2" t="s">
        <v>8711</v>
      </c>
      <c r="BB697" s="2" t="s">
        <v>20</v>
      </c>
      <c r="BD697" s="2" t="s">
        <v>8712</v>
      </c>
      <c r="BE697" s="2" t="s">
        <v>8713</v>
      </c>
      <c r="BF697" s="2" t="s">
        <v>8714</v>
      </c>
    </row>
    <row r="698" spans="1:58" ht="39.75" customHeight="1" x14ac:dyDescent="0.25">
      <c r="A698" s="7" t="s">
        <v>5</v>
      </c>
      <c r="B698" s="1" t="s">
        <v>0</v>
      </c>
      <c r="C698" s="1" t="s">
        <v>1</v>
      </c>
      <c r="D698" s="1" t="s">
        <v>8715</v>
      </c>
      <c r="E698" s="1" t="s">
        <v>8716</v>
      </c>
      <c r="F698" s="1" t="s">
        <v>8717</v>
      </c>
      <c r="H698" s="2" t="s">
        <v>5</v>
      </c>
      <c r="I698" s="2" t="s">
        <v>6</v>
      </c>
      <c r="J698" s="2" t="s">
        <v>5</v>
      </c>
      <c r="K698" s="2" t="s">
        <v>5</v>
      </c>
      <c r="L698" s="2" t="s">
        <v>7</v>
      </c>
      <c r="M698" s="1" t="s">
        <v>8703</v>
      </c>
      <c r="N698" s="1" t="s">
        <v>8718</v>
      </c>
      <c r="O698" s="2" t="s">
        <v>421</v>
      </c>
      <c r="P698" s="1" t="s">
        <v>8719</v>
      </c>
      <c r="Q698" s="2" t="s">
        <v>1151</v>
      </c>
      <c r="R698" s="2" t="s">
        <v>1152</v>
      </c>
      <c r="S698" s="1" t="s">
        <v>8720</v>
      </c>
      <c r="T698" s="2" t="s">
        <v>13</v>
      </c>
      <c r="U698" s="3">
        <v>1</v>
      </c>
      <c r="V698" s="3">
        <v>1</v>
      </c>
      <c r="W698" s="4" t="s">
        <v>8087</v>
      </c>
      <c r="X698" s="4" t="s">
        <v>8087</v>
      </c>
      <c r="Y698" s="4" t="s">
        <v>7569</v>
      </c>
      <c r="Z698" s="4" t="s">
        <v>7569</v>
      </c>
      <c r="AA698" s="3">
        <v>6</v>
      </c>
      <c r="AB698" s="3">
        <v>6</v>
      </c>
      <c r="AC698" s="3">
        <v>16</v>
      </c>
      <c r="AD698" s="3">
        <v>1</v>
      </c>
      <c r="AE698" s="9">
        <v>1</v>
      </c>
      <c r="AF698" s="9">
        <v>0</v>
      </c>
      <c r="AG698" s="9">
        <v>0</v>
      </c>
      <c r="AH698" s="3">
        <v>0</v>
      </c>
      <c r="AI698" s="3">
        <v>0</v>
      </c>
      <c r="AJ698" s="3">
        <v>0</v>
      </c>
      <c r="AK698" s="3">
        <v>0</v>
      </c>
      <c r="AL698" s="3">
        <v>0</v>
      </c>
      <c r="AM698" s="3">
        <v>0</v>
      </c>
      <c r="AN698" s="3">
        <v>0</v>
      </c>
      <c r="AO698" s="3">
        <v>0</v>
      </c>
      <c r="AP698" s="3">
        <v>0</v>
      </c>
      <c r="AQ698" s="3">
        <v>0</v>
      </c>
      <c r="AR698" s="2" t="s">
        <v>5</v>
      </c>
      <c r="AS698" s="2" t="s">
        <v>46</v>
      </c>
      <c r="AT698" s="5" t="str">
        <f>HYPERLINK("http://catalog.hathitrust.org/Record/007576667","HathiTrust Record")</f>
        <v>HathiTrust Record</v>
      </c>
      <c r="AU698" s="5" t="str">
        <f>HYPERLINK("https://creighton-primo.hosted.exlibrisgroup.com/primo-explore/search?tab=default_tab&amp;search_scope=EVERYTHING&amp;vid=01CRU&amp;lang=en_US&amp;offset=0&amp;query=any,contains,991000708919702656","Catalog Record")</f>
        <v>Catalog Record</v>
      </c>
      <c r="AV698" s="5" t="str">
        <f>HYPERLINK("http://www.worldcat.org/oclc/12566747","WorldCat Record")</f>
        <v>WorldCat Record</v>
      </c>
      <c r="AW698" s="2" t="s">
        <v>8721</v>
      </c>
      <c r="AX698" s="2" t="s">
        <v>8722</v>
      </c>
      <c r="AY698" s="2" t="s">
        <v>8723</v>
      </c>
      <c r="AZ698" s="2" t="s">
        <v>8723</v>
      </c>
      <c r="BA698" s="2" t="s">
        <v>8724</v>
      </c>
      <c r="BB698" s="2" t="s">
        <v>20</v>
      </c>
      <c r="BE698" s="2" t="s">
        <v>8725</v>
      </c>
      <c r="BF698" s="2" t="s">
        <v>8726</v>
      </c>
    </row>
    <row r="699" spans="1:58" ht="39.75" customHeight="1" x14ac:dyDescent="0.25">
      <c r="A699" s="7" t="s">
        <v>5</v>
      </c>
      <c r="B699" s="1" t="s">
        <v>0</v>
      </c>
      <c r="C699" s="1" t="s">
        <v>1</v>
      </c>
      <c r="D699" s="1" t="s">
        <v>8727</v>
      </c>
      <c r="E699" s="1" t="s">
        <v>8728</v>
      </c>
      <c r="F699" s="1" t="s">
        <v>8729</v>
      </c>
      <c r="H699" s="2" t="s">
        <v>5</v>
      </c>
      <c r="I699" s="2" t="s">
        <v>6</v>
      </c>
      <c r="J699" s="2" t="s">
        <v>5</v>
      </c>
      <c r="K699" s="2" t="s">
        <v>5</v>
      </c>
      <c r="L699" s="2" t="s">
        <v>7</v>
      </c>
      <c r="M699" s="1" t="s">
        <v>8730</v>
      </c>
      <c r="N699" s="1" t="s">
        <v>8731</v>
      </c>
      <c r="O699" s="2" t="s">
        <v>177</v>
      </c>
      <c r="Q699" s="2" t="s">
        <v>1151</v>
      </c>
      <c r="R699" s="2" t="s">
        <v>1152</v>
      </c>
      <c r="S699" s="1" t="s">
        <v>8732</v>
      </c>
      <c r="T699" s="2" t="s">
        <v>13</v>
      </c>
      <c r="U699" s="3">
        <v>1</v>
      </c>
      <c r="V699" s="3">
        <v>1</v>
      </c>
      <c r="W699" s="4" t="s">
        <v>5137</v>
      </c>
      <c r="X699" s="4" t="s">
        <v>5137</v>
      </c>
      <c r="Y699" s="4" t="s">
        <v>5137</v>
      </c>
      <c r="Z699" s="4" t="s">
        <v>5137</v>
      </c>
      <c r="AA699" s="3">
        <v>50</v>
      </c>
      <c r="AB699" s="3">
        <v>39</v>
      </c>
      <c r="AC699" s="3">
        <v>42</v>
      </c>
      <c r="AD699" s="3">
        <v>2</v>
      </c>
      <c r="AE699" s="9">
        <v>2</v>
      </c>
      <c r="AF699" s="9">
        <v>1</v>
      </c>
      <c r="AG699" s="9">
        <v>1</v>
      </c>
      <c r="AH699" s="3">
        <v>0</v>
      </c>
      <c r="AI699" s="3">
        <v>0</v>
      </c>
      <c r="AJ699" s="3">
        <v>0</v>
      </c>
      <c r="AK699" s="3">
        <v>0</v>
      </c>
      <c r="AL699" s="3">
        <v>0</v>
      </c>
      <c r="AM699" s="3">
        <v>0</v>
      </c>
      <c r="AN699" s="3">
        <v>1</v>
      </c>
      <c r="AO699" s="3">
        <v>1</v>
      </c>
      <c r="AP699" s="3">
        <v>0</v>
      </c>
      <c r="AQ699" s="3">
        <v>0</v>
      </c>
      <c r="AR699" s="2" t="s">
        <v>5</v>
      </c>
      <c r="AS699" s="2" t="s">
        <v>46</v>
      </c>
      <c r="AT699" s="5" t="str">
        <f>HYPERLINK("http://catalog.hathitrust.org/Record/001522372","HathiTrust Record")</f>
        <v>HathiTrust Record</v>
      </c>
      <c r="AU699" s="5" t="str">
        <f>HYPERLINK("https://creighton-primo.hosted.exlibrisgroup.com/primo-explore/search?tab=default_tab&amp;search_scope=EVERYTHING&amp;vid=01CRU&amp;lang=en_US&amp;offset=0&amp;query=any,contains,991004509139702656","Catalog Record")</f>
        <v>Catalog Record</v>
      </c>
      <c r="AV699" s="5" t="str">
        <f>HYPERLINK("http://www.worldcat.org/oclc/2549085","WorldCat Record")</f>
        <v>WorldCat Record</v>
      </c>
      <c r="AW699" s="2" t="s">
        <v>8733</v>
      </c>
      <c r="AX699" s="2" t="s">
        <v>8734</v>
      </c>
      <c r="AY699" s="2" t="s">
        <v>8735</v>
      </c>
      <c r="AZ699" s="2" t="s">
        <v>8735</v>
      </c>
      <c r="BA699" s="2" t="s">
        <v>8736</v>
      </c>
      <c r="BB699" s="2" t="s">
        <v>20</v>
      </c>
      <c r="BE699" s="2" t="s">
        <v>8737</v>
      </c>
      <c r="BF699" s="2" t="s">
        <v>8738</v>
      </c>
    </row>
    <row r="700" spans="1:58" ht="39.75" customHeight="1" x14ac:dyDescent="0.25">
      <c r="A700" s="7" t="s">
        <v>5</v>
      </c>
      <c r="B700" s="1" t="s">
        <v>0</v>
      </c>
      <c r="C700" s="1" t="s">
        <v>1</v>
      </c>
      <c r="D700" s="1" t="s">
        <v>8739</v>
      </c>
      <c r="E700" s="1" t="s">
        <v>8740</v>
      </c>
      <c r="F700" s="1" t="s">
        <v>8741</v>
      </c>
      <c r="H700" s="2" t="s">
        <v>5</v>
      </c>
      <c r="I700" s="2" t="s">
        <v>6</v>
      </c>
      <c r="J700" s="2" t="s">
        <v>5</v>
      </c>
      <c r="K700" s="2" t="s">
        <v>5</v>
      </c>
      <c r="L700" s="2" t="s">
        <v>7</v>
      </c>
      <c r="M700" s="1" t="s">
        <v>8742</v>
      </c>
      <c r="N700" s="1" t="s">
        <v>8743</v>
      </c>
      <c r="O700" s="2" t="s">
        <v>569</v>
      </c>
      <c r="Q700" s="2" t="s">
        <v>60</v>
      </c>
      <c r="R700" s="2" t="s">
        <v>5056</v>
      </c>
      <c r="T700" s="2" t="s">
        <v>13</v>
      </c>
      <c r="U700" s="3">
        <v>1</v>
      </c>
      <c r="V700" s="3">
        <v>1</v>
      </c>
      <c r="W700" s="4" t="s">
        <v>8744</v>
      </c>
      <c r="X700" s="4" t="s">
        <v>8744</v>
      </c>
      <c r="Y700" s="4" t="s">
        <v>8745</v>
      </c>
      <c r="Z700" s="4" t="s">
        <v>8745</v>
      </c>
      <c r="AA700" s="3">
        <v>32</v>
      </c>
      <c r="AB700" s="3">
        <v>27</v>
      </c>
      <c r="AC700" s="3">
        <v>72</v>
      </c>
      <c r="AD700" s="3">
        <v>1</v>
      </c>
      <c r="AE700" s="9">
        <v>1</v>
      </c>
      <c r="AF700" s="9">
        <v>2</v>
      </c>
      <c r="AG700" s="9">
        <v>5</v>
      </c>
      <c r="AH700" s="3">
        <v>0</v>
      </c>
      <c r="AI700" s="3">
        <v>2</v>
      </c>
      <c r="AJ700" s="3">
        <v>0</v>
      </c>
      <c r="AK700" s="3">
        <v>2</v>
      </c>
      <c r="AL700" s="3">
        <v>2</v>
      </c>
      <c r="AM700" s="3">
        <v>3</v>
      </c>
      <c r="AN700" s="3">
        <v>0</v>
      </c>
      <c r="AO700" s="3">
        <v>0</v>
      </c>
      <c r="AP700" s="3">
        <v>0</v>
      </c>
      <c r="AQ700" s="3">
        <v>0</v>
      </c>
      <c r="AR700" s="2" t="s">
        <v>5</v>
      </c>
      <c r="AS700" s="2" t="s">
        <v>5</v>
      </c>
      <c r="AU700" s="5" t="str">
        <f>HYPERLINK("https://creighton-primo.hosted.exlibrisgroup.com/primo-explore/search?tab=default_tab&amp;search_scope=EVERYTHING&amp;vid=01CRU&amp;lang=en_US&amp;offset=0&amp;query=any,contains,991003533229702656","Catalog Record")</f>
        <v>Catalog Record</v>
      </c>
      <c r="AV700" s="5" t="str">
        <f>HYPERLINK("http://www.worldcat.org/oclc/59128753","WorldCat Record")</f>
        <v>WorldCat Record</v>
      </c>
      <c r="AW700" s="2" t="s">
        <v>8746</v>
      </c>
      <c r="AX700" s="2" t="s">
        <v>8747</v>
      </c>
      <c r="AY700" s="2" t="s">
        <v>8748</v>
      </c>
      <c r="AZ700" s="2" t="s">
        <v>8748</v>
      </c>
      <c r="BA700" s="2" t="s">
        <v>8749</v>
      </c>
      <c r="BB700" s="2" t="s">
        <v>20</v>
      </c>
      <c r="BD700" s="2" t="s">
        <v>8750</v>
      </c>
      <c r="BE700" s="2" t="s">
        <v>8751</v>
      </c>
      <c r="BF700" s="2" t="s">
        <v>8752</v>
      </c>
    </row>
    <row r="701" spans="1:58" ht="39.75" customHeight="1" x14ac:dyDescent="0.25">
      <c r="A701" s="7" t="s">
        <v>5</v>
      </c>
      <c r="B701" s="1" t="s">
        <v>0</v>
      </c>
      <c r="C701" s="1" t="s">
        <v>1</v>
      </c>
      <c r="D701" s="1" t="s">
        <v>8753</v>
      </c>
      <c r="E701" s="1" t="s">
        <v>8754</v>
      </c>
      <c r="F701" s="1" t="s">
        <v>8755</v>
      </c>
      <c r="H701" s="2" t="s">
        <v>5</v>
      </c>
      <c r="I701" s="2" t="s">
        <v>6</v>
      </c>
      <c r="J701" s="2" t="s">
        <v>5</v>
      </c>
      <c r="K701" s="2" t="s">
        <v>5</v>
      </c>
      <c r="L701" s="2" t="s">
        <v>7</v>
      </c>
      <c r="M701" s="1" t="s">
        <v>8756</v>
      </c>
      <c r="N701" s="1" t="s">
        <v>8757</v>
      </c>
      <c r="O701" s="2" t="s">
        <v>248</v>
      </c>
      <c r="P701" s="1" t="s">
        <v>5373</v>
      </c>
      <c r="Q701" s="2" t="s">
        <v>1151</v>
      </c>
      <c r="R701" s="2" t="s">
        <v>1152</v>
      </c>
      <c r="S701" s="1" t="s">
        <v>8758</v>
      </c>
      <c r="T701" s="2" t="s">
        <v>13</v>
      </c>
      <c r="U701" s="3">
        <v>1</v>
      </c>
      <c r="V701" s="3">
        <v>1</v>
      </c>
      <c r="W701" s="4" t="s">
        <v>8667</v>
      </c>
      <c r="X701" s="4" t="s">
        <v>8667</v>
      </c>
      <c r="Y701" s="4" t="s">
        <v>8667</v>
      </c>
      <c r="Z701" s="4" t="s">
        <v>8667</v>
      </c>
      <c r="AA701" s="3">
        <v>130</v>
      </c>
      <c r="AB701" s="3">
        <v>99</v>
      </c>
      <c r="AC701" s="3">
        <v>103</v>
      </c>
      <c r="AD701" s="3">
        <v>3</v>
      </c>
      <c r="AE701" s="9">
        <v>3</v>
      </c>
      <c r="AF701" s="9">
        <v>7</v>
      </c>
      <c r="AG701" s="9">
        <v>7</v>
      </c>
      <c r="AH701" s="3">
        <v>1</v>
      </c>
      <c r="AI701" s="3">
        <v>1</v>
      </c>
      <c r="AJ701" s="3">
        <v>2</v>
      </c>
      <c r="AK701" s="3">
        <v>2</v>
      </c>
      <c r="AL701" s="3">
        <v>4</v>
      </c>
      <c r="AM701" s="3">
        <v>4</v>
      </c>
      <c r="AN701" s="3">
        <v>2</v>
      </c>
      <c r="AO701" s="3">
        <v>2</v>
      </c>
      <c r="AP701" s="3">
        <v>0</v>
      </c>
      <c r="AQ701" s="3">
        <v>0</v>
      </c>
      <c r="AR701" s="2" t="s">
        <v>5</v>
      </c>
      <c r="AS701" s="2" t="s">
        <v>46</v>
      </c>
      <c r="AT701" s="5" t="str">
        <f>HYPERLINK("http://catalog.hathitrust.org/Record/008366792","HathiTrust Record")</f>
        <v>HathiTrust Record</v>
      </c>
      <c r="AU701" s="5" t="str">
        <f>HYPERLINK("https://creighton-primo.hosted.exlibrisgroup.com/primo-explore/search?tab=default_tab&amp;search_scope=EVERYTHING&amp;vid=01CRU&amp;lang=en_US&amp;offset=0&amp;query=any,contains,991004339499702656","Catalog Record")</f>
        <v>Catalog Record</v>
      </c>
      <c r="AV701" s="5" t="str">
        <f>HYPERLINK("http://www.worldcat.org/oclc/3974426","WorldCat Record")</f>
        <v>WorldCat Record</v>
      </c>
      <c r="AW701" s="2" t="s">
        <v>8759</v>
      </c>
      <c r="AX701" s="2" t="s">
        <v>8760</v>
      </c>
      <c r="AY701" s="2" t="s">
        <v>8761</v>
      </c>
      <c r="AZ701" s="2" t="s">
        <v>8761</v>
      </c>
      <c r="BA701" s="2" t="s">
        <v>8762</v>
      </c>
      <c r="BB701" s="2" t="s">
        <v>20</v>
      </c>
      <c r="BE701" s="2" t="s">
        <v>8763</v>
      </c>
      <c r="BF701" s="2" t="s">
        <v>8764</v>
      </c>
    </row>
    <row r="702" spans="1:58" ht="39.75" customHeight="1" x14ac:dyDescent="0.25">
      <c r="A702" s="7" t="s">
        <v>5</v>
      </c>
      <c r="B702" s="1" t="s">
        <v>0</v>
      </c>
      <c r="C702" s="1" t="s">
        <v>1</v>
      </c>
      <c r="D702" s="1" t="s">
        <v>8765</v>
      </c>
      <c r="E702" s="1" t="s">
        <v>8766</v>
      </c>
      <c r="F702" s="1" t="s">
        <v>8767</v>
      </c>
      <c r="H702" s="2" t="s">
        <v>5</v>
      </c>
      <c r="I702" s="2" t="s">
        <v>6</v>
      </c>
      <c r="J702" s="2" t="s">
        <v>5</v>
      </c>
      <c r="K702" s="2" t="s">
        <v>5</v>
      </c>
      <c r="L702" s="2" t="s">
        <v>7</v>
      </c>
      <c r="M702" s="1" t="s">
        <v>8756</v>
      </c>
      <c r="N702" s="1" t="s">
        <v>8768</v>
      </c>
      <c r="O702" s="2" t="s">
        <v>508</v>
      </c>
      <c r="Q702" s="2" t="s">
        <v>1151</v>
      </c>
      <c r="R702" s="2" t="s">
        <v>1152</v>
      </c>
      <c r="S702" s="1" t="s">
        <v>8769</v>
      </c>
      <c r="T702" s="2" t="s">
        <v>13</v>
      </c>
      <c r="U702" s="3">
        <v>1</v>
      </c>
      <c r="V702" s="3">
        <v>1</v>
      </c>
      <c r="W702" s="4" t="s">
        <v>367</v>
      </c>
      <c r="X702" s="4" t="s">
        <v>367</v>
      </c>
      <c r="Y702" s="4" t="s">
        <v>367</v>
      </c>
      <c r="Z702" s="4" t="s">
        <v>367</v>
      </c>
      <c r="AA702" s="3">
        <v>105</v>
      </c>
      <c r="AB702" s="3">
        <v>77</v>
      </c>
      <c r="AC702" s="3">
        <v>81</v>
      </c>
      <c r="AD702" s="3">
        <v>1</v>
      </c>
      <c r="AE702" s="9">
        <v>1</v>
      </c>
      <c r="AF702" s="9">
        <v>3</v>
      </c>
      <c r="AG702" s="9">
        <v>3</v>
      </c>
      <c r="AH702" s="3">
        <v>1</v>
      </c>
      <c r="AI702" s="3">
        <v>1</v>
      </c>
      <c r="AJ702" s="3">
        <v>3</v>
      </c>
      <c r="AK702" s="3">
        <v>3</v>
      </c>
      <c r="AL702" s="3">
        <v>1</v>
      </c>
      <c r="AM702" s="3">
        <v>1</v>
      </c>
      <c r="AN702" s="3">
        <v>0</v>
      </c>
      <c r="AO702" s="3">
        <v>0</v>
      </c>
      <c r="AP702" s="3">
        <v>0</v>
      </c>
      <c r="AQ702" s="3">
        <v>0</v>
      </c>
      <c r="AR702" s="2" t="s">
        <v>5</v>
      </c>
      <c r="AS702" s="2" t="s">
        <v>46</v>
      </c>
      <c r="AT702" s="5" t="str">
        <f>HYPERLINK("http://catalog.hathitrust.org/Record/003499723","HathiTrust Record")</f>
        <v>HathiTrust Record</v>
      </c>
      <c r="AU702" s="5" t="str">
        <f>HYPERLINK("https://creighton-primo.hosted.exlibrisgroup.com/primo-explore/search?tab=default_tab&amp;search_scope=EVERYTHING&amp;vid=01CRU&amp;lang=en_US&amp;offset=0&amp;query=any,contains,991004345789702656","Catalog Record")</f>
        <v>Catalog Record</v>
      </c>
      <c r="AV702" s="5" t="str">
        <f>HYPERLINK("http://www.worldcat.org/oclc/43860151","WorldCat Record")</f>
        <v>WorldCat Record</v>
      </c>
      <c r="AW702" s="2" t="s">
        <v>8770</v>
      </c>
      <c r="AX702" s="2" t="s">
        <v>8771</v>
      </c>
      <c r="AY702" s="2" t="s">
        <v>8772</v>
      </c>
      <c r="AZ702" s="2" t="s">
        <v>8772</v>
      </c>
      <c r="BA702" s="2" t="s">
        <v>8773</v>
      </c>
      <c r="BB702" s="2" t="s">
        <v>20</v>
      </c>
      <c r="BD702" s="2" t="s">
        <v>8774</v>
      </c>
      <c r="BE702" s="2" t="s">
        <v>8775</v>
      </c>
      <c r="BF702" s="2" t="s">
        <v>8776</v>
      </c>
    </row>
    <row r="703" spans="1:58" ht="39.75" customHeight="1" x14ac:dyDescent="0.25">
      <c r="A703" s="7" t="s">
        <v>5</v>
      </c>
      <c r="B703" s="1" t="s">
        <v>0</v>
      </c>
      <c r="C703" s="1" t="s">
        <v>1</v>
      </c>
      <c r="D703" s="1" t="s">
        <v>8777</v>
      </c>
      <c r="E703" s="1" t="s">
        <v>8778</v>
      </c>
      <c r="F703" s="1" t="s">
        <v>8779</v>
      </c>
      <c r="H703" s="2" t="s">
        <v>5</v>
      </c>
      <c r="I703" s="2" t="s">
        <v>6</v>
      </c>
      <c r="J703" s="2" t="s">
        <v>5</v>
      </c>
      <c r="K703" s="2" t="s">
        <v>5</v>
      </c>
      <c r="L703" s="2" t="s">
        <v>7</v>
      </c>
      <c r="M703" s="1" t="s">
        <v>8780</v>
      </c>
      <c r="N703" s="1" t="s">
        <v>8781</v>
      </c>
      <c r="O703" s="2" t="s">
        <v>554</v>
      </c>
      <c r="Q703" s="2" t="s">
        <v>1151</v>
      </c>
      <c r="R703" s="2" t="s">
        <v>1152</v>
      </c>
      <c r="S703" s="1" t="s">
        <v>8782</v>
      </c>
      <c r="T703" s="2" t="s">
        <v>13</v>
      </c>
      <c r="U703" s="3">
        <v>3</v>
      </c>
      <c r="V703" s="3">
        <v>3</v>
      </c>
      <c r="W703" s="4" t="s">
        <v>8783</v>
      </c>
      <c r="X703" s="4" t="s">
        <v>8783</v>
      </c>
      <c r="Y703" s="4" t="s">
        <v>8482</v>
      </c>
      <c r="Z703" s="4" t="s">
        <v>8482</v>
      </c>
      <c r="AA703" s="3">
        <v>101</v>
      </c>
      <c r="AB703" s="3">
        <v>76</v>
      </c>
      <c r="AC703" s="3">
        <v>216</v>
      </c>
      <c r="AD703" s="3">
        <v>2</v>
      </c>
      <c r="AE703" s="9">
        <v>2</v>
      </c>
      <c r="AF703" s="9">
        <v>4</v>
      </c>
      <c r="AG703" s="9">
        <v>10</v>
      </c>
      <c r="AH703" s="3">
        <v>0</v>
      </c>
      <c r="AI703" s="3">
        <v>3</v>
      </c>
      <c r="AJ703" s="3">
        <v>2</v>
      </c>
      <c r="AK703" s="3">
        <v>5</v>
      </c>
      <c r="AL703" s="3">
        <v>1</v>
      </c>
      <c r="AM703" s="3">
        <v>5</v>
      </c>
      <c r="AN703" s="3">
        <v>1</v>
      </c>
      <c r="AO703" s="3">
        <v>1</v>
      </c>
      <c r="AP703" s="3">
        <v>0</v>
      </c>
      <c r="AQ703" s="3">
        <v>0</v>
      </c>
      <c r="AR703" s="2" t="s">
        <v>5</v>
      </c>
      <c r="AS703" s="2" t="s">
        <v>46</v>
      </c>
      <c r="AT703" s="5" t="str">
        <f>HYPERLINK("http://catalog.hathitrust.org/Record/000439375","HathiTrust Record")</f>
        <v>HathiTrust Record</v>
      </c>
      <c r="AU703" s="5" t="str">
        <f>HYPERLINK("https://creighton-primo.hosted.exlibrisgroup.com/primo-explore/search?tab=default_tab&amp;search_scope=EVERYTHING&amp;vid=01CRU&amp;lang=en_US&amp;offset=0&amp;query=any,contains,991000708889702656","Catalog Record")</f>
        <v>Catalog Record</v>
      </c>
      <c r="AV703" s="5" t="str">
        <f>HYPERLINK("http://www.worldcat.org/oclc/14713096","WorldCat Record")</f>
        <v>WorldCat Record</v>
      </c>
      <c r="AW703" s="2" t="s">
        <v>8784</v>
      </c>
      <c r="AX703" s="2" t="s">
        <v>8785</v>
      </c>
      <c r="AY703" s="2" t="s">
        <v>8786</v>
      </c>
      <c r="AZ703" s="2" t="s">
        <v>8786</v>
      </c>
      <c r="BA703" s="2" t="s">
        <v>8787</v>
      </c>
      <c r="BB703" s="2" t="s">
        <v>20</v>
      </c>
      <c r="BD703" s="2" t="s">
        <v>8788</v>
      </c>
      <c r="BE703" s="2" t="s">
        <v>8789</v>
      </c>
      <c r="BF703" s="2" t="s">
        <v>8790</v>
      </c>
    </row>
    <row r="704" spans="1:58" ht="39.75" customHeight="1" x14ac:dyDescent="0.25">
      <c r="A704" s="7" t="s">
        <v>5</v>
      </c>
      <c r="B704" s="1" t="s">
        <v>0</v>
      </c>
      <c r="C704" s="1" t="s">
        <v>1</v>
      </c>
      <c r="D704" s="1" t="s">
        <v>8791</v>
      </c>
      <c r="E704" s="1" t="s">
        <v>8792</v>
      </c>
      <c r="F704" s="1" t="s">
        <v>8793</v>
      </c>
      <c r="H704" s="2" t="s">
        <v>5</v>
      </c>
      <c r="I704" s="2" t="s">
        <v>6</v>
      </c>
      <c r="J704" s="2" t="s">
        <v>5</v>
      </c>
      <c r="K704" s="2" t="s">
        <v>5</v>
      </c>
      <c r="L704" s="2" t="s">
        <v>7</v>
      </c>
      <c r="M704" s="1" t="s">
        <v>8794</v>
      </c>
      <c r="N704" s="1" t="s">
        <v>8596</v>
      </c>
      <c r="O704" s="2" t="s">
        <v>494</v>
      </c>
      <c r="P704" s="1" t="s">
        <v>7339</v>
      </c>
      <c r="Q704" s="2" t="s">
        <v>1151</v>
      </c>
      <c r="R704" s="2" t="s">
        <v>1152</v>
      </c>
      <c r="S704" s="1" t="s">
        <v>8795</v>
      </c>
      <c r="T704" s="2" t="s">
        <v>13</v>
      </c>
      <c r="U704" s="3">
        <v>1</v>
      </c>
      <c r="V704" s="3">
        <v>1</v>
      </c>
      <c r="W704" s="4" t="s">
        <v>8796</v>
      </c>
      <c r="X704" s="4" t="s">
        <v>8796</v>
      </c>
      <c r="Y704" s="4" t="s">
        <v>8482</v>
      </c>
      <c r="Z704" s="4" t="s">
        <v>8482</v>
      </c>
      <c r="AA704" s="3">
        <v>32</v>
      </c>
      <c r="AB704" s="3">
        <v>23</v>
      </c>
      <c r="AC704" s="3">
        <v>825</v>
      </c>
      <c r="AD704" s="3">
        <v>1</v>
      </c>
      <c r="AE704" s="9">
        <v>7</v>
      </c>
      <c r="AF704" s="9">
        <v>0</v>
      </c>
      <c r="AG704" s="9">
        <v>34</v>
      </c>
      <c r="AH704" s="3">
        <v>0</v>
      </c>
      <c r="AI704" s="3">
        <v>11</v>
      </c>
      <c r="AJ704" s="3">
        <v>0</v>
      </c>
      <c r="AK704" s="3">
        <v>9</v>
      </c>
      <c r="AL704" s="3">
        <v>0</v>
      </c>
      <c r="AM704" s="3">
        <v>18</v>
      </c>
      <c r="AN704" s="3">
        <v>0</v>
      </c>
      <c r="AO704" s="3">
        <v>5</v>
      </c>
      <c r="AP704" s="3">
        <v>0</v>
      </c>
      <c r="AQ704" s="3">
        <v>0</v>
      </c>
      <c r="AR704" s="2" t="s">
        <v>5</v>
      </c>
      <c r="AS704" s="2" t="s">
        <v>5</v>
      </c>
      <c r="AU704" s="5" t="str">
        <f>HYPERLINK("https://creighton-primo.hosted.exlibrisgroup.com/primo-explore/search?tab=default_tab&amp;search_scope=EVERYTHING&amp;vid=01CRU&amp;lang=en_US&amp;offset=0&amp;query=any,contains,991004763879702656","Catalog Record")</f>
        <v>Catalog Record</v>
      </c>
      <c r="AV704" s="5" t="str">
        <f>HYPERLINK("http://www.worldcat.org/oclc/5020220","WorldCat Record")</f>
        <v>WorldCat Record</v>
      </c>
      <c r="AW704" s="2" t="s">
        <v>8797</v>
      </c>
      <c r="AX704" s="2" t="s">
        <v>8798</v>
      </c>
      <c r="AY704" s="2" t="s">
        <v>8799</v>
      </c>
      <c r="AZ704" s="2" t="s">
        <v>8799</v>
      </c>
      <c r="BA704" s="2" t="s">
        <v>8800</v>
      </c>
      <c r="BB704" s="2" t="s">
        <v>20</v>
      </c>
      <c r="BD704" s="2" t="s">
        <v>8801</v>
      </c>
      <c r="BE704" s="2" t="s">
        <v>8802</v>
      </c>
      <c r="BF704" s="2" t="s">
        <v>8803</v>
      </c>
    </row>
    <row r="705" spans="1:58" ht="39.75" customHeight="1" x14ac:dyDescent="0.25">
      <c r="A705" s="7" t="s">
        <v>5</v>
      </c>
      <c r="B705" s="1" t="s">
        <v>0</v>
      </c>
      <c r="C705" s="1" t="s">
        <v>1</v>
      </c>
      <c r="D705" s="1" t="s">
        <v>8804</v>
      </c>
      <c r="E705" s="1" t="s">
        <v>8805</v>
      </c>
      <c r="F705" s="1" t="s">
        <v>8806</v>
      </c>
      <c r="H705" s="2" t="s">
        <v>5</v>
      </c>
      <c r="I705" s="2" t="s">
        <v>6</v>
      </c>
      <c r="J705" s="2" t="s">
        <v>5</v>
      </c>
      <c r="K705" s="2" t="s">
        <v>5</v>
      </c>
      <c r="L705" s="2" t="s">
        <v>7</v>
      </c>
      <c r="M705" s="1" t="s">
        <v>8807</v>
      </c>
      <c r="N705" s="1" t="s">
        <v>8808</v>
      </c>
      <c r="O705" s="2" t="s">
        <v>1390</v>
      </c>
      <c r="Q705" s="2" t="s">
        <v>1151</v>
      </c>
      <c r="R705" s="2" t="s">
        <v>234</v>
      </c>
      <c r="S705" s="1" t="s">
        <v>8809</v>
      </c>
      <c r="T705" s="2" t="s">
        <v>13</v>
      </c>
      <c r="U705" s="3">
        <v>2</v>
      </c>
      <c r="V705" s="3">
        <v>2</v>
      </c>
      <c r="W705" s="4" t="s">
        <v>8810</v>
      </c>
      <c r="X705" s="4" t="s">
        <v>8810</v>
      </c>
      <c r="Y705" s="4" t="s">
        <v>8482</v>
      </c>
      <c r="Z705" s="4" t="s">
        <v>8482</v>
      </c>
      <c r="AA705" s="3">
        <v>28</v>
      </c>
      <c r="AB705" s="3">
        <v>19</v>
      </c>
      <c r="AC705" s="3">
        <v>19</v>
      </c>
      <c r="AD705" s="3">
        <v>1</v>
      </c>
      <c r="AE705" s="9">
        <v>1</v>
      </c>
      <c r="AF705" s="9">
        <v>1</v>
      </c>
      <c r="AG705" s="9">
        <v>1</v>
      </c>
      <c r="AH705" s="3">
        <v>1</v>
      </c>
      <c r="AI705" s="3">
        <v>1</v>
      </c>
      <c r="AJ705" s="3">
        <v>0</v>
      </c>
      <c r="AK705" s="3">
        <v>0</v>
      </c>
      <c r="AL705" s="3">
        <v>0</v>
      </c>
      <c r="AM705" s="3">
        <v>0</v>
      </c>
      <c r="AN705" s="3">
        <v>0</v>
      </c>
      <c r="AO705" s="3">
        <v>0</v>
      </c>
      <c r="AP705" s="3">
        <v>0</v>
      </c>
      <c r="AQ705" s="3">
        <v>0</v>
      </c>
      <c r="AR705" s="2" t="s">
        <v>5</v>
      </c>
      <c r="AS705" s="2" t="s">
        <v>5</v>
      </c>
      <c r="AU705" s="5" t="str">
        <f>HYPERLINK("https://creighton-primo.hosted.exlibrisgroup.com/primo-explore/search?tab=default_tab&amp;search_scope=EVERYTHING&amp;vid=01CRU&amp;lang=en_US&amp;offset=0&amp;query=any,contains,991004958149702656","Catalog Record")</f>
        <v>Catalog Record</v>
      </c>
      <c r="AV705" s="5" t="str">
        <f>HYPERLINK("http://www.worldcat.org/oclc/20217435","WorldCat Record")</f>
        <v>WorldCat Record</v>
      </c>
      <c r="AW705" s="2" t="s">
        <v>8811</v>
      </c>
      <c r="AX705" s="2" t="s">
        <v>8812</v>
      </c>
      <c r="AY705" s="2" t="s">
        <v>8813</v>
      </c>
      <c r="AZ705" s="2" t="s">
        <v>8813</v>
      </c>
      <c r="BA705" s="2" t="s">
        <v>8814</v>
      </c>
      <c r="BB705" s="2" t="s">
        <v>20</v>
      </c>
      <c r="BD705" s="2" t="s">
        <v>8815</v>
      </c>
      <c r="BE705" s="2" t="s">
        <v>8816</v>
      </c>
      <c r="BF705" s="2" t="s">
        <v>8817</v>
      </c>
    </row>
    <row r="706" spans="1:58" ht="39.75" customHeight="1" x14ac:dyDescent="0.25">
      <c r="A706" s="7" t="s">
        <v>5</v>
      </c>
      <c r="B706" s="1" t="s">
        <v>0</v>
      </c>
      <c r="C706" s="1" t="s">
        <v>1</v>
      </c>
      <c r="D706" s="1" t="s">
        <v>8818</v>
      </c>
      <c r="E706" s="1" t="s">
        <v>8819</v>
      </c>
      <c r="F706" s="1" t="s">
        <v>8820</v>
      </c>
      <c r="H706" s="2" t="s">
        <v>5</v>
      </c>
      <c r="I706" s="2" t="s">
        <v>6</v>
      </c>
      <c r="J706" s="2" t="s">
        <v>5</v>
      </c>
      <c r="K706" s="2" t="s">
        <v>5</v>
      </c>
      <c r="L706" s="2" t="s">
        <v>7</v>
      </c>
      <c r="M706" s="1" t="s">
        <v>8821</v>
      </c>
      <c r="N706" s="1" t="s">
        <v>8822</v>
      </c>
      <c r="O706" s="2" t="s">
        <v>192</v>
      </c>
      <c r="Q706" s="2" t="s">
        <v>1151</v>
      </c>
      <c r="R706" s="2" t="s">
        <v>234</v>
      </c>
      <c r="S706" s="1" t="s">
        <v>8823</v>
      </c>
      <c r="T706" s="2" t="s">
        <v>13</v>
      </c>
      <c r="U706" s="3">
        <v>1</v>
      </c>
      <c r="V706" s="3">
        <v>1</v>
      </c>
      <c r="W706" s="4" t="s">
        <v>8824</v>
      </c>
      <c r="X706" s="4" t="s">
        <v>8824</v>
      </c>
      <c r="Y706" s="4" t="s">
        <v>8825</v>
      </c>
      <c r="Z706" s="4" t="s">
        <v>8825</v>
      </c>
      <c r="AA706" s="3">
        <v>210</v>
      </c>
      <c r="AB706" s="3">
        <v>188</v>
      </c>
      <c r="AC706" s="3">
        <v>191</v>
      </c>
      <c r="AD706" s="3">
        <v>2</v>
      </c>
      <c r="AE706" s="9">
        <v>2</v>
      </c>
      <c r="AF706" s="9">
        <v>7</v>
      </c>
      <c r="AG706" s="9">
        <v>7</v>
      </c>
      <c r="AH706" s="3">
        <v>1</v>
      </c>
      <c r="AI706" s="3">
        <v>1</v>
      </c>
      <c r="AJ706" s="3">
        <v>2</v>
      </c>
      <c r="AK706" s="3">
        <v>2</v>
      </c>
      <c r="AL706" s="3">
        <v>4</v>
      </c>
      <c r="AM706" s="3">
        <v>4</v>
      </c>
      <c r="AN706" s="3">
        <v>1</v>
      </c>
      <c r="AO706" s="3">
        <v>1</v>
      </c>
      <c r="AP706" s="3">
        <v>0</v>
      </c>
      <c r="AQ706" s="3">
        <v>0</v>
      </c>
      <c r="AR706" s="2" t="s">
        <v>5</v>
      </c>
      <c r="AS706" s="2" t="s">
        <v>46</v>
      </c>
      <c r="AT706" s="5" t="str">
        <f>HYPERLINK("http://catalog.hathitrust.org/Record/001918332","HathiTrust Record")</f>
        <v>HathiTrust Record</v>
      </c>
      <c r="AU706" s="5" t="str">
        <f>HYPERLINK("https://creighton-primo.hosted.exlibrisgroup.com/primo-explore/search?tab=default_tab&amp;search_scope=EVERYTHING&amp;vid=01CRU&amp;lang=en_US&amp;offset=0&amp;query=any,contains,991003008939702656","Catalog Record")</f>
        <v>Catalog Record</v>
      </c>
      <c r="AV706" s="5" t="str">
        <f>HYPERLINK("http://www.worldcat.org/oclc/576347","WorldCat Record")</f>
        <v>WorldCat Record</v>
      </c>
      <c r="AW706" s="2" t="s">
        <v>8826</v>
      </c>
      <c r="AX706" s="2" t="s">
        <v>8827</v>
      </c>
      <c r="AY706" s="2" t="s">
        <v>8828</v>
      </c>
      <c r="AZ706" s="2" t="s">
        <v>8828</v>
      </c>
      <c r="BA706" s="2" t="s">
        <v>8829</v>
      </c>
      <c r="BB706" s="2" t="s">
        <v>20</v>
      </c>
      <c r="BE706" s="2" t="s">
        <v>8830</v>
      </c>
      <c r="BF706" s="2" t="s">
        <v>8831</v>
      </c>
    </row>
    <row r="707" spans="1:58" ht="39.75" customHeight="1" x14ac:dyDescent="0.25">
      <c r="A707" s="7" t="s">
        <v>5</v>
      </c>
      <c r="B707" s="1" t="s">
        <v>0</v>
      </c>
      <c r="C707" s="1" t="s">
        <v>1</v>
      </c>
      <c r="D707" s="1" t="s">
        <v>8832</v>
      </c>
      <c r="E707" s="1" t="s">
        <v>8833</v>
      </c>
      <c r="F707" s="1" t="s">
        <v>8834</v>
      </c>
      <c r="H707" s="2" t="s">
        <v>5</v>
      </c>
      <c r="I707" s="2" t="s">
        <v>6</v>
      </c>
      <c r="J707" s="2" t="s">
        <v>5</v>
      </c>
      <c r="K707" s="2" t="s">
        <v>5</v>
      </c>
      <c r="L707" s="2" t="s">
        <v>7</v>
      </c>
      <c r="M707" s="1" t="s">
        <v>8835</v>
      </c>
      <c r="N707" s="1" t="s">
        <v>8836</v>
      </c>
      <c r="O707" s="2" t="s">
        <v>162</v>
      </c>
      <c r="P707" s="1" t="s">
        <v>5373</v>
      </c>
      <c r="Q707" s="2" t="s">
        <v>1151</v>
      </c>
      <c r="R707" s="2" t="s">
        <v>1152</v>
      </c>
      <c r="T707" s="2" t="s">
        <v>13</v>
      </c>
      <c r="U707" s="3">
        <v>1</v>
      </c>
      <c r="V707" s="3">
        <v>1</v>
      </c>
      <c r="W707" s="4" t="s">
        <v>5032</v>
      </c>
      <c r="X707" s="4" t="s">
        <v>5032</v>
      </c>
      <c r="Y707" s="4" t="s">
        <v>5032</v>
      </c>
      <c r="Z707" s="4" t="s">
        <v>5032</v>
      </c>
      <c r="AA707" s="3">
        <v>101</v>
      </c>
      <c r="AB707" s="3">
        <v>77</v>
      </c>
      <c r="AC707" s="3">
        <v>209</v>
      </c>
      <c r="AD707" s="3">
        <v>1</v>
      </c>
      <c r="AE707" s="9">
        <v>2</v>
      </c>
      <c r="AF707" s="9">
        <v>4</v>
      </c>
      <c r="AG707" s="9">
        <v>13</v>
      </c>
      <c r="AH707" s="3">
        <v>1</v>
      </c>
      <c r="AI707" s="3">
        <v>2</v>
      </c>
      <c r="AJ707" s="3">
        <v>2</v>
      </c>
      <c r="AK707" s="3">
        <v>4</v>
      </c>
      <c r="AL707" s="3">
        <v>2</v>
      </c>
      <c r="AM707" s="3">
        <v>9</v>
      </c>
      <c r="AN707" s="3">
        <v>0</v>
      </c>
      <c r="AO707" s="3">
        <v>1</v>
      </c>
      <c r="AP707" s="3">
        <v>0</v>
      </c>
      <c r="AQ707" s="3">
        <v>0</v>
      </c>
      <c r="AR707" s="2" t="s">
        <v>5</v>
      </c>
      <c r="AS707" s="2" t="s">
        <v>46</v>
      </c>
      <c r="AT707" s="5" t="str">
        <f>HYPERLINK("http://catalog.hathitrust.org/Record/009965142","HathiTrust Record")</f>
        <v>HathiTrust Record</v>
      </c>
      <c r="AU707" s="5" t="str">
        <f>HYPERLINK("https://creighton-primo.hosted.exlibrisgroup.com/primo-explore/search?tab=default_tab&amp;search_scope=EVERYTHING&amp;vid=01CRU&amp;lang=en_US&amp;offset=0&amp;query=any,contains,991004490989702656","Catalog Record")</f>
        <v>Catalog Record</v>
      </c>
      <c r="AV707" s="5" t="str">
        <f>HYPERLINK("http://www.worldcat.org/oclc/500404","WorldCat Record")</f>
        <v>WorldCat Record</v>
      </c>
      <c r="AW707" s="2" t="s">
        <v>8837</v>
      </c>
      <c r="AX707" s="2" t="s">
        <v>8838</v>
      </c>
      <c r="AY707" s="2" t="s">
        <v>8839</v>
      </c>
      <c r="AZ707" s="2" t="s">
        <v>8839</v>
      </c>
      <c r="BA707" s="2" t="s">
        <v>8840</v>
      </c>
      <c r="BB707" s="2" t="s">
        <v>20</v>
      </c>
      <c r="BE707" s="2" t="s">
        <v>8841</v>
      </c>
      <c r="BF707" s="2" t="s">
        <v>8842</v>
      </c>
    </row>
    <row r="708" spans="1:58" ht="39.75" customHeight="1" x14ac:dyDescent="0.25">
      <c r="A708" s="7" t="s">
        <v>5</v>
      </c>
      <c r="B708" s="1" t="s">
        <v>0</v>
      </c>
      <c r="C708" s="1" t="s">
        <v>1</v>
      </c>
      <c r="D708" s="1" t="s">
        <v>8843</v>
      </c>
      <c r="E708" s="1" t="s">
        <v>8844</v>
      </c>
      <c r="F708" s="1" t="s">
        <v>8845</v>
      </c>
      <c r="H708" s="2" t="s">
        <v>5</v>
      </c>
      <c r="I708" s="2" t="s">
        <v>6</v>
      </c>
      <c r="J708" s="2" t="s">
        <v>5</v>
      </c>
      <c r="K708" s="2" t="s">
        <v>5</v>
      </c>
      <c r="L708" s="2" t="s">
        <v>7</v>
      </c>
      <c r="M708" s="1" t="s">
        <v>8846</v>
      </c>
      <c r="N708" s="1" t="s">
        <v>8847</v>
      </c>
      <c r="O708" s="2" t="s">
        <v>8848</v>
      </c>
      <c r="Q708" s="2" t="s">
        <v>1151</v>
      </c>
      <c r="R708" s="2" t="s">
        <v>1152</v>
      </c>
      <c r="T708" s="2" t="s">
        <v>13</v>
      </c>
      <c r="U708" s="3">
        <v>2</v>
      </c>
      <c r="V708" s="3">
        <v>2</v>
      </c>
      <c r="W708" s="4" t="s">
        <v>8824</v>
      </c>
      <c r="X708" s="4" t="s">
        <v>8824</v>
      </c>
      <c r="Y708" s="4" t="s">
        <v>8825</v>
      </c>
      <c r="Z708" s="4" t="s">
        <v>8825</v>
      </c>
      <c r="AA708" s="3">
        <v>99</v>
      </c>
      <c r="AB708" s="3">
        <v>85</v>
      </c>
      <c r="AC708" s="3">
        <v>459</v>
      </c>
      <c r="AD708" s="3">
        <v>1</v>
      </c>
      <c r="AE708" s="9">
        <v>4</v>
      </c>
      <c r="AF708" s="9">
        <v>5</v>
      </c>
      <c r="AG708" s="9">
        <v>22</v>
      </c>
      <c r="AH708" s="3">
        <v>2</v>
      </c>
      <c r="AI708" s="3">
        <v>8</v>
      </c>
      <c r="AJ708" s="3">
        <v>2</v>
      </c>
      <c r="AK708" s="3">
        <v>8</v>
      </c>
      <c r="AL708" s="3">
        <v>3</v>
      </c>
      <c r="AM708" s="3">
        <v>9</v>
      </c>
      <c r="AN708" s="3">
        <v>0</v>
      </c>
      <c r="AO708" s="3">
        <v>2</v>
      </c>
      <c r="AP708" s="3">
        <v>0</v>
      </c>
      <c r="AQ708" s="3">
        <v>0</v>
      </c>
      <c r="AR708" s="2" t="s">
        <v>5</v>
      </c>
      <c r="AS708" s="2" t="s">
        <v>46</v>
      </c>
      <c r="AT708" s="5" t="str">
        <f>HYPERLINK("http://catalog.hathitrust.org/Record/006233896","HathiTrust Record")</f>
        <v>HathiTrust Record</v>
      </c>
      <c r="AU708" s="5" t="str">
        <f>HYPERLINK("https://creighton-primo.hosted.exlibrisgroup.com/primo-explore/search?tab=default_tab&amp;search_scope=EVERYTHING&amp;vid=01CRU&amp;lang=en_US&amp;offset=0&amp;query=any,contains,991004735249702656","Catalog Record")</f>
        <v>Catalog Record</v>
      </c>
      <c r="AV708" s="5" t="str">
        <f>HYPERLINK("http://www.worldcat.org/oclc/39535802","WorldCat Record")</f>
        <v>WorldCat Record</v>
      </c>
      <c r="AW708" s="2" t="s">
        <v>8849</v>
      </c>
      <c r="AX708" s="2" t="s">
        <v>8850</v>
      </c>
      <c r="AY708" s="2" t="s">
        <v>8851</v>
      </c>
      <c r="AZ708" s="2" t="s">
        <v>8851</v>
      </c>
      <c r="BA708" s="2" t="s">
        <v>8852</v>
      </c>
      <c r="BB708" s="2" t="s">
        <v>20</v>
      </c>
      <c r="BE708" s="2" t="s">
        <v>8853</v>
      </c>
      <c r="BF708" s="2" t="s">
        <v>8854</v>
      </c>
    </row>
    <row r="709" spans="1:58" ht="39.75" customHeight="1" x14ac:dyDescent="0.25">
      <c r="A709" s="7" t="s">
        <v>5</v>
      </c>
      <c r="B709" s="1" t="s">
        <v>0</v>
      </c>
      <c r="C709" s="1" t="s">
        <v>1</v>
      </c>
      <c r="D709" s="1" t="s">
        <v>8855</v>
      </c>
      <c r="E709" s="1" t="s">
        <v>8856</v>
      </c>
      <c r="F709" s="1" t="s">
        <v>8857</v>
      </c>
      <c r="H709" s="2" t="s">
        <v>5</v>
      </c>
      <c r="I709" s="2" t="s">
        <v>6</v>
      </c>
      <c r="J709" s="2" t="s">
        <v>5</v>
      </c>
      <c r="K709" s="2" t="s">
        <v>5</v>
      </c>
      <c r="L709" s="2" t="s">
        <v>7</v>
      </c>
      <c r="N709" s="1" t="s">
        <v>8858</v>
      </c>
      <c r="O709" s="2" t="s">
        <v>480</v>
      </c>
      <c r="Q709" s="2" t="s">
        <v>60</v>
      </c>
      <c r="R709" s="2" t="s">
        <v>292</v>
      </c>
      <c r="T709" s="2" t="s">
        <v>13</v>
      </c>
      <c r="U709" s="3">
        <v>2</v>
      </c>
      <c r="V709" s="3">
        <v>2</v>
      </c>
      <c r="W709" s="4" t="s">
        <v>8824</v>
      </c>
      <c r="X709" s="4" t="s">
        <v>8824</v>
      </c>
      <c r="Y709" s="4" t="s">
        <v>222</v>
      </c>
      <c r="Z709" s="4" t="s">
        <v>222</v>
      </c>
      <c r="AA709" s="3">
        <v>750</v>
      </c>
      <c r="AB709" s="3">
        <v>683</v>
      </c>
      <c r="AC709" s="3">
        <v>694</v>
      </c>
      <c r="AD709" s="3">
        <v>7</v>
      </c>
      <c r="AE709" s="9">
        <v>7</v>
      </c>
      <c r="AF709" s="9">
        <v>32</v>
      </c>
      <c r="AG709" s="9">
        <v>32</v>
      </c>
      <c r="AH709" s="3">
        <v>8</v>
      </c>
      <c r="AI709" s="3">
        <v>8</v>
      </c>
      <c r="AJ709" s="3">
        <v>7</v>
      </c>
      <c r="AK709" s="3">
        <v>7</v>
      </c>
      <c r="AL709" s="3">
        <v>18</v>
      </c>
      <c r="AM709" s="3">
        <v>18</v>
      </c>
      <c r="AN709" s="3">
        <v>6</v>
      </c>
      <c r="AO709" s="3">
        <v>6</v>
      </c>
      <c r="AP709" s="3">
        <v>0</v>
      </c>
      <c r="AQ709" s="3">
        <v>0</v>
      </c>
      <c r="AR709" s="2" t="s">
        <v>5</v>
      </c>
      <c r="AS709" s="2" t="s">
        <v>46</v>
      </c>
      <c r="AT709" s="5" t="str">
        <f>HYPERLINK("http://catalog.hathitrust.org/Record/001016080","HathiTrust Record")</f>
        <v>HathiTrust Record</v>
      </c>
      <c r="AU709" s="5" t="str">
        <f>HYPERLINK("https://creighton-primo.hosted.exlibrisgroup.com/primo-explore/search?tab=default_tab&amp;search_scope=EVERYTHING&amp;vid=01CRU&amp;lang=en_US&amp;offset=0&amp;query=any,contains,991002431599702656","Catalog Record")</f>
        <v>Catalog Record</v>
      </c>
      <c r="AV709" s="5" t="str">
        <f>HYPERLINK("http://www.worldcat.org/oclc/347325","WorldCat Record")</f>
        <v>WorldCat Record</v>
      </c>
      <c r="AW709" s="2" t="s">
        <v>8859</v>
      </c>
      <c r="AX709" s="2" t="s">
        <v>8860</v>
      </c>
      <c r="AY709" s="2" t="s">
        <v>8861</v>
      </c>
      <c r="AZ709" s="2" t="s">
        <v>8861</v>
      </c>
      <c r="BA709" s="2" t="s">
        <v>8862</v>
      </c>
      <c r="BB709" s="2" t="s">
        <v>20</v>
      </c>
      <c r="BE709" s="2" t="s">
        <v>8863</v>
      </c>
      <c r="BF709" s="2" t="s">
        <v>8864</v>
      </c>
    </row>
    <row r="710" spans="1:58" ht="39.75" customHeight="1" x14ac:dyDescent="0.25">
      <c r="A710" s="7" t="s">
        <v>5</v>
      </c>
      <c r="B710" s="1" t="s">
        <v>0</v>
      </c>
      <c r="C710" s="1" t="s">
        <v>1</v>
      </c>
      <c r="D710" s="1" t="s">
        <v>8865</v>
      </c>
      <c r="E710" s="1" t="s">
        <v>8866</v>
      </c>
      <c r="F710" s="1" t="s">
        <v>8867</v>
      </c>
      <c r="H710" s="2" t="s">
        <v>5</v>
      </c>
      <c r="I710" s="2" t="s">
        <v>6</v>
      </c>
      <c r="J710" s="2" t="s">
        <v>5</v>
      </c>
      <c r="K710" s="2" t="s">
        <v>5</v>
      </c>
      <c r="L710" s="2" t="s">
        <v>7</v>
      </c>
      <c r="M710" s="1" t="s">
        <v>8868</v>
      </c>
      <c r="N710" s="1" t="s">
        <v>8869</v>
      </c>
      <c r="O710" s="2" t="s">
        <v>736</v>
      </c>
      <c r="P710" s="1" t="s">
        <v>2908</v>
      </c>
      <c r="Q710" s="2" t="s">
        <v>1151</v>
      </c>
      <c r="R710" s="2" t="s">
        <v>1152</v>
      </c>
      <c r="S710" s="1" t="s">
        <v>8870</v>
      </c>
      <c r="T710" s="2" t="s">
        <v>13</v>
      </c>
      <c r="U710" s="3">
        <v>1</v>
      </c>
      <c r="V710" s="3">
        <v>1</v>
      </c>
      <c r="W710" s="4" t="s">
        <v>6650</v>
      </c>
      <c r="X710" s="4" t="s">
        <v>6650</v>
      </c>
      <c r="Y710" s="4" t="s">
        <v>6650</v>
      </c>
      <c r="Z710" s="4" t="s">
        <v>6650</v>
      </c>
      <c r="AA710" s="3">
        <v>83</v>
      </c>
      <c r="AB710" s="3">
        <v>54</v>
      </c>
      <c r="AC710" s="3">
        <v>69</v>
      </c>
      <c r="AD710" s="3">
        <v>1</v>
      </c>
      <c r="AE710" s="9">
        <v>1</v>
      </c>
      <c r="AF710" s="9">
        <v>1</v>
      </c>
      <c r="AG710" s="9">
        <v>1</v>
      </c>
      <c r="AH710" s="3">
        <v>0</v>
      </c>
      <c r="AI710" s="3">
        <v>0</v>
      </c>
      <c r="AJ710" s="3">
        <v>1</v>
      </c>
      <c r="AK710" s="3">
        <v>1</v>
      </c>
      <c r="AL710" s="3">
        <v>1</v>
      </c>
      <c r="AM710" s="3">
        <v>1</v>
      </c>
      <c r="AN710" s="3">
        <v>0</v>
      </c>
      <c r="AO710" s="3">
        <v>0</v>
      </c>
      <c r="AP710" s="3">
        <v>0</v>
      </c>
      <c r="AQ710" s="3">
        <v>0</v>
      </c>
      <c r="AR710" s="2" t="s">
        <v>5</v>
      </c>
      <c r="AS710" s="2" t="s">
        <v>46</v>
      </c>
      <c r="AT710" s="5" t="str">
        <f>HYPERLINK("http://catalog.hathitrust.org/Record/002525987","HathiTrust Record")</f>
        <v>HathiTrust Record</v>
      </c>
      <c r="AU710" s="5" t="str">
        <f>HYPERLINK("https://creighton-primo.hosted.exlibrisgroup.com/primo-explore/search?tab=default_tab&amp;search_scope=EVERYTHING&amp;vid=01CRU&amp;lang=en_US&amp;offset=0&amp;query=any,contains,991004345539702656","Catalog Record")</f>
        <v>Catalog Record</v>
      </c>
      <c r="AV710" s="5" t="str">
        <f>HYPERLINK("http://www.worldcat.org/oclc/25663609","WorldCat Record")</f>
        <v>WorldCat Record</v>
      </c>
      <c r="AW710" s="2" t="s">
        <v>8871</v>
      </c>
      <c r="AX710" s="2" t="s">
        <v>8872</v>
      </c>
      <c r="AY710" s="2" t="s">
        <v>8873</v>
      </c>
      <c r="AZ710" s="2" t="s">
        <v>8873</v>
      </c>
      <c r="BA710" s="2" t="s">
        <v>8874</v>
      </c>
      <c r="BB710" s="2" t="s">
        <v>20</v>
      </c>
      <c r="BD710" s="2" t="s">
        <v>8875</v>
      </c>
      <c r="BE710" s="2" t="s">
        <v>8876</v>
      </c>
      <c r="BF710" s="2" t="s">
        <v>8877</v>
      </c>
    </row>
    <row r="711" spans="1:58" ht="39.75" customHeight="1" x14ac:dyDescent="0.25">
      <c r="A711" s="7" t="s">
        <v>5</v>
      </c>
      <c r="B711" s="1" t="s">
        <v>0</v>
      </c>
      <c r="C711" s="1" t="s">
        <v>1</v>
      </c>
      <c r="D711" s="1" t="s">
        <v>8878</v>
      </c>
      <c r="E711" s="1" t="s">
        <v>8879</v>
      </c>
      <c r="F711" s="1" t="s">
        <v>8880</v>
      </c>
      <c r="H711" s="2" t="s">
        <v>5</v>
      </c>
      <c r="I711" s="2" t="s">
        <v>6</v>
      </c>
      <c r="J711" s="2" t="s">
        <v>5</v>
      </c>
      <c r="K711" s="2" t="s">
        <v>5</v>
      </c>
      <c r="L711" s="2" t="s">
        <v>7</v>
      </c>
      <c r="M711" s="1" t="s">
        <v>8868</v>
      </c>
      <c r="N711" s="1" t="s">
        <v>8881</v>
      </c>
      <c r="O711" s="2" t="s">
        <v>6611</v>
      </c>
      <c r="P711" s="1" t="s">
        <v>2908</v>
      </c>
      <c r="Q711" s="2" t="s">
        <v>1151</v>
      </c>
      <c r="R711" s="2" t="s">
        <v>1152</v>
      </c>
      <c r="S711" s="1" t="s">
        <v>8882</v>
      </c>
      <c r="T711" s="2" t="s">
        <v>13</v>
      </c>
      <c r="U711" s="3">
        <v>1</v>
      </c>
      <c r="V711" s="3">
        <v>1</v>
      </c>
      <c r="W711" s="4" t="s">
        <v>6650</v>
      </c>
      <c r="X711" s="4" t="s">
        <v>6650</v>
      </c>
      <c r="Y711" s="4" t="s">
        <v>6650</v>
      </c>
      <c r="Z711" s="4" t="s">
        <v>6650</v>
      </c>
      <c r="AA711" s="3">
        <v>69</v>
      </c>
      <c r="AB711" s="3">
        <v>49</v>
      </c>
      <c r="AC711" s="3">
        <v>53</v>
      </c>
      <c r="AD711" s="3">
        <v>1</v>
      </c>
      <c r="AE711" s="9">
        <v>1</v>
      </c>
      <c r="AF711" s="9">
        <v>0</v>
      </c>
      <c r="AG711" s="9">
        <v>0</v>
      </c>
      <c r="AH711" s="3">
        <v>0</v>
      </c>
      <c r="AI711" s="3">
        <v>0</v>
      </c>
      <c r="AJ711" s="3">
        <v>0</v>
      </c>
      <c r="AK711" s="3">
        <v>0</v>
      </c>
      <c r="AL711" s="3">
        <v>0</v>
      </c>
      <c r="AM711" s="3">
        <v>0</v>
      </c>
      <c r="AN711" s="3">
        <v>0</v>
      </c>
      <c r="AO711" s="3">
        <v>0</v>
      </c>
      <c r="AP711" s="3">
        <v>0</v>
      </c>
      <c r="AQ711" s="3">
        <v>0</v>
      </c>
      <c r="AR711" s="2" t="s">
        <v>5</v>
      </c>
      <c r="AS711" s="2" t="s">
        <v>46</v>
      </c>
      <c r="AT711" s="5" t="str">
        <f>HYPERLINK("http://catalog.hathitrust.org/Record/003065655","HathiTrust Record")</f>
        <v>HathiTrust Record</v>
      </c>
      <c r="AU711" s="5" t="str">
        <f>HYPERLINK("https://creighton-primo.hosted.exlibrisgroup.com/primo-explore/search?tab=default_tab&amp;search_scope=EVERYTHING&amp;vid=01CRU&amp;lang=en_US&amp;offset=0&amp;query=any,contains,991004345459702656","Catalog Record")</f>
        <v>Catalog Record</v>
      </c>
      <c r="AV711" s="5" t="str">
        <f>HYPERLINK("http://www.worldcat.org/oclc/36671597","WorldCat Record")</f>
        <v>WorldCat Record</v>
      </c>
      <c r="AW711" s="2" t="s">
        <v>8883</v>
      </c>
      <c r="AX711" s="2" t="s">
        <v>8884</v>
      </c>
      <c r="AY711" s="2" t="s">
        <v>8885</v>
      </c>
      <c r="AZ711" s="2" t="s">
        <v>8885</v>
      </c>
      <c r="BA711" s="2" t="s">
        <v>8886</v>
      </c>
      <c r="BB711" s="2" t="s">
        <v>20</v>
      </c>
      <c r="BD711" s="2" t="s">
        <v>8887</v>
      </c>
      <c r="BE711" s="2" t="s">
        <v>8888</v>
      </c>
      <c r="BF711" s="2" t="s">
        <v>8889</v>
      </c>
    </row>
    <row r="712" spans="1:58" ht="39.75" customHeight="1" x14ac:dyDescent="0.25">
      <c r="A712" s="7" t="s">
        <v>5</v>
      </c>
      <c r="B712" s="1" t="s">
        <v>0</v>
      </c>
      <c r="C712" s="1" t="s">
        <v>1</v>
      </c>
      <c r="D712" s="1" t="s">
        <v>8890</v>
      </c>
      <c r="E712" s="1" t="s">
        <v>8891</v>
      </c>
      <c r="F712" s="1" t="s">
        <v>8892</v>
      </c>
      <c r="H712" s="2" t="s">
        <v>5</v>
      </c>
      <c r="I712" s="2" t="s">
        <v>6</v>
      </c>
      <c r="J712" s="2" t="s">
        <v>5</v>
      </c>
      <c r="K712" s="2" t="s">
        <v>5</v>
      </c>
      <c r="L712" s="2" t="s">
        <v>7</v>
      </c>
      <c r="M712" s="1" t="s">
        <v>8893</v>
      </c>
      <c r="N712" s="1" t="s">
        <v>8894</v>
      </c>
      <c r="O712" s="2" t="s">
        <v>121</v>
      </c>
      <c r="Q712" s="2" t="s">
        <v>1151</v>
      </c>
      <c r="R712" s="2" t="s">
        <v>1152</v>
      </c>
      <c r="S712" s="1" t="s">
        <v>8895</v>
      </c>
      <c r="T712" s="2" t="s">
        <v>13</v>
      </c>
      <c r="U712" s="3">
        <v>1</v>
      </c>
      <c r="V712" s="3">
        <v>1</v>
      </c>
      <c r="W712" s="4" t="s">
        <v>5518</v>
      </c>
      <c r="X712" s="4" t="s">
        <v>5518</v>
      </c>
      <c r="Y712" s="4" t="s">
        <v>5518</v>
      </c>
      <c r="Z712" s="4" t="s">
        <v>5518</v>
      </c>
      <c r="AA712" s="3">
        <v>353</v>
      </c>
      <c r="AB712" s="3">
        <v>292</v>
      </c>
      <c r="AC712" s="3">
        <v>294</v>
      </c>
      <c r="AD712" s="3">
        <v>3</v>
      </c>
      <c r="AE712" s="9">
        <v>3</v>
      </c>
      <c r="AF712" s="9">
        <v>11</v>
      </c>
      <c r="AG712" s="9">
        <v>11</v>
      </c>
      <c r="AH712" s="3">
        <v>2</v>
      </c>
      <c r="AI712" s="3">
        <v>2</v>
      </c>
      <c r="AJ712" s="3">
        <v>3</v>
      </c>
      <c r="AK712" s="3">
        <v>3</v>
      </c>
      <c r="AL712" s="3">
        <v>5</v>
      </c>
      <c r="AM712" s="3">
        <v>5</v>
      </c>
      <c r="AN712" s="3">
        <v>2</v>
      </c>
      <c r="AO712" s="3">
        <v>2</v>
      </c>
      <c r="AP712" s="3">
        <v>0</v>
      </c>
      <c r="AQ712" s="3">
        <v>0</v>
      </c>
      <c r="AR712" s="2" t="s">
        <v>5</v>
      </c>
      <c r="AS712" s="2" t="s">
        <v>46</v>
      </c>
      <c r="AT712" s="5" t="str">
        <f>HYPERLINK("http://catalog.hathitrust.org/Record/001056349","HathiTrust Record")</f>
        <v>HathiTrust Record</v>
      </c>
      <c r="AU712" s="5" t="str">
        <f>HYPERLINK("https://creighton-primo.hosted.exlibrisgroup.com/primo-explore/search?tab=default_tab&amp;search_scope=EVERYTHING&amp;vid=01CRU&amp;lang=en_US&amp;offset=0&amp;query=any,contains,991004508459702656","Catalog Record")</f>
        <v>Catalog Record</v>
      </c>
      <c r="AV712" s="5" t="str">
        <f>HYPERLINK("http://www.worldcat.org/oclc/223468","WorldCat Record")</f>
        <v>WorldCat Record</v>
      </c>
      <c r="AW712" s="2" t="s">
        <v>8896</v>
      </c>
      <c r="AX712" s="2" t="s">
        <v>8897</v>
      </c>
      <c r="AY712" s="2" t="s">
        <v>8898</v>
      </c>
      <c r="AZ712" s="2" t="s">
        <v>8898</v>
      </c>
      <c r="BA712" s="2" t="s">
        <v>8899</v>
      </c>
      <c r="BB712" s="2" t="s">
        <v>20</v>
      </c>
      <c r="BE712" s="2" t="s">
        <v>8900</v>
      </c>
      <c r="BF712" s="2" t="s">
        <v>8901</v>
      </c>
    </row>
    <row r="713" spans="1:58" ht="39.75" customHeight="1" x14ac:dyDescent="0.25">
      <c r="A713" s="7" t="s">
        <v>5</v>
      </c>
      <c r="B713" s="1" t="s">
        <v>0</v>
      </c>
      <c r="C713" s="1" t="s">
        <v>1</v>
      </c>
      <c r="D713" s="1" t="s">
        <v>8902</v>
      </c>
      <c r="E713" s="1" t="s">
        <v>8903</v>
      </c>
      <c r="F713" s="1" t="s">
        <v>8904</v>
      </c>
      <c r="H713" s="2" t="s">
        <v>5</v>
      </c>
      <c r="I713" s="2" t="s">
        <v>6</v>
      </c>
      <c r="J713" s="2" t="s">
        <v>5</v>
      </c>
      <c r="K713" s="2" t="s">
        <v>5</v>
      </c>
      <c r="L713" s="2" t="s">
        <v>7</v>
      </c>
      <c r="M713" s="1" t="s">
        <v>8905</v>
      </c>
      <c r="N713" s="1" t="s">
        <v>8906</v>
      </c>
      <c r="O713" s="2" t="s">
        <v>248</v>
      </c>
      <c r="Q713" s="2" t="s">
        <v>1151</v>
      </c>
      <c r="R713" s="2" t="s">
        <v>1152</v>
      </c>
      <c r="S713" s="1" t="s">
        <v>5718</v>
      </c>
      <c r="T713" s="2" t="s">
        <v>13</v>
      </c>
      <c r="U713" s="3">
        <v>1</v>
      </c>
      <c r="V713" s="3">
        <v>1</v>
      </c>
      <c r="W713" s="4" t="s">
        <v>8639</v>
      </c>
      <c r="X713" s="4" t="s">
        <v>8639</v>
      </c>
      <c r="Y713" s="4" t="s">
        <v>8639</v>
      </c>
      <c r="Z713" s="4" t="s">
        <v>8639</v>
      </c>
      <c r="AA713" s="3">
        <v>300</v>
      </c>
      <c r="AB713" s="3">
        <v>234</v>
      </c>
      <c r="AC713" s="3">
        <v>236</v>
      </c>
      <c r="AD713" s="3">
        <v>1</v>
      </c>
      <c r="AE713" s="9">
        <v>1</v>
      </c>
      <c r="AF713" s="9">
        <v>8</v>
      </c>
      <c r="AG713" s="9">
        <v>8</v>
      </c>
      <c r="AH713" s="3">
        <v>2</v>
      </c>
      <c r="AI713" s="3">
        <v>2</v>
      </c>
      <c r="AJ713" s="3">
        <v>4</v>
      </c>
      <c r="AK713" s="3">
        <v>4</v>
      </c>
      <c r="AL713" s="3">
        <v>4</v>
      </c>
      <c r="AM713" s="3">
        <v>4</v>
      </c>
      <c r="AN713" s="3">
        <v>0</v>
      </c>
      <c r="AO713" s="3">
        <v>0</v>
      </c>
      <c r="AP713" s="3">
        <v>0</v>
      </c>
      <c r="AQ713" s="3">
        <v>0</v>
      </c>
      <c r="AR713" s="2" t="s">
        <v>5</v>
      </c>
      <c r="AS713" s="2" t="s">
        <v>46</v>
      </c>
      <c r="AT713" s="5" t="str">
        <f>HYPERLINK("http://catalog.hathitrust.org/Record/001056358","HathiTrust Record")</f>
        <v>HathiTrust Record</v>
      </c>
      <c r="AU713" s="5" t="str">
        <f>HYPERLINK("https://creighton-primo.hosted.exlibrisgroup.com/primo-explore/search?tab=default_tab&amp;search_scope=EVERYTHING&amp;vid=01CRU&amp;lang=en_US&amp;offset=0&amp;query=any,contains,991004332289702656","Catalog Record")</f>
        <v>Catalog Record</v>
      </c>
      <c r="AV713" s="5" t="str">
        <f>HYPERLINK("http://www.worldcat.org/oclc/24830151","WorldCat Record")</f>
        <v>WorldCat Record</v>
      </c>
      <c r="AW713" s="2" t="s">
        <v>8907</v>
      </c>
      <c r="AX713" s="2" t="s">
        <v>8908</v>
      </c>
      <c r="AY713" s="2" t="s">
        <v>8909</v>
      </c>
      <c r="AZ713" s="2" t="s">
        <v>8909</v>
      </c>
      <c r="BA713" s="2" t="s">
        <v>8910</v>
      </c>
      <c r="BB713" s="2" t="s">
        <v>20</v>
      </c>
      <c r="BE713" s="2" t="s">
        <v>8911</v>
      </c>
      <c r="BF713" s="2" t="s">
        <v>8912</v>
      </c>
    </row>
    <row r="714" spans="1:58" ht="39.75" customHeight="1" x14ac:dyDescent="0.25">
      <c r="A714" s="7" t="s">
        <v>5</v>
      </c>
      <c r="B714" s="1" t="s">
        <v>0</v>
      </c>
      <c r="C714" s="1" t="s">
        <v>1</v>
      </c>
      <c r="D714" s="1" t="s">
        <v>8913</v>
      </c>
      <c r="E714" s="1" t="s">
        <v>8914</v>
      </c>
      <c r="F714" s="1" t="s">
        <v>8915</v>
      </c>
      <c r="H714" s="2" t="s">
        <v>5</v>
      </c>
      <c r="I714" s="2" t="s">
        <v>6</v>
      </c>
      <c r="J714" s="2" t="s">
        <v>5</v>
      </c>
      <c r="K714" s="2" t="s">
        <v>5</v>
      </c>
      <c r="L714" s="2" t="s">
        <v>7</v>
      </c>
      <c r="M714" s="1" t="s">
        <v>8916</v>
      </c>
      <c r="N714" s="1" t="s">
        <v>8917</v>
      </c>
      <c r="O714" s="2" t="s">
        <v>708</v>
      </c>
      <c r="P714" s="1" t="s">
        <v>8918</v>
      </c>
      <c r="Q714" s="2" t="s">
        <v>1151</v>
      </c>
      <c r="R714" s="2" t="s">
        <v>1152</v>
      </c>
      <c r="S714" s="1" t="s">
        <v>8919</v>
      </c>
      <c r="T714" s="2" t="s">
        <v>13</v>
      </c>
      <c r="U714" s="3">
        <v>1</v>
      </c>
      <c r="V714" s="3">
        <v>1</v>
      </c>
      <c r="W714" s="4" t="s">
        <v>8920</v>
      </c>
      <c r="X714" s="4" t="s">
        <v>8920</v>
      </c>
      <c r="Y714" s="4" t="s">
        <v>8920</v>
      </c>
      <c r="Z714" s="4" t="s">
        <v>8920</v>
      </c>
      <c r="AA714" s="3">
        <v>29</v>
      </c>
      <c r="AB714" s="3">
        <v>24</v>
      </c>
      <c r="AC714" s="3">
        <v>342</v>
      </c>
      <c r="AD714" s="3">
        <v>2</v>
      </c>
      <c r="AE714" s="9">
        <v>3</v>
      </c>
      <c r="AF714" s="9">
        <v>3</v>
      </c>
      <c r="AG714" s="9">
        <v>18</v>
      </c>
      <c r="AH714" s="3">
        <v>1</v>
      </c>
      <c r="AI714" s="3">
        <v>4</v>
      </c>
      <c r="AJ714" s="3">
        <v>0</v>
      </c>
      <c r="AK714" s="3">
        <v>6</v>
      </c>
      <c r="AL714" s="3">
        <v>2</v>
      </c>
      <c r="AM714" s="3">
        <v>9</v>
      </c>
      <c r="AN714" s="3">
        <v>1</v>
      </c>
      <c r="AO714" s="3">
        <v>2</v>
      </c>
      <c r="AP714" s="3">
        <v>0</v>
      </c>
      <c r="AQ714" s="3">
        <v>1</v>
      </c>
      <c r="AR714" s="2" t="s">
        <v>5</v>
      </c>
      <c r="AS714" s="2" t="s">
        <v>5</v>
      </c>
      <c r="AU714" s="5" t="str">
        <f>HYPERLINK("https://creighton-primo.hosted.exlibrisgroup.com/primo-explore/search?tab=default_tab&amp;search_scope=EVERYTHING&amp;vid=01CRU&amp;lang=en_US&amp;offset=0&amp;query=any,contains,991004345399702656","Catalog Record")</f>
        <v>Catalog Record</v>
      </c>
      <c r="AV714" s="5" t="str">
        <f>HYPERLINK("http://www.worldcat.org/oclc/19707996","WorldCat Record")</f>
        <v>WorldCat Record</v>
      </c>
      <c r="AW714" s="2" t="s">
        <v>8921</v>
      </c>
      <c r="AX714" s="2" t="s">
        <v>8922</v>
      </c>
      <c r="AY714" s="2" t="s">
        <v>8923</v>
      </c>
      <c r="AZ714" s="2" t="s">
        <v>8923</v>
      </c>
      <c r="BA714" s="2" t="s">
        <v>8924</v>
      </c>
      <c r="BB714" s="2" t="s">
        <v>20</v>
      </c>
      <c r="BD714" s="2" t="s">
        <v>8925</v>
      </c>
      <c r="BE714" s="2" t="s">
        <v>8926</v>
      </c>
      <c r="BF714" s="2" t="s">
        <v>8927</v>
      </c>
    </row>
    <row r="715" spans="1:58" ht="39.75" customHeight="1" x14ac:dyDescent="0.25">
      <c r="A715" s="7" t="s">
        <v>5</v>
      </c>
      <c r="B715" s="1" t="s">
        <v>0</v>
      </c>
      <c r="C715" s="1" t="s">
        <v>1</v>
      </c>
      <c r="D715" s="1" t="s">
        <v>8928</v>
      </c>
      <c r="E715" s="1" t="s">
        <v>8929</v>
      </c>
      <c r="F715" s="1" t="s">
        <v>8930</v>
      </c>
      <c r="H715" s="2" t="s">
        <v>5</v>
      </c>
      <c r="I715" s="2" t="s">
        <v>6</v>
      </c>
      <c r="J715" s="2" t="s">
        <v>5</v>
      </c>
      <c r="K715" s="2" t="s">
        <v>5</v>
      </c>
      <c r="L715" s="2" t="s">
        <v>7</v>
      </c>
      <c r="N715" s="1" t="s">
        <v>8931</v>
      </c>
      <c r="O715" s="2" t="s">
        <v>91</v>
      </c>
      <c r="Q715" s="2" t="s">
        <v>60</v>
      </c>
      <c r="R715" s="2" t="s">
        <v>871</v>
      </c>
      <c r="T715" s="2" t="s">
        <v>13</v>
      </c>
      <c r="U715" s="3">
        <v>0</v>
      </c>
      <c r="V715" s="3">
        <v>0</v>
      </c>
      <c r="W715" s="4" t="s">
        <v>4827</v>
      </c>
      <c r="X715" s="4" t="s">
        <v>4827</v>
      </c>
      <c r="Y715" s="4" t="s">
        <v>8932</v>
      </c>
      <c r="Z715" s="4" t="s">
        <v>8932</v>
      </c>
      <c r="AA715" s="3">
        <v>326</v>
      </c>
      <c r="AB715" s="3">
        <v>289</v>
      </c>
      <c r="AC715" s="3">
        <v>297</v>
      </c>
      <c r="AD715" s="3">
        <v>3</v>
      </c>
      <c r="AE715" s="9">
        <v>3</v>
      </c>
      <c r="AF715" s="9">
        <v>19</v>
      </c>
      <c r="AG715" s="9">
        <v>19</v>
      </c>
      <c r="AH715" s="3">
        <v>4</v>
      </c>
      <c r="AI715" s="3">
        <v>4</v>
      </c>
      <c r="AJ715" s="3">
        <v>7</v>
      </c>
      <c r="AK715" s="3">
        <v>7</v>
      </c>
      <c r="AL715" s="3">
        <v>11</v>
      </c>
      <c r="AM715" s="3">
        <v>11</v>
      </c>
      <c r="AN715" s="3">
        <v>2</v>
      </c>
      <c r="AO715" s="3">
        <v>2</v>
      </c>
      <c r="AP715" s="3">
        <v>0</v>
      </c>
      <c r="AQ715" s="3">
        <v>0</v>
      </c>
      <c r="AR715" s="2" t="s">
        <v>5</v>
      </c>
      <c r="AS715" s="2" t="s">
        <v>46</v>
      </c>
      <c r="AT715" s="5" t="str">
        <f>HYPERLINK("http://catalog.hathitrust.org/Record/002876713","HathiTrust Record")</f>
        <v>HathiTrust Record</v>
      </c>
      <c r="AU715" s="5" t="str">
        <f>HYPERLINK("https://creighton-primo.hosted.exlibrisgroup.com/primo-explore/search?tab=default_tab&amp;search_scope=EVERYTHING&amp;vid=01CRU&amp;lang=en_US&amp;offset=0&amp;query=any,contains,991002264109702656","Catalog Record")</f>
        <v>Catalog Record</v>
      </c>
      <c r="AV715" s="5" t="str">
        <f>HYPERLINK("http://www.worldcat.org/oclc/29359941","WorldCat Record")</f>
        <v>WorldCat Record</v>
      </c>
      <c r="AW715" s="2" t="s">
        <v>8933</v>
      </c>
      <c r="AX715" s="2" t="s">
        <v>8934</v>
      </c>
      <c r="AY715" s="2" t="s">
        <v>8935</v>
      </c>
      <c r="AZ715" s="2" t="s">
        <v>8935</v>
      </c>
      <c r="BA715" s="2" t="s">
        <v>8936</v>
      </c>
      <c r="BB715" s="2" t="s">
        <v>20</v>
      </c>
      <c r="BD715" s="2" t="s">
        <v>8937</v>
      </c>
      <c r="BE715" s="2" t="s">
        <v>8938</v>
      </c>
      <c r="BF715" s="2" t="s">
        <v>8939</v>
      </c>
    </row>
    <row r="716" spans="1:58" ht="39.75" customHeight="1" x14ac:dyDescent="0.25">
      <c r="A716" s="7" t="s">
        <v>5</v>
      </c>
      <c r="B716" s="1" t="s">
        <v>0</v>
      </c>
      <c r="C716" s="1" t="s">
        <v>1</v>
      </c>
      <c r="D716" s="1" t="s">
        <v>8940</v>
      </c>
      <c r="E716" s="1" t="s">
        <v>8941</v>
      </c>
      <c r="F716" s="1" t="s">
        <v>8942</v>
      </c>
      <c r="H716" s="2" t="s">
        <v>5</v>
      </c>
      <c r="I716" s="2" t="s">
        <v>6</v>
      </c>
      <c r="J716" s="2" t="s">
        <v>5</v>
      </c>
      <c r="K716" s="2" t="s">
        <v>5</v>
      </c>
      <c r="L716" s="2" t="s">
        <v>7</v>
      </c>
      <c r="M716" s="1" t="s">
        <v>8943</v>
      </c>
      <c r="N716" s="1" t="s">
        <v>8944</v>
      </c>
      <c r="O716" s="2" t="s">
        <v>452</v>
      </c>
      <c r="P716" s="1" t="s">
        <v>2908</v>
      </c>
      <c r="Q716" s="2" t="s">
        <v>1151</v>
      </c>
      <c r="R716" s="2" t="s">
        <v>1152</v>
      </c>
      <c r="S716" s="1" t="s">
        <v>8945</v>
      </c>
      <c r="T716" s="2" t="s">
        <v>13</v>
      </c>
      <c r="U716" s="3">
        <v>1</v>
      </c>
      <c r="V716" s="3">
        <v>1</v>
      </c>
      <c r="W716" s="4" t="s">
        <v>5518</v>
      </c>
      <c r="X716" s="4" t="s">
        <v>5518</v>
      </c>
      <c r="Y716" s="4" t="s">
        <v>5518</v>
      </c>
      <c r="Z716" s="4" t="s">
        <v>5518</v>
      </c>
      <c r="AA716" s="3">
        <v>30</v>
      </c>
      <c r="AB716" s="3">
        <v>20</v>
      </c>
      <c r="AC716" s="3">
        <v>22</v>
      </c>
      <c r="AD716" s="3">
        <v>1</v>
      </c>
      <c r="AE716" s="9">
        <v>1</v>
      </c>
      <c r="AF716" s="9">
        <v>0</v>
      </c>
      <c r="AG716" s="9">
        <v>0</v>
      </c>
      <c r="AH716" s="3">
        <v>0</v>
      </c>
      <c r="AI716" s="3">
        <v>0</v>
      </c>
      <c r="AJ716" s="3">
        <v>0</v>
      </c>
      <c r="AK716" s="3">
        <v>0</v>
      </c>
      <c r="AL716" s="3">
        <v>0</v>
      </c>
      <c r="AM716" s="3">
        <v>0</v>
      </c>
      <c r="AN716" s="3">
        <v>0</v>
      </c>
      <c r="AO716" s="3">
        <v>0</v>
      </c>
      <c r="AP716" s="3">
        <v>0</v>
      </c>
      <c r="AQ716" s="3">
        <v>0</v>
      </c>
      <c r="AR716" s="2" t="s">
        <v>5</v>
      </c>
      <c r="AS716" s="2" t="s">
        <v>5</v>
      </c>
      <c r="AU716" s="5" t="str">
        <f>HYPERLINK("https://creighton-primo.hosted.exlibrisgroup.com/primo-explore/search?tab=default_tab&amp;search_scope=EVERYTHING&amp;vid=01CRU&amp;lang=en_US&amp;offset=0&amp;query=any,contains,991004508069702656","Catalog Record")</f>
        <v>Catalog Record</v>
      </c>
      <c r="AV716" s="5" t="str">
        <f>HYPERLINK("http://www.worldcat.org/oclc/38504120","WorldCat Record")</f>
        <v>WorldCat Record</v>
      </c>
      <c r="AW716" s="2" t="s">
        <v>8946</v>
      </c>
      <c r="AX716" s="2" t="s">
        <v>8947</v>
      </c>
      <c r="AY716" s="2" t="s">
        <v>8948</v>
      </c>
      <c r="AZ716" s="2" t="s">
        <v>8948</v>
      </c>
      <c r="BA716" s="2" t="s">
        <v>8949</v>
      </c>
      <c r="BB716" s="2" t="s">
        <v>20</v>
      </c>
      <c r="BD716" s="2" t="s">
        <v>8950</v>
      </c>
      <c r="BE716" s="2" t="s">
        <v>8951</v>
      </c>
      <c r="BF716" s="2" t="s">
        <v>8952</v>
      </c>
    </row>
    <row r="717" spans="1:58" ht="39.75" customHeight="1" x14ac:dyDescent="0.25">
      <c r="A717" s="7" t="s">
        <v>5</v>
      </c>
      <c r="B717" s="1" t="s">
        <v>0</v>
      </c>
      <c r="C717" s="1" t="s">
        <v>1</v>
      </c>
      <c r="D717" s="1" t="s">
        <v>8953</v>
      </c>
      <c r="E717" s="1" t="s">
        <v>8954</v>
      </c>
      <c r="F717" s="1" t="s">
        <v>8955</v>
      </c>
      <c r="H717" s="2" t="s">
        <v>5</v>
      </c>
      <c r="I717" s="2" t="s">
        <v>6</v>
      </c>
      <c r="J717" s="2" t="s">
        <v>5</v>
      </c>
      <c r="K717" s="2" t="s">
        <v>5</v>
      </c>
      <c r="L717" s="2" t="s">
        <v>7</v>
      </c>
      <c r="M717" s="1" t="s">
        <v>8956</v>
      </c>
      <c r="N717" s="1" t="s">
        <v>8957</v>
      </c>
      <c r="O717" s="2" t="s">
        <v>2448</v>
      </c>
      <c r="P717" s="1" t="s">
        <v>2908</v>
      </c>
      <c r="Q717" s="2" t="s">
        <v>1151</v>
      </c>
      <c r="R717" s="2" t="s">
        <v>1152</v>
      </c>
      <c r="S717" s="1" t="s">
        <v>8958</v>
      </c>
      <c r="T717" s="2" t="s">
        <v>13</v>
      </c>
      <c r="U717" s="3">
        <v>1</v>
      </c>
      <c r="V717" s="3">
        <v>1</v>
      </c>
      <c r="W717" s="4" t="s">
        <v>8959</v>
      </c>
      <c r="X717" s="4" t="s">
        <v>8959</v>
      </c>
      <c r="Y717" s="4" t="s">
        <v>8959</v>
      </c>
      <c r="Z717" s="4" t="s">
        <v>8959</v>
      </c>
      <c r="AA717" s="3">
        <v>72</v>
      </c>
      <c r="AB717" s="3">
        <v>56</v>
      </c>
      <c r="AC717" s="3">
        <v>63</v>
      </c>
      <c r="AD717" s="3">
        <v>1</v>
      </c>
      <c r="AE717" s="9">
        <v>1</v>
      </c>
      <c r="AF717" s="9">
        <v>1</v>
      </c>
      <c r="AG717" s="9">
        <v>1</v>
      </c>
      <c r="AH717" s="3">
        <v>0</v>
      </c>
      <c r="AI717" s="3">
        <v>0</v>
      </c>
      <c r="AJ717" s="3">
        <v>1</v>
      </c>
      <c r="AK717" s="3">
        <v>1</v>
      </c>
      <c r="AL717" s="3">
        <v>1</v>
      </c>
      <c r="AM717" s="3">
        <v>1</v>
      </c>
      <c r="AN717" s="3">
        <v>0</v>
      </c>
      <c r="AO717" s="3">
        <v>0</v>
      </c>
      <c r="AP717" s="3">
        <v>0</v>
      </c>
      <c r="AQ717" s="3">
        <v>0</v>
      </c>
      <c r="AR717" s="2" t="s">
        <v>5</v>
      </c>
      <c r="AS717" s="2" t="s">
        <v>46</v>
      </c>
      <c r="AT717" s="5" t="str">
        <f>HYPERLINK("http://catalog.hathitrust.org/Record/007576870","HathiTrust Record")</f>
        <v>HathiTrust Record</v>
      </c>
      <c r="AU717" s="5" t="str">
        <f>HYPERLINK("https://creighton-primo.hosted.exlibrisgroup.com/primo-explore/search?tab=default_tab&amp;search_scope=EVERYTHING&amp;vid=01CRU&amp;lang=en_US&amp;offset=0&amp;query=any,contains,991003340419702656","Catalog Record")</f>
        <v>Catalog Record</v>
      </c>
      <c r="AV717" s="5" t="str">
        <f>HYPERLINK("http://www.worldcat.org/oclc/41403031","WorldCat Record")</f>
        <v>WorldCat Record</v>
      </c>
      <c r="AW717" s="2" t="s">
        <v>8960</v>
      </c>
      <c r="AX717" s="2" t="s">
        <v>8961</v>
      </c>
      <c r="AY717" s="2" t="s">
        <v>8962</v>
      </c>
      <c r="AZ717" s="2" t="s">
        <v>8962</v>
      </c>
      <c r="BA717" s="2" t="s">
        <v>8963</v>
      </c>
      <c r="BB717" s="2" t="s">
        <v>20</v>
      </c>
      <c r="BD717" s="2" t="s">
        <v>8964</v>
      </c>
      <c r="BE717" s="2" t="s">
        <v>8965</v>
      </c>
      <c r="BF717" s="2" t="s">
        <v>8966</v>
      </c>
    </row>
    <row r="718" spans="1:58" ht="39.75" customHeight="1" x14ac:dyDescent="0.25">
      <c r="A718" s="7" t="s">
        <v>5</v>
      </c>
      <c r="B718" s="1" t="s">
        <v>0</v>
      </c>
      <c r="C718" s="1" t="s">
        <v>1</v>
      </c>
      <c r="D718" s="1" t="s">
        <v>8967</v>
      </c>
      <c r="E718" s="1" t="s">
        <v>8968</v>
      </c>
      <c r="F718" s="1" t="s">
        <v>8969</v>
      </c>
      <c r="H718" s="2" t="s">
        <v>5</v>
      </c>
      <c r="I718" s="2" t="s">
        <v>6</v>
      </c>
      <c r="J718" s="2" t="s">
        <v>5</v>
      </c>
      <c r="K718" s="2" t="s">
        <v>5</v>
      </c>
      <c r="L718" s="2" t="s">
        <v>7</v>
      </c>
      <c r="M718" s="1" t="s">
        <v>8970</v>
      </c>
      <c r="N718" s="1" t="s">
        <v>8971</v>
      </c>
      <c r="O718" s="2" t="s">
        <v>1390</v>
      </c>
      <c r="Q718" s="2" t="s">
        <v>1151</v>
      </c>
      <c r="R718" s="2" t="s">
        <v>1152</v>
      </c>
      <c r="T718" s="2" t="s">
        <v>13</v>
      </c>
      <c r="U718" s="3">
        <v>1</v>
      </c>
      <c r="V718" s="3">
        <v>1</v>
      </c>
      <c r="W718" s="4" t="s">
        <v>8972</v>
      </c>
      <c r="X718" s="4" t="s">
        <v>8972</v>
      </c>
      <c r="Y718" s="4" t="s">
        <v>8972</v>
      </c>
      <c r="Z718" s="4" t="s">
        <v>8972</v>
      </c>
      <c r="AA718" s="3">
        <v>11</v>
      </c>
      <c r="AB718" s="3">
        <v>8</v>
      </c>
      <c r="AC718" s="3">
        <v>9</v>
      </c>
      <c r="AD718" s="3">
        <v>1</v>
      </c>
      <c r="AE718" s="9">
        <v>1</v>
      </c>
      <c r="AF718" s="9">
        <v>0</v>
      </c>
      <c r="AG718" s="9">
        <v>0</v>
      </c>
      <c r="AH718" s="3">
        <v>0</v>
      </c>
      <c r="AI718" s="3">
        <v>0</v>
      </c>
      <c r="AJ718" s="3">
        <v>0</v>
      </c>
      <c r="AK718" s="3">
        <v>0</v>
      </c>
      <c r="AL718" s="3">
        <v>0</v>
      </c>
      <c r="AM718" s="3">
        <v>0</v>
      </c>
      <c r="AN718" s="3">
        <v>0</v>
      </c>
      <c r="AO718" s="3">
        <v>0</v>
      </c>
      <c r="AP718" s="3">
        <v>0</v>
      </c>
      <c r="AQ718" s="3">
        <v>0</v>
      </c>
      <c r="AR718" s="2" t="s">
        <v>5</v>
      </c>
      <c r="AS718" s="2" t="s">
        <v>46</v>
      </c>
      <c r="AT718" s="5" t="str">
        <f>HYPERLINK("http://catalog.hathitrust.org/Record/101887997","HathiTrust Record")</f>
        <v>HathiTrust Record</v>
      </c>
      <c r="AU718" s="5" t="str">
        <f>HYPERLINK("https://creighton-primo.hosted.exlibrisgroup.com/primo-explore/search?tab=default_tab&amp;search_scope=EVERYTHING&amp;vid=01CRU&amp;lang=en_US&amp;offset=0&amp;query=any,contains,991003870199702656","Catalog Record")</f>
        <v>Catalog Record</v>
      </c>
      <c r="AV718" s="5" t="str">
        <f>HYPERLINK("http://www.worldcat.org/oclc/8548624","WorldCat Record")</f>
        <v>WorldCat Record</v>
      </c>
      <c r="AW718" s="2" t="s">
        <v>8973</v>
      </c>
      <c r="AX718" s="2" t="s">
        <v>8974</v>
      </c>
      <c r="AY718" s="2" t="s">
        <v>8975</v>
      </c>
      <c r="AZ718" s="2" t="s">
        <v>8975</v>
      </c>
      <c r="BA718" s="2" t="s">
        <v>8976</v>
      </c>
      <c r="BB718" s="2" t="s">
        <v>20</v>
      </c>
      <c r="BD718" s="2" t="s">
        <v>8977</v>
      </c>
      <c r="BE718" s="2" t="s">
        <v>8978</v>
      </c>
      <c r="BF718" s="2" t="s">
        <v>8979</v>
      </c>
    </row>
    <row r="719" spans="1:58" ht="39.75" customHeight="1" x14ac:dyDescent="0.25">
      <c r="A719" s="7" t="s">
        <v>5</v>
      </c>
      <c r="B719" s="1" t="s">
        <v>0</v>
      </c>
      <c r="C719" s="1" t="s">
        <v>1</v>
      </c>
      <c r="D719" s="1" t="s">
        <v>8980</v>
      </c>
      <c r="E719" s="1" t="s">
        <v>8981</v>
      </c>
      <c r="F719" s="1" t="s">
        <v>8982</v>
      </c>
      <c r="H719" s="2" t="s">
        <v>5</v>
      </c>
      <c r="I719" s="2" t="s">
        <v>6</v>
      </c>
      <c r="J719" s="2" t="s">
        <v>5</v>
      </c>
      <c r="K719" s="2" t="s">
        <v>5</v>
      </c>
      <c r="L719" s="2" t="s">
        <v>7</v>
      </c>
      <c r="M719" s="1" t="s">
        <v>8983</v>
      </c>
      <c r="N719" s="1" t="s">
        <v>8984</v>
      </c>
      <c r="O719" s="2" t="s">
        <v>554</v>
      </c>
      <c r="Q719" s="2" t="s">
        <v>1151</v>
      </c>
      <c r="R719" s="2" t="s">
        <v>4146</v>
      </c>
      <c r="S719" s="1" t="s">
        <v>8985</v>
      </c>
      <c r="T719" s="2" t="s">
        <v>13</v>
      </c>
      <c r="U719" s="3">
        <v>1</v>
      </c>
      <c r="V719" s="3">
        <v>1</v>
      </c>
      <c r="W719" s="4" t="s">
        <v>5417</v>
      </c>
      <c r="X719" s="4" t="s">
        <v>5417</v>
      </c>
      <c r="Y719" s="4" t="s">
        <v>5417</v>
      </c>
      <c r="Z719" s="4" t="s">
        <v>5417</v>
      </c>
      <c r="AA719" s="3">
        <v>3</v>
      </c>
      <c r="AB719" s="3">
        <v>2</v>
      </c>
      <c r="AC719" s="3">
        <v>17</v>
      </c>
      <c r="AD719" s="3">
        <v>1</v>
      </c>
      <c r="AE719" s="9">
        <v>1</v>
      </c>
      <c r="AF719" s="9">
        <v>0</v>
      </c>
      <c r="AG719" s="9">
        <v>0</v>
      </c>
      <c r="AH719" s="3">
        <v>0</v>
      </c>
      <c r="AI719" s="3">
        <v>0</v>
      </c>
      <c r="AJ719" s="3">
        <v>0</v>
      </c>
      <c r="AK719" s="3">
        <v>0</v>
      </c>
      <c r="AL719" s="3">
        <v>0</v>
      </c>
      <c r="AM719" s="3">
        <v>0</v>
      </c>
      <c r="AN719" s="3">
        <v>0</v>
      </c>
      <c r="AO719" s="3">
        <v>0</v>
      </c>
      <c r="AP719" s="3">
        <v>0</v>
      </c>
      <c r="AQ719" s="3">
        <v>0</v>
      </c>
      <c r="AR719" s="2" t="s">
        <v>5</v>
      </c>
      <c r="AS719" s="2" t="s">
        <v>5</v>
      </c>
      <c r="AU719" s="5" t="str">
        <f>HYPERLINK("https://creighton-primo.hosted.exlibrisgroup.com/primo-explore/search?tab=default_tab&amp;search_scope=EVERYTHING&amp;vid=01CRU&amp;lang=en_US&amp;offset=0&amp;query=any,contains,991003816949702656","Catalog Record")</f>
        <v>Catalog Record</v>
      </c>
      <c r="AV719" s="5" t="str">
        <f>HYPERLINK("http://www.worldcat.org/oclc/30994842","WorldCat Record")</f>
        <v>WorldCat Record</v>
      </c>
      <c r="AW719" s="2" t="s">
        <v>8986</v>
      </c>
      <c r="AX719" s="2" t="s">
        <v>8987</v>
      </c>
      <c r="AY719" s="2" t="s">
        <v>8988</v>
      </c>
      <c r="AZ719" s="2" t="s">
        <v>8988</v>
      </c>
      <c r="BA719" s="2" t="s">
        <v>8989</v>
      </c>
      <c r="BB719" s="2" t="s">
        <v>20</v>
      </c>
      <c r="BD719" s="2" t="s">
        <v>8990</v>
      </c>
      <c r="BE719" s="2" t="s">
        <v>8991</v>
      </c>
      <c r="BF719" s="2" t="s">
        <v>8992</v>
      </c>
    </row>
    <row r="720" spans="1:58" ht="39.75" customHeight="1" x14ac:dyDescent="0.25">
      <c r="A720" s="7" t="s">
        <v>5</v>
      </c>
      <c r="B720" s="1" t="s">
        <v>0</v>
      </c>
      <c r="C720" s="1" t="s">
        <v>1</v>
      </c>
      <c r="D720" s="1" t="s">
        <v>8993</v>
      </c>
      <c r="E720" s="1" t="s">
        <v>8994</v>
      </c>
      <c r="F720" s="1" t="s">
        <v>8995</v>
      </c>
      <c r="H720" s="2" t="s">
        <v>5</v>
      </c>
      <c r="I720" s="2" t="s">
        <v>6</v>
      </c>
      <c r="J720" s="2" t="s">
        <v>5</v>
      </c>
      <c r="K720" s="2" t="s">
        <v>5</v>
      </c>
      <c r="L720" s="2" t="s">
        <v>7</v>
      </c>
      <c r="M720" s="1" t="s">
        <v>8996</v>
      </c>
      <c r="N720" s="1" t="s">
        <v>8997</v>
      </c>
      <c r="O720" s="2" t="s">
        <v>3941</v>
      </c>
      <c r="P720" s="1" t="s">
        <v>5939</v>
      </c>
      <c r="Q720" s="2" t="s">
        <v>1151</v>
      </c>
      <c r="R720" s="2" t="s">
        <v>1152</v>
      </c>
      <c r="S720" s="1" t="s">
        <v>8998</v>
      </c>
      <c r="T720" s="2" t="s">
        <v>13</v>
      </c>
      <c r="U720" s="3">
        <v>1</v>
      </c>
      <c r="V720" s="3">
        <v>1</v>
      </c>
      <c r="W720" s="4" t="s">
        <v>5941</v>
      </c>
      <c r="X720" s="4" t="s">
        <v>5941</v>
      </c>
      <c r="Y720" s="4" t="s">
        <v>5450</v>
      </c>
      <c r="Z720" s="4" t="s">
        <v>5450</v>
      </c>
      <c r="AA720" s="3">
        <v>37</v>
      </c>
      <c r="AB720" s="3">
        <v>22</v>
      </c>
      <c r="AC720" s="3">
        <v>204</v>
      </c>
      <c r="AD720" s="3">
        <v>1</v>
      </c>
      <c r="AE720" s="9">
        <v>2</v>
      </c>
      <c r="AF720" s="9">
        <v>1</v>
      </c>
      <c r="AG720" s="9">
        <v>8</v>
      </c>
      <c r="AH720" s="3">
        <v>1</v>
      </c>
      <c r="AI720" s="3">
        <v>3</v>
      </c>
      <c r="AJ720" s="3">
        <v>0</v>
      </c>
      <c r="AK720" s="3">
        <v>4</v>
      </c>
      <c r="AL720" s="3">
        <v>0</v>
      </c>
      <c r="AM720" s="3">
        <v>2</v>
      </c>
      <c r="AN720" s="3">
        <v>0</v>
      </c>
      <c r="AO720" s="3">
        <v>1</v>
      </c>
      <c r="AP720" s="3">
        <v>0</v>
      </c>
      <c r="AQ720" s="3">
        <v>0</v>
      </c>
      <c r="AR720" s="2" t="s">
        <v>5</v>
      </c>
      <c r="AS720" s="2" t="s">
        <v>5</v>
      </c>
      <c r="AU720" s="5" t="str">
        <f>HYPERLINK("https://creighton-primo.hosted.exlibrisgroup.com/primo-explore/search?tab=default_tab&amp;search_scope=EVERYTHING&amp;vid=01CRU&amp;lang=en_US&amp;offset=0&amp;query=any,contains,991003772319702656","Catalog Record")</f>
        <v>Catalog Record</v>
      </c>
      <c r="AV720" s="5" t="str">
        <f>HYPERLINK("http://www.worldcat.org/oclc/48647064","WorldCat Record")</f>
        <v>WorldCat Record</v>
      </c>
      <c r="AW720" s="2" t="s">
        <v>8999</v>
      </c>
      <c r="AX720" s="2" t="s">
        <v>9000</v>
      </c>
      <c r="AY720" s="2" t="s">
        <v>9001</v>
      </c>
      <c r="AZ720" s="2" t="s">
        <v>9001</v>
      </c>
      <c r="BA720" s="2" t="s">
        <v>9002</v>
      </c>
      <c r="BB720" s="2" t="s">
        <v>20</v>
      </c>
      <c r="BD720" s="2" t="s">
        <v>9003</v>
      </c>
      <c r="BE720" s="2" t="s">
        <v>9004</v>
      </c>
      <c r="BF720" s="2" t="s">
        <v>9005</v>
      </c>
    </row>
    <row r="721" spans="1:58" ht="39.75" customHeight="1" x14ac:dyDescent="0.25">
      <c r="A721" s="7" t="s">
        <v>5</v>
      </c>
      <c r="B721" s="1" t="s">
        <v>0</v>
      </c>
      <c r="C721" s="1" t="s">
        <v>1</v>
      </c>
      <c r="D721" s="1" t="s">
        <v>9006</v>
      </c>
      <c r="E721" s="1" t="s">
        <v>9007</v>
      </c>
      <c r="F721" s="1" t="s">
        <v>9008</v>
      </c>
      <c r="H721" s="2" t="s">
        <v>5</v>
      </c>
      <c r="I721" s="2" t="s">
        <v>6</v>
      </c>
      <c r="J721" s="2" t="s">
        <v>5</v>
      </c>
      <c r="K721" s="2" t="s">
        <v>5</v>
      </c>
      <c r="L721" s="2" t="s">
        <v>7</v>
      </c>
      <c r="M721" s="1" t="s">
        <v>9009</v>
      </c>
      <c r="N721" s="1" t="s">
        <v>9010</v>
      </c>
      <c r="O721" s="2" t="s">
        <v>2142</v>
      </c>
      <c r="Q721" s="2" t="s">
        <v>60</v>
      </c>
      <c r="R721" s="2" t="s">
        <v>422</v>
      </c>
      <c r="S721" s="1" t="s">
        <v>9011</v>
      </c>
      <c r="T721" s="2" t="s">
        <v>13</v>
      </c>
      <c r="U721" s="3">
        <v>1</v>
      </c>
      <c r="V721" s="3">
        <v>1</v>
      </c>
      <c r="W721" s="4" t="s">
        <v>1420</v>
      </c>
      <c r="X721" s="4" t="s">
        <v>1420</v>
      </c>
      <c r="Y721" s="4" t="s">
        <v>1420</v>
      </c>
      <c r="Z721" s="4" t="s">
        <v>1420</v>
      </c>
      <c r="AA721" s="3">
        <v>198</v>
      </c>
      <c r="AB721" s="3">
        <v>179</v>
      </c>
      <c r="AC721" s="3">
        <v>180</v>
      </c>
      <c r="AD721" s="3">
        <v>2</v>
      </c>
      <c r="AE721" s="9">
        <v>2</v>
      </c>
      <c r="AF721" s="9">
        <v>15</v>
      </c>
      <c r="AG721" s="9">
        <v>15</v>
      </c>
      <c r="AH721" s="3">
        <v>5</v>
      </c>
      <c r="AI721" s="3">
        <v>5</v>
      </c>
      <c r="AJ721" s="3">
        <v>4</v>
      </c>
      <c r="AK721" s="3">
        <v>4</v>
      </c>
      <c r="AL721" s="3">
        <v>10</v>
      </c>
      <c r="AM721" s="3">
        <v>10</v>
      </c>
      <c r="AN721" s="3">
        <v>1</v>
      </c>
      <c r="AO721" s="3">
        <v>1</v>
      </c>
      <c r="AP721" s="3">
        <v>0</v>
      </c>
      <c r="AQ721" s="3">
        <v>0</v>
      </c>
      <c r="AR721" s="2" t="s">
        <v>5</v>
      </c>
      <c r="AS721" s="2" t="s">
        <v>46</v>
      </c>
      <c r="AT721" s="5" t="str">
        <f>HYPERLINK("http://catalog.hathitrust.org/Record/004982549","HathiTrust Record")</f>
        <v>HathiTrust Record</v>
      </c>
      <c r="AU721" s="5" t="str">
        <f>HYPERLINK("https://creighton-primo.hosted.exlibrisgroup.com/primo-explore/search?tab=default_tab&amp;search_scope=EVERYTHING&amp;vid=01CRU&amp;lang=en_US&amp;offset=0&amp;query=any,contains,991004497409702656","Catalog Record")</f>
        <v>Catalog Record</v>
      </c>
      <c r="AV721" s="5" t="str">
        <f>HYPERLINK("http://www.worldcat.org/oclc/56687379","WorldCat Record")</f>
        <v>WorldCat Record</v>
      </c>
      <c r="AW721" s="2" t="s">
        <v>9012</v>
      </c>
      <c r="AX721" s="2" t="s">
        <v>9013</v>
      </c>
      <c r="AY721" s="2" t="s">
        <v>9014</v>
      </c>
      <c r="AZ721" s="2" t="s">
        <v>9014</v>
      </c>
      <c r="BA721" s="2" t="s">
        <v>9015</v>
      </c>
      <c r="BB721" s="2" t="s">
        <v>20</v>
      </c>
      <c r="BD721" s="2" t="s">
        <v>9016</v>
      </c>
      <c r="BE721" s="2" t="s">
        <v>9017</v>
      </c>
      <c r="BF721" s="2" t="s">
        <v>9018</v>
      </c>
    </row>
    <row r="722" spans="1:58" ht="39.75" customHeight="1" x14ac:dyDescent="0.25">
      <c r="A722" s="7" t="s">
        <v>5</v>
      </c>
      <c r="B722" s="1" t="s">
        <v>0</v>
      </c>
      <c r="C722" s="1" t="s">
        <v>1</v>
      </c>
      <c r="D722" s="1" t="s">
        <v>9019</v>
      </c>
      <c r="E722" s="1" t="s">
        <v>9020</v>
      </c>
      <c r="F722" s="1" t="s">
        <v>9021</v>
      </c>
      <c r="H722" s="2" t="s">
        <v>5</v>
      </c>
      <c r="I722" s="2" t="s">
        <v>6</v>
      </c>
      <c r="J722" s="2" t="s">
        <v>5</v>
      </c>
      <c r="K722" s="2" t="s">
        <v>5</v>
      </c>
      <c r="L722" s="2" t="s">
        <v>7</v>
      </c>
      <c r="M722" s="1" t="s">
        <v>9022</v>
      </c>
      <c r="N722" s="1" t="s">
        <v>7527</v>
      </c>
      <c r="O722" s="2" t="s">
        <v>508</v>
      </c>
      <c r="Q722" s="2" t="s">
        <v>60</v>
      </c>
      <c r="R722" s="2" t="s">
        <v>61</v>
      </c>
      <c r="S722" s="1" t="s">
        <v>9023</v>
      </c>
      <c r="T722" s="2" t="s">
        <v>13</v>
      </c>
      <c r="U722" s="3">
        <v>1</v>
      </c>
      <c r="V722" s="3">
        <v>1</v>
      </c>
      <c r="W722" s="4" t="s">
        <v>7529</v>
      </c>
      <c r="X722" s="4" t="s">
        <v>7529</v>
      </c>
      <c r="Y722" s="4" t="s">
        <v>7529</v>
      </c>
      <c r="Z722" s="4" t="s">
        <v>7529</v>
      </c>
      <c r="AA722" s="3">
        <v>121</v>
      </c>
      <c r="AB722" s="3">
        <v>94</v>
      </c>
      <c r="AC722" s="3">
        <v>96</v>
      </c>
      <c r="AD722" s="3">
        <v>2</v>
      </c>
      <c r="AE722" s="9">
        <v>2</v>
      </c>
      <c r="AF722" s="9">
        <v>8</v>
      </c>
      <c r="AG722" s="9">
        <v>8</v>
      </c>
      <c r="AH722" s="3">
        <v>1</v>
      </c>
      <c r="AI722" s="3">
        <v>1</v>
      </c>
      <c r="AJ722" s="3">
        <v>4</v>
      </c>
      <c r="AK722" s="3">
        <v>4</v>
      </c>
      <c r="AL722" s="3">
        <v>5</v>
      </c>
      <c r="AM722" s="3">
        <v>5</v>
      </c>
      <c r="AN722" s="3">
        <v>1</v>
      </c>
      <c r="AO722" s="3">
        <v>1</v>
      </c>
      <c r="AP722" s="3">
        <v>0</v>
      </c>
      <c r="AQ722" s="3">
        <v>0</v>
      </c>
      <c r="AR722" s="2" t="s">
        <v>5</v>
      </c>
      <c r="AS722" s="2" t="s">
        <v>46</v>
      </c>
      <c r="AT722" s="5" t="str">
        <f>HYPERLINK("http://catalog.hathitrust.org/Record/004144924","HathiTrust Record")</f>
        <v>HathiTrust Record</v>
      </c>
      <c r="AU722" s="5" t="str">
        <f>HYPERLINK("https://creighton-primo.hosted.exlibrisgroup.com/primo-explore/search?tab=default_tab&amp;search_scope=EVERYTHING&amp;vid=01CRU&amp;lang=en_US&amp;offset=0&amp;query=any,contains,991003479019702656","Catalog Record")</f>
        <v>Catalog Record</v>
      </c>
      <c r="AV722" s="5" t="str">
        <f>HYPERLINK("http://www.worldcat.org/oclc/43859515","WorldCat Record")</f>
        <v>WorldCat Record</v>
      </c>
      <c r="AW722" s="2" t="s">
        <v>9024</v>
      </c>
      <c r="AX722" s="2" t="s">
        <v>9025</v>
      </c>
      <c r="AY722" s="2" t="s">
        <v>9026</v>
      </c>
      <c r="AZ722" s="2" t="s">
        <v>9026</v>
      </c>
      <c r="BA722" s="2" t="s">
        <v>9027</v>
      </c>
      <c r="BB722" s="2" t="s">
        <v>20</v>
      </c>
      <c r="BD722" s="2" t="s">
        <v>9028</v>
      </c>
      <c r="BE722" s="2" t="s">
        <v>9029</v>
      </c>
      <c r="BF722" s="2" t="s">
        <v>9030</v>
      </c>
    </row>
    <row r="723" spans="1:58" ht="39.75" customHeight="1" x14ac:dyDescent="0.25">
      <c r="A723" s="7" t="s">
        <v>5</v>
      </c>
      <c r="B723" s="1" t="s">
        <v>0</v>
      </c>
      <c r="C723" s="1" t="s">
        <v>1</v>
      </c>
      <c r="D723" s="1" t="s">
        <v>9031</v>
      </c>
      <c r="E723" s="1" t="s">
        <v>9032</v>
      </c>
      <c r="F723" s="1" t="s">
        <v>9033</v>
      </c>
      <c r="H723" s="2" t="s">
        <v>5</v>
      </c>
      <c r="I723" s="2" t="s">
        <v>6</v>
      </c>
      <c r="J723" s="2" t="s">
        <v>5</v>
      </c>
      <c r="K723" s="2" t="s">
        <v>5</v>
      </c>
      <c r="L723" s="2" t="s">
        <v>7</v>
      </c>
      <c r="M723" s="1" t="s">
        <v>9034</v>
      </c>
      <c r="N723" s="1" t="s">
        <v>9035</v>
      </c>
      <c r="O723" s="2" t="s">
        <v>2610</v>
      </c>
      <c r="P723" s="1" t="s">
        <v>5911</v>
      </c>
      <c r="Q723" s="2" t="s">
        <v>1151</v>
      </c>
      <c r="R723" s="2" t="s">
        <v>1152</v>
      </c>
      <c r="S723" s="1" t="s">
        <v>8086</v>
      </c>
      <c r="T723" s="2" t="s">
        <v>13</v>
      </c>
      <c r="U723" s="3">
        <v>1</v>
      </c>
      <c r="V723" s="3">
        <v>1</v>
      </c>
      <c r="W723" s="4" t="s">
        <v>9036</v>
      </c>
      <c r="X723" s="4" t="s">
        <v>9036</v>
      </c>
      <c r="Y723" s="4" t="s">
        <v>8482</v>
      </c>
      <c r="Z723" s="4" t="s">
        <v>8482</v>
      </c>
      <c r="AA723" s="3">
        <v>69</v>
      </c>
      <c r="AB723" s="3">
        <v>50</v>
      </c>
      <c r="AC723" s="3">
        <v>52</v>
      </c>
      <c r="AD723" s="3">
        <v>1</v>
      </c>
      <c r="AE723" s="9">
        <v>1</v>
      </c>
      <c r="AF723" s="9">
        <v>0</v>
      </c>
      <c r="AG723" s="9">
        <v>0</v>
      </c>
      <c r="AH723" s="3">
        <v>0</v>
      </c>
      <c r="AI723" s="3">
        <v>0</v>
      </c>
      <c r="AJ723" s="3">
        <v>0</v>
      </c>
      <c r="AK723" s="3">
        <v>0</v>
      </c>
      <c r="AL723" s="3">
        <v>0</v>
      </c>
      <c r="AM723" s="3">
        <v>0</v>
      </c>
      <c r="AN723" s="3">
        <v>0</v>
      </c>
      <c r="AO723" s="3">
        <v>0</v>
      </c>
      <c r="AP723" s="3">
        <v>0</v>
      </c>
      <c r="AQ723" s="3">
        <v>0</v>
      </c>
      <c r="AR723" s="2" t="s">
        <v>5</v>
      </c>
      <c r="AS723" s="2" t="s">
        <v>46</v>
      </c>
      <c r="AT723" s="5" t="str">
        <f>HYPERLINK("http://catalog.hathitrust.org/Record/001292084","HathiTrust Record")</f>
        <v>HathiTrust Record</v>
      </c>
      <c r="AU723" s="5" t="str">
        <f>HYPERLINK("https://creighton-primo.hosted.exlibrisgroup.com/primo-explore/search?tab=default_tab&amp;search_scope=EVERYTHING&amp;vid=01CRU&amp;lang=en_US&amp;offset=0&amp;query=any,contains,991001492139702656","Catalog Record")</f>
        <v>Catalog Record</v>
      </c>
      <c r="AV723" s="5" t="str">
        <f>HYPERLINK("http://www.worldcat.org/oclc/19729450","WorldCat Record")</f>
        <v>WorldCat Record</v>
      </c>
      <c r="AW723" s="2" t="s">
        <v>9037</v>
      </c>
      <c r="AX723" s="2" t="s">
        <v>9038</v>
      </c>
      <c r="AY723" s="2" t="s">
        <v>9039</v>
      </c>
      <c r="AZ723" s="2" t="s">
        <v>9039</v>
      </c>
      <c r="BA723" s="2" t="s">
        <v>9040</v>
      </c>
      <c r="BB723" s="2" t="s">
        <v>20</v>
      </c>
      <c r="BD723" s="2" t="s">
        <v>9041</v>
      </c>
      <c r="BE723" s="2" t="s">
        <v>9042</v>
      </c>
      <c r="BF723" s="2" t="s">
        <v>9043</v>
      </c>
    </row>
    <row r="724" spans="1:58" ht="39.75" customHeight="1" x14ac:dyDescent="0.25">
      <c r="A724" s="7" t="s">
        <v>5</v>
      </c>
      <c r="B724" s="1" t="s">
        <v>0</v>
      </c>
      <c r="C724" s="1" t="s">
        <v>1</v>
      </c>
      <c r="D724" s="1" t="s">
        <v>9044</v>
      </c>
      <c r="E724" s="1" t="s">
        <v>9045</v>
      </c>
      <c r="F724" s="1" t="s">
        <v>9046</v>
      </c>
      <c r="H724" s="2" t="s">
        <v>5</v>
      </c>
      <c r="I724" s="2" t="s">
        <v>6</v>
      </c>
      <c r="J724" s="2" t="s">
        <v>5</v>
      </c>
      <c r="K724" s="2" t="s">
        <v>5</v>
      </c>
      <c r="L724" s="2" t="s">
        <v>7</v>
      </c>
      <c r="M724" s="1" t="s">
        <v>9047</v>
      </c>
      <c r="N724" s="1" t="s">
        <v>9048</v>
      </c>
      <c r="O724" s="2" t="s">
        <v>508</v>
      </c>
      <c r="P724" s="1" t="s">
        <v>2908</v>
      </c>
      <c r="Q724" s="2" t="s">
        <v>1151</v>
      </c>
      <c r="R724" s="2" t="s">
        <v>6994</v>
      </c>
      <c r="T724" s="2" t="s">
        <v>13</v>
      </c>
      <c r="U724" s="3">
        <v>3</v>
      </c>
      <c r="V724" s="3">
        <v>3</v>
      </c>
      <c r="W724" s="4" t="s">
        <v>9049</v>
      </c>
      <c r="X724" s="4" t="s">
        <v>9049</v>
      </c>
      <c r="Y724" s="4" t="s">
        <v>9050</v>
      </c>
      <c r="Z724" s="4" t="s">
        <v>9050</v>
      </c>
      <c r="AA724" s="3">
        <v>23</v>
      </c>
      <c r="AB724" s="3">
        <v>22</v>
      </c>
      <c r="AC724" s="3">
        <v>24</v>
      </c>
      <c r="AD724" s="3">
        <v>2</v>
      </c>
      <c r="AE724" s="9">
        <v>2</v>
      </c>
      <c r="AF724" s="9">
        <v>2</v>
      </c>
      <c r="AG724" s="9">
        <v>2</v>
      </c>
      <c r="AH724" s="3">
        <v>0</v>
      </c>
      <c r="AI724" s="3">
        <v>0</v>
      </c>
      <c r="AJ724" s="3">
        <v>1</v>
      </c>
      <c r="AK724" s="3">
        <v>1</v>
      </c>
      <c r="AL724" s="3">
        <v>0</v>
      </c>
      <c r="AM724" s="3">
        <v>0</v>
      </c>
      <c r="AN724" s="3">
        <v>1</v>
      </c>
      <c r="AO724" s="3">
        <v>1</v>
      </c>
      <c r="AP724" s="3">
        <v>0</v>
      </c>
      <c r="AQ724" s="3">
        <v>0</v>
      </c>
      <c r="AR724" s="2" t="s">
        <v>5</v>
      </c>
      <c r="AS724" s="2" t="s">
        <v>46</v>
      </c>
      <c r="AT724" s="5" t="str">
        <f>HYPERLINK("http://catalog.hathitrust.org/Record/008371348","HathiTrust Record")</f>
        <v>HathiTrust Record</v>
      </c>
      <c r="AU724" s="5" t="str">
        <f>HYPERLINK("https://creighton-primo.hosted.exlibrisgroup.com/primo-explore/search?tab=default_tab&amp;search_scope=EVERYTHING&amp;vid=01CRU&amp;lang=en_US&amp;offset=0&amp;query=any,contains,991003546369702656","Catalog Record")</f>
        <v>Catalog Record</v>
      </c>
      <c r="AV724" s="5" t="str">
        <f>HYPERLINK("http://www.worldcat.org/oclc/45408616","WorldCat Record")</f>
        <v>WorldCat Record</v>
      </c>
      <c r="AW724" s="2" t="s">
        <v>9051</v>
      </c>
      <c r="AX724" s="2" t="s">
        <v>9052</v>
      </c>
      <c r="AY724" s="2" t="s">
        <v>9053</v>
      </c>
      <c r="AZ724" s="2" t="s">
        <v>9053</v>
      </c>
      <c r="BA724" s="2" t="s">
        <v>9054</v>
      </c>
      <c r="BB724" s="2" t="s">
        <v>20</v>
      </c>
      <c r="BD724" s="2" t="s">
        <v>9055</v>
      </c>
      <c r="BE724" s="2" t="s">
        <v>9056</v>
      </c>
      <c r="BF724" s="2" t="s">
        <v>9057</v>
      </c>
    </row>
    <row r="725" spans="1:58" ht="39.75" customHeight="1" x14ac:dyDescent="0.25">
      <c r="A725" s="7" t="s">
        <v>5</v>
      </c>
      <c r="B725" s="1" t="s">
        <v>0</v>
      </c>
      <c r="C725" s="1" t="s">
        <v>1</v>
      </c>
      <c r="D725" s="1" t="s">
        <v>9058</v>
      </c>
      <c r="E725" s="1" t="s">
        <v>9059</v>
      </c>
      <c r="F725" s="1" t="s">
        <v>9060</v>
      </c>
      <c r="H725" s="2" t="s">
        <v>5</v>
      </c>
      <c r="I725" s="2" t="s">
        <v>6</v>
      </c>
      <c r="J725" s="2" t="s">
        <v>5</v>
      </c>
      <c r="K725" s="2" t="s">
        <v>5</v>
      </c>
      <c r="L725" s="2" t="s">
        <v>7</v>
      </c>
      <c r="M725" s="1" t="s">
        <v>9061</v>
      </c>
      <c r="N725" s="1" t="s">
        <v>9062</v>
      </c>
      <c r="O725" s="2" t="s">
        <v>508</v>
      </c>
      <c r="Q725" s="2" t="s">
        <v>60</v>
      </c>
      <c r="R725" s="2" t="s">
        <v>61</v>
      </c>
      <c r="S725" s="1" t="s">
        <v>9063</v>
      </c>
      <c r="T725" s="2" t="s">
        <v>13</v>
      </c>
      <c r="U725" s="3">
        <v>1</v>
      </c>
      <c r="V725" s="3">
        <v>1</v>
      </c>
      <c r="W725" s="4" t="s">
        <v>9064</v>
      </c>
      <c r="X725" s="4" t="s">
        <v>9064</v>
      </c>
      <c r="Y725" s="4" t="s">
        <v>9065</v>
      </c>
      <c r="Z725" s="4" t="s">
        <v>9065</v>
      </c>
      <c r="AA725" s="3">
        <v>139</v>
      </c>
      <c r="AB725" s="3">
        <v>131</v>
      </c>
      <c r="AC725" s="3">
        <v>369</v>
      </c>
      <c r="AD725" s="3">
        <v>1</v>
      </c>
      <c r="AE725" s="9">
        <v>2</v>
      </c>
      <c r="AF725" s="9">
        <v>9</v>
      </c>
      <c r="AG725" s="9">
        <v>11</v>
      </c>
      <c r="AH725" s="3">
        <v>5</v>
      </c>
      <c r="AI725" s="3">
        <v>5</v>
      </c>
      <c r="AJ725" s="3">
        <v>3</v>
      </c>
      <c r="AK725" s="3">
        <v>4</v>
      </c>
      <c r="AL725" s="3">
        <v>4</v>
      </c>
      <c r="AM725" s="3">
        <v>5</v>
      </c>
      <c r="AN725" s="3">
        <v>0</v>
      </c>
      <c r="AO725" s="3">
        <v>1</v>
      </c>
      <c r="AP725" s="3">
        <v>0</v>
      </c>
      <c r="AQ725" s="3">
        <v>0</v>
      </c>
      <c r="AR725" s="2" t="s">
        <v>5</v>
      </c>
      <c r="AS725" s="2" t="s">
        <v>5</v>
      </c>
      <c r="AU725" s="5" t="str">
        <f>HYPERLINK("https://creighton-primo.hosted.exlibrisgroup.com/primo-explore/search?tab=default_tab&amp;search_scope=EVERYTHING&amp;vid=01CRU&amp;lang=en_US&amp;offset=0&amp;query=any,contains,991003540759702656","Catalog Record")</f>
        <v>Catalog Record</v>
      </c>
      <c r="AV725" s="5" t="str">
        <f>HYPERLINK("http://www.worldcat.org/oclc/44461893","WorldCat Record")</f>
        <v>WorldCat Record</v>
      </c>
      <c r="AW725" s="2" t="s">
        <v>9066</v>
      </c>
      <c r="AX725" s="2" t="s">
        <v>9067</v>
      </c>
      <c r="AY725" s="2" t="s">
        <v>9068</v>
      </c>
      <c r="AZ725" s="2" t="s">
        <v>9068</v>
      </c>
      <c r="BA725" s="2" t="s">
        <v>9069</v>
      </c>
      <c r="BB725" s="2" t="s">
        <v>20</v>
      </c>
      <c r="BD725" s="2" t="s">
        <v>9070</v>
      </c>
      <c r="BE725" s="2" t="s">
        <v>9071</v>
      </c>
      <c r="BF725" s="2" t="s">
        <v>9072</v>
      </c>
    </row>
    <row r="726" spans="1:58" ht="39.75" customHeight="1" x14ac:dyDescent="0.25">
      <c r="A726" s="7" t="s">
        <v>5</v>
      </c>
      <c r="B726" s="1" t="s">
        <v>0</v>
      </c>
      <c r="C726" s="1" t="s">
        <v>1</v>
      </c>
      <c r="D726" s="1" t="s">
        <v>9073</v>
      </c>
      <c r="E726" s="1" t="s">
        <v>9074</v>
      </c>
      <c r="F726" s="1" t="s">
        <v>9075</v>
      </c>
      <c r="H726" s="2" t="s">
        <v>5</v>
      </c>
      <c r="I726" s="2" t="s">
        <v>6</v>
      </c>
      <c r="J726" s="2" t="s">
        <v>5</v>
      </c>
      <c r="K726" s="2" t="s">
        <v>5</v>
      </c>
      <c r="L726" s="2" t="s">
        <v>7</v>
      </c>
      <c r="M726" s="1" t="s">
        <v>9076</v>
      </c>
      <c r="N726" s="1" t="s">
        <v>9077</v>
      </c>
      <c r="O726" s="2" t="s">
        <v>508</v>
      </c>
      <c r="P726" s="1" t="s">
        <v>9078</v>
      </c>
      <c r="Q726" s="2" t="s">
        <v>1151</v>
      </c>
      <c r="R726" s="2" t="s">
        <v>1152</v>
      </c>
      <c r="S726" s="1" t="s">
        <v>9079</v>
      </c>
      <c r="T726" s="2" t="s">
        <v>13</v>
      </c>
      <c r="U726" s="3">
        <v>1</v>
      </c>
      <c r="V726" s="3">
        <v>1</v>
      </c>
      <c r="W726" s="4" t="s">
        <v>1338</v>
      </c>
      <c r="X726" s="4" t="s">
        <v>1338</v>
      </c>
      <c r="Y726" s="4" t="s">
        <v>1338</v>
      </c>
      <c r="Z726" s="4" t="s">
        <v>1338</v>
      </c>
      <c r="AA726" s="3">
        <v>24</v>
      </c>
      <c r="AB726" s="3">
        <v>14</v>
      </c>
      <c r="AC726" s="3">
        <v>16</v>
      </c>
      <c r="AD726" s="3">
        <v>1</v>
      </c>
      <c r="AE726" s="9">
        <v>1</v>
      </c>
      <c r="AF726" s="9">
        <v>0</v>
      </c>
      <c r="AG726" s="9">
        <v>0</v>
      </c>
      <c r="AH726" s="3">
        <v>0</v>
      </c>
      <c r="AI726" s="3">
        <v>0</v>
      </c>
      <c r="AJ726" s="3">
        <v>0</v>
      </c>
      <c r="AK726" s="3">
        <v>0</v>
      </c>
      <c r="AL726" s="3">
        <v>0</v>
      </c>
      <c r="AM726" s="3">
        <v>0</v>
      </c>
      <c r="AN726" s="3">
        <v>0</v>
      </c>
      <c r="AO726" s="3">
        <v>0</v>
      </c>
      <c r="AP726" s="3">
        <v>0</v>
      </c>
      <c r="AQ726" s="3">
        <v>0</v>
      </c>
      <c r="AR726" s="2" t="s">
        <v>5</v>
      </c>
      <c r="AS726" s="2" t="s">
        <v>46</v>
      </c>
      <c r="AT726" s="5" t="str">
        <f>HYPERLINK("http://catalog.hathitrust.org/Record/004216310","HathiTrust Record")</f>
        <v>HathiTrust Record</v>
      </c>
      <c r="AU726" s="5" t="str">
        <f>HYPERLINK("https://creighton-primo.hosted.exlibrisgroup.com/primo-explore/search?tab=default_tab&amp;search_scope=EVERYTHING&amp;vid=01CRU&amp;lang=en_US&amp;offset=0&amp;query=any,contains,991003720579702656","Catalog Record")</f>
        <v>Catalog Record</v>
      </c>
      <c r="AV726" s="5" t="str">
        <f>HYPERLINK("http://www.worldcat.org/oclc/60704967","WorldCat Record")</f>
        <v>WorldCat Record</v>
      </c>
      <c r="AW726" s="2" t="s">
        <v>9080</v>
      </c>
      <c r="AX726" s="2" t="s">
        <v>9081</v>
      </c>
      <c r="AY726" s="2" t="s">
        <v>9082</v>
      </c>
      <c r="AZ726" s="2" t="s">
        <v>9082</v>
      </c>
      <c r="BA726" s="2" t="s">
        <v>9083</v>
      </c>
      <c r="BB726" s="2" t="s">
        <v>20</v>
      </c>
      <c r="BD726" s="2" t="s">
        <v>9084</v>
      </c>
      <c r="BE726" s="2" t="s">
        <v>9085</v>
      </c>
      <c r="BF726" s="2" t="s">
        <v>9086</v>
      </c>
    </row>
    <row r="727" spans="1:58" ht="39.75" customHeight="1" x14ac:dyDescent="0.25">
      <c r="A727" s="7" t="s">
        <v>5</v>
      </c>
      <c r="B727" s="1" t="s">
        <v>0</v>
      </c>
      <c r="C727" s="1" t="s">
        <v>1</v>
      </c>
      <c r="D727" s="1" t="s">
        <v>9087</v>
      </c>
      <c r="E727" s="1" t="s">
        <v>9088</v>
      </c>
      <c r="F727" s="1" t="s">
        <v>9089</v>
      </c>
      <c r="H727" s="2" t="s">
        <v>5</v>
      </c>
      <c r="I727" s="2" t="s">
        <v>6</v>
      </c>
      <c r="J727" s="2" t="s">
        <v>5</v>
      </c>
      <c r="K727" s="2" t="s">
        <v>5</v>
      </c>
      <c r="L727" s="2" t="s">
        <v>7</v>
      </c>
      <c r="M727" s="1" t="s">
        <v>9090</v>
      </c>
      <c r="N727" s="1" t="s">
        <v>9091</v>
      </c>
      <c r="O727" s="2" t="s">
        <v>108</v>
      </c>
      <c r="P727" s="1" t="s">
        <v>2908</v>
      </c>
      <c r="Q727" s="2" t="s">
        <v>1151</v>
      </c>
      <c r="R727" s="2" t="s">
        <v>1152</v>
      </c>
      <c r="S727" s="1" t="s">
        <v>9092</v>
      </c>
      <c r="T727" s="2" t="s">
        <v>13</v>
      </c>
      <c r="U727" s="3">
        <v>1</v>
      </c>
      <c r="V727" s="3">
        <v>1</v>
      </c>
      <c r="W727" s="4" t="s">
        <v>5137</v>
      </c>
      <c r="X727" s="4" t="s">
        <v>5137</v>
      </c>
      <c r="Y727" s="4" t="s">
        <v>5137</v>
      </c>
      <c r="Z727" s="4" t="s">
        <v>5137</v>
      </c>
      <c r="AA727" s="3">
        <v>62</v>
      </c>
      <c r="AB727" s="3">
        <v>45</v>
      </c>
      <c r="AC727" s="3">
        <v>48</v>
      </c>
      <c r="AD727" s="3">
        <v>1</v>
      </c>
      <c r="AE727" s="9">
        <v>1</v>
      </c>
      <c r="AF727" s="9">
        <v>0</v>
      </c>
      <c r="AG727" s="9">
        <v>0</v>
      </c>
      <c r="AH727" s="3">
        <v>0</v>
      </c>
      <c r="AI727" s="3">
        <v>0</v>
      </c>
      <c r="AJ727" s="3">
        <v>0</v>
      </c>
      <c r="AK727" s="3">
        <v>0</v>
      </c>
      <c r="AL727" s="3">
        <v>0</v>
      </c>
      <c r="AM727" s="3">
        <v>0</v>
      </c>
      <c r="AN727" s="3">
        <v>0</v>
      </c>
      <c r="AO727" s="3">
        <v>0</v>
      </c>
      <c r="AP727" s="3">
        <v>0</v>
      </c>
      <c r="AQ727" s="3">
        <v>0</v>
      </c>
      <c r="AR727" s="2" t="s">
        <v>5</v>
      </c>
      <c r="AS727" s="2" t="s">
        <v>46</v>
      </c>
      <c r="AT727" s="5" t="str">
        <f>HYPERLINK("http://catalog.hathitrust.org/Record/008371513","HathiTrust Record")</f>
        <v>HathiTrust Record</v>
      </c>
      <c r="AU727" s="5" t="str">
        <f>HYPERLINK("https://creighton-primo.hosted.exlibrisgroup.com/primo-explore/search?tab=default_tab&amp;search_scope=EVERYTHING&amp;vid=01CRU&amp;lang=en_US&amp;offset=0&amp;query=any,contains,991004509789702656","Catalog Record")</f>
        <v>Catalog Record</v>
      </c>
      <c r="AV727" s="5" t="str">
        <f>HYPERLINK("http://www.worldcat.org/oclc/563349","WorldCat Record")</f>
        <v>WorldCat Record</v>
      </c>
      <c r="AW727" s="2" t="s">
        <v>9093</v>
      </c>
      <c r="AX727" s="2" t="s">
        <v>9094</v>
      </c>
      <c r="AY727" s="2" t="s">
        <v>9095</v>
      </c>
      <c r="AZ727" s="2" t="s">
        <v>9095</v>
      </c>
      <c r="BA727" s="2" t="s">
        <v>9096</v>
      </c>
      <c r="BB727" s="2" t="s">
        <v>20</v>
      </c>
      <c r="BE727" s="2" t="s">
        <v>9097</v>
      </c>
      <c r="BF727" s="2" t="s">
        <v>9098</v>
      </c>
    </row>
    <row r="728" spans="1:58" ht="39.75" customHeight="1" x14ac:dyDescent="0.25">
      <c r="A728" s="7" t="s">
        <v>5</v>
      </c>
      <c r="B728" s="1" t="s">
        <v>0</v>
      </c>
      <c r="C728" s="1" t="s">
        <v>1</v>
      </c>
      <c r="D728" s="1" t="s">
        <v>9099</v>
      </c>
      <c r="E728" s="1" t="s">
        <v>9100</v>
      </c>
      <c r="F728" s="1" t="s">
        <v>9101</v>
      </c>
      <c r="H728" s="2" t="s">
        <v>5</v>
      </c>
      <c r="I728" s="2" t="s">
        <v>6</v>
      </c>
      <c r="J728" s="2" t="s">
        <v>5</v>
      </c>
      <c r="K728" s="2" t="s">
        <v>5</v>
      </c>
      <c r="L728" s="2" t="s">
        <v>7</v>
      </c>
      <c r="M728" s="1" t="s">
        <v>9102</v>
      </c>
      <c r="N728" s="1" t="s">
        <v>9103</v>
      </c>
      <c r="O728" s="2" t="s">
        <v>1273</v>
      </c>
      <c r="Q728" s="2" t="s">
        <v>1151</v>
      </c>
      <c r="R728" s="2" t="s">
        <v>1152</v>
      </c>
      <c r="S728" s="1" t="s">
        <v>8086</v>
      </c>
      <c r="T728" s="2" t="s">
        <v>13</v>
      </c>
      <c r="U728" s="3">
        <v>2</v>
      </c>
      <c r="V728" s="3">
        <v>2</v>
      </c>
      <c r="W728" s="4" t="s">
        <v>9104</v>
      </c>
      <c r="X728" s="4" t="s">
        <v>9104</v>
      </c>
      <c r="Y728" s="4" t="s">
        <v>8325</v>
      </c>
      <c r="Z728" s="4" t="s">
        <v>8325</v>
      </c>
      <c r="AA728" s="3">
        <v>169</v>
      </c>
      <c r="AB728" s="3">
        <v>128</v>
      </c>
      <c r="AC728" s="3">
        <v>284</v>
      </c>
      <c r="AD728" s="3">
        <v>2</v>
      </c>
      <c r="AE728" s="9">
        <v>2</v>
      </c>
      <c r="AF728" s="9">
        <v>3</v>
      </c>
      <c r="AG728" s="9">
        <v>14</v>
      </c>
      <c r="AH728" s="3">
        <v>1</v>
      </c>
      <c r="AI728" s="3">
        <v>6</v>
      </c>
      <c r="AJ728" s="3">
        <v>1</v>
      </c>
      <c r="AK728" s="3">
        <v>5</v>
      </c>
      <c r="AL728" s="3">
        <v>1</v>
      </c>
      <c r="AM728" s="3">
        <v>7</v>
      </c>
      <c r="AN728" s="3">
        <v>1</v>
      </c>
      <c r="AO728" s="3">
        <v>1</v>
      </c>
      <c r="AP728" s="3">
        <v>0</v>
      </c>
      <c r="AQ728" s="3">
        <v>0</v>
      </c>
      <c r="AR728" s="2" t="s">
        <v>5</v>
      </c>
      <c r="AS728" s="2" t="s">
        <v>46</v>
      </c>
      <c r="AT728" s="5" t="str">
        <f>HYPERLINK("http://catalog.hathitrust.org/Record/001301933","HathiTrust Record")</f>
        <v>HathiTrust Record</v>
      </c>
      <c r="AU728" s="5" t="str">
        <f>HYPERLINK("https://creighton-primo.hosted.exlibrisgroup.com/primo-explore/search?tab=default_tab&amp;search_scope=EVERYTHING&amp;vid=01CRU&amp;lang=en_US&amp;offset=0&amp;query=any,contains,991000895829702656","Catalog Record")</f>
        <v>Catalog Record</v>
      </c>
      <c r="AV728" s="5" t="str">
        <f>HYPERLINK("http://www.worldcat.org/oclc/13979360","WorldCat Record")</f>
        <v>WorldCat Record</v>
      </c>
      <c r="AW728" s="2" t="s">
        <v>9105</v>
      </c>
      <c r="AX728" s="2" t="s">
        <v>9106</v>
      </c>
      <c r="AY728" s="2" t="s">
        <v>9107</v>
      </c>
      <c r="AZ728" s="2" t="s">
        <v>9107</v>
      </c>
      <c r="BA728" s="2" t="s">
        <v>9108</v>
      </c>
      <c r="BB728" s="2" t="s">
        <v>20</v>
      </c>
      <c r="BD728" s="2" t="s">
        <v>9109</v>
      </c>
      <c r="BE728" s="2" t="s">
        <v>9110</v>
      </c>
      <c r="BF728" s="2" t="s">
        <v>9111</v>
      </c>
    </row>
    <row r="729" spans="1:58" ht="39.75" customHeight="1" x14ac:dyDescent="0.25">
      <c r="A729" s="7" t="s">
        <v>5</v>
      </c>
      <c r="B729" s="1" t="s">
        <v>0</v>
      </c>
      <c r="C729" s="1" t="s">
        <v>1</v>
      </c>
      <c r="D729" s="1" t="s">
        <v>9112</v>
      </c>
      <c r="E729" s="1" t="s">
        <v>9113</v>
      </c>
      <c r="F729" s="1" t="s">
        <v>9114</v>
      </c>
      <c r="H729" s="2" t="s">
        <v>5</v>
      </c>
      <c r="I729" s="2" t="s">
        <v>6</v>
      </c>
      <c r="J729" s="2" t="s">
        <v>5</v>
      </c>
      <c r="K729" s="2" t="s">
        <v>5</v>
      </c>
      <c r="L729" s="2" t="s">
        <v>7</v>
      </c>
      <c r="M729" s="1" t="s">
        <v>9102</v>
      </c>
      <c r="N729" s="1" t="s">
        <v>9115</v>
      </c>
      <c r="O729" s="2" t="s">
        <v>42</v>
      </c>
      <c r="P729" s="1" t="s">
        <v>9116</v>
      </c>
      <c r="Q729" s="2" t="s">
        <v>1151</v>
      </c>
      <c r="R729" s="2" t="s">
        <v>1152</v>
      </c>
      <c r="S729" s="1" t="s">
        <v>9117</v>
      </c>
      <c r="T729" s="2" t="s">
        <v>13</v>
      </c>
      <c r="U729" s="3">
        <v>4</v>
      </c>
      <c r="V729" s="3">
        <v>4</v>
      </c>
      <c r="W729" s="4" t="s">
        <v>9118</v>
      </c>
      <c r="X729" s="4" t="s">
        <v>9118</v>
      </c>
      <c r="Y729" s="4" t="s">
        <v>8584</v>
      </c>
      <c r="Z729" s="4" t="s">
        <v>8584</v>
      </c>
      <c r="AA729" s="3">
        <v>18</v>
      </c>
      <c r="AB729" s="3">
        <v>14</v>
      </c>
      <c r="AC729" s="3">
        <v>229</v>
      </c>
      <c r="AD729" s="3">
        <v>1</v>
      </c>
      <c r="AE729" s="9">
        <v>2</v>
      </c>
      <c r="AF729" s="9">
        <v>0</v>
      </c>
      <c r="AG729" s="9">
        <v>8</v>
      </c>
      <c r="AH729" s="3">
        <v>0</v>
      </c>
      <c r="AI729" s="3">
        <v>3</v>
      </c>
      <c r="AJ729" s="3">
        <v>0</v>
      </c>
      <c r="AK729" s="3">
        <v>5</v>
      </c>
      <c r="AL729" s="3">
        <v>0</v>
      </c>
      <c r="AM729" s="3">
        <v>3</v>
      </c>
      <c r="AN729" s="3">
        <v>0</v>
      </c>
      <c r="AO729" s="3">
        <v>1</v>
      </c>
      <c r="AP729" s="3">
        <v>0</v>
      </c>
      <c r="AQ729" s="3">
        <v>0</v>
      </c>
      <c r="AR729" s="2" t="s">
        <v>5</v>
      </c>
      <c r="AS729" s="2" t="s">
        <v>5</v>
      </c>
      <c r="AU729" s="5" t="str">
        <f>HYPERLINK("https://creighton-primo.hosted.exlibrisgroup.com/primo-explore/search?tab=default_tab&amp;search_scope=EVERYTHING&amp;vid=01CRU&amp;lang=en_US&amp;offset=0&amp;query=any,contains,991001635739702656","Catalog Record")</f>
        <v>Catalog Record</v>
      </c>
      <c r="AV729" s="5" t="str">
        <f>HYPERLINK("http://www.worldcat.org/oclc/19097045","WorldCat Record")</f>
        <v>WorldCat Record</v>
      </c>
      <c r="AW729" s="2" t="s">
        <v>9119</v>
      </c>
      <c r="AX729" s="2" t="s">
        <v>9120</v>
      </c>
      <c r="AY729" s="2" t="s">
        <v>9121</v>
      </c>
      <c r="AZ729" s="2" t="s">
        <v>9121</v>
      </c>
      <c r="BA729" s="2" t="s">
        <v>9122</v>
      </c>
      <c r="BB729" s="2" t="s">
        <v>20</v>
      </c>
      <c r="BD729" s="2" t="s">
        <v>9123</v>
      </c>
      <c r="BE729" s="2" t="s">
        <v>9124</v>
      </c>
      <c r="BF729" s="2" t="s">
        <v>9125</v>
      </c>
    </row>
    <row r="730" spans="1:58" ht="39.75" customHeight="1" x14ac:dyDescent="0.25">
      <c r="A730" s="7" t="s">
        <v>5</v>
      </c>
      <c r="B730" s="1" t="s">
        <v>0</v>
      </c>
      <c r="C730" s="1" t="s">
        <v>1</v>
      </c>
      <c r="D730" s="1" t="s">
        <v>9126</v>
      </c>
      <c r="E730" s="1" t="s">
        <v>9127</v>
      </c>
      <c r="F730" s="1" t="s">
        <v>9128</v>
      </c>
      <c r="H730" s="2" t="s">
        <v>5</v>
      </c>
      <c r="I730" s="2" t="s">
        <v>6</v>
      </c>
      <c r="J730" s="2" t="s">
        <v>5</v>
      </c>
      <c r="K730" s="2" t="s">
        <v>5</v>
      </c>
      <c r="L730" s="2" t="s">
        <v>7</v>
      </c>
      <c r="M730" s="1" t="s">
        <v>9129</v>
      </c>
      <c r="N730" s="1" t="s">
        <v>9077</v>
      </c>
      <c r="O730" s="2" t="s">
        <v>508</v>
      </c>
      <c r="P730" s="1" t="s">
        <v>2908</v>
      </c>
      <c r="Q730" s="2" t="s">
        <v>1151</v>
      </c>
      <c r="R730" s="2" t="s">
        <v>1152</v>
      </c>
      <c r="S730" s="1" t="s">
        <v>9130</v>
      </c>
      <c r="T730" s="2" t="s">
        <v>13</v>
      </c>
      <c r="U730" s="3">
        <v>1</v>
      </c>
      <c r="V730" s="3">
        <v>1</v>
      </c>
      <c r="W730" s="4" t="s">
        <v>9131</v>
      </c>
      <c r="X730" s="4" t="s">
        <v>9131</v>
      </c>
      <c r="Y730" s="4" t="s">
        <v>9131</v>
      </c>
      <c r="Z730" s="4" t="s">
        <v>9131</v>
      </c>
      <c r="AA730" s="3">
        <v>23</v>
      </c>
      <c r="AB730" s="3">
        <v>18</v>
      </c>
      <c r="AC730" s="3">
        <v>18</v>
      </c>
      <c r="AD730" s="3">
        <v>1</v>
      </c>
      <c r="AE730" s="9">
        <v>1</v>
      </c>
      <c r="AF730" s="9">
        <v>0</v>
      </c>
      <c r="AG730" s="9">
        <v>0</v>
      </c>
      <c r="AH730" s="3">
        <v>0</v>
      </c>
      <c r="AI730" s="3">
        <v>0</v>
      </c>
      <c r="AJ730" s="3">
        <v>0</v>
      </c>
      <c r="AK730" s="3">
        <v>0</v>
      </c>
      <c r="AL730" s="3">
        <v>0</v>
      </c>
      <c r="AM730" s="3">
        <v>0</v>
      </c>
      <c r="AN730" s="3">
        <v>0</v>
      </c>
      <c r="AO730" s="3">
        <v>0</v>
      </c>
      <c r="AP730" s="3">
        <v>0</v>
      </c>
      <c r="AQ730" s="3">
        <v>0</v>
      </c>
      <c r="AR730" s="2" t="s">
        <v>5</v>
      </c>
      <c r="AS730" s="2" t="s">
        <v>5</v>
      </c>
      <c r="AU730" s="5" t="str">
        <f>HYPERLINK("https://creighton-primo.hosted.exlibrisgroup.com/primo-explore/search?tab=default_tab&amp;search_scope=EVERYTHING&amp;vid=01CRU&amp;lang=en_US&amp;offset=0&amp;query=any,contains,991003720479702656","Catalog Record")</f>
        <v>Catalog Record</v>
      </c>
      <c r="AV730" s="5" t="str">
        <f>HYPERLINK("http://www.worldcat.org/oclc/45620096","WorldCat Record")</f>
        <v>WorldCat Record</v>
      </c>
      <c r="AW730" s="2" t="s">
        <v>9132</v>
      </c>
      <c r="AX730" s="2" t="s">
        <v>9133</v>
      </c>
      <c r="AY730" s="2" t="s">
        <v>9134</v>
      </c>
      <c r="AZ730" s="2" t="s">
        <v>9134</v>
      </c>
      <c r="BA730" s="2" t="s">
        <v>9135</v>
      </c>
      <c r="BB730" s="2" t="s">
        <v>20</v>
      </c>
      <c r="BD730" s="2" t="s">
        <v>9136</v>
      </c>
      <c r="BE730" s="2" t="s">
        <v>9137</v>
      </c>
      <c r="BF730" s="2" t="s">
        <v>9138</v>
      </c>
    </row>
    <row r="731" spans="1:58" ht="39.75" customHeight="1" x14ac:dyDescent="0.25">
      <c r="A731" s="7" t="s">
        <v>5</v>
      </c>
      <c r="B731" s="1" t="s">
        <v>0</v>
      </c>
      <c r="C731" s="1" t="s">
        <v>1</v>
      </c>
      <c r="D731" s="1" t="s">
        <v>9139</v>
      </c>
      <c r="E731" s="1" t="s">
        <v>9140</v>
      </c>
      <c r="F731" s="1" t="s">
        <v>9141</v>
      </c>
      <c r="H731" s="2" t="s">
        <v>5</v>
      </c>
      <c r="I731" s="2" t="s">
        <v>6</v>
      </c>
      <c r="J731" s="2" t="s">
        <v>5</v>
      </c>
      <c r="K731" s="2" t="s">
        <v>5</v>
      </c>
      <c r="L731" s="2" t="s">
        <v>7</v>
      </c>
      <c r="M731" s="1" t="s">
        <v>9142</v>
      </c>
      <c r="N731" s="1" t="s">
        <v>7527</v>
      </c>
      <c r="O731" s="2" t="s">
        <v>508</v>
      </c>
      <c r="Q731" s="2" t="s">
        <v>60</v>
      </c>
      <c r="R731" s="2" t="s">
        <v>61</v>
      </c>
      <c r="S731" s="1" t="s">
        <v>9143</v>
      </c>
      <c r="T731" s="2" t="s">
        <v>13</v>
      </c>
      <c r="U731" s="3">
        <v>1</v>
      </c>
      <c r="V731" s="3">
        <v>1</v>
      </c>
      <c r="W731" s="4" t="s">
        <v>9144</v>
      </c>
      <c r="X731" s="4" t="s">
        <v>9144</v>
      </c>
      <c r="Y731" s="4" t="s">
        <v>9144</v>
      </c>
      <c r="Z731" s="4" t="s">
        <v>9144</v>
      </c>
      <c r="AA731" s="3">
        <v>165</v>
      </c>
      <c r="AB731" s="3">
        <v>122</v>
      </c>
      <c r="AC731" s="3">
        <v>122</v>
      </c>
      <c r="AD731" s="3">
        <v>2</v>
      </c>
      <c r="AE731" s="9">
        <v>2</v>
      </c>
      <c r="AF731" s="9">
        <v>9</v>
      </c>
      <c r="AG731" s="9">
        <v>9</v>
      </c>
      <c r="AH731" s="3">
        <v>1</v>
      </c>
      <c r="AI731" s="3">
        <v>1</v>
      </c>
      <c r="AJ731" s="3">
        <v>5</v>
      </c>
      <c r="AK731" s="3">
        <v>5</v>
      </c>
      <c r="AL731" s="3">
        <v>4</v>
      </c>
      <c r="AM731" s="3">
        <v>4</v>
      </c>
      <c r="AN731" s="3">
        <v>1</v>
      </c>
      <c r="AO731" s="3">
        <v>1</v>
      </c>
      <c r="AP731" s="3">
        <v>0</v>
      </c>
      <c r="AQ731" s="3">
        <v>0</v>
      </c>
      <c r="AR731" s="2" t="s">
        <v>5</v>
      </c>
      <c r="AS731" s="2" t="s">
        <v>46</v>
      </c>
      <c r="AT731" s="5" t="str">
        <f>HYPERLINK("http://catalog.hathitrust.org/Record/004145872","HathiTrust Record")</f>
        <v>HathiTrust Record</v>
      </c>
      <c r="AU731" s="5" t="str">
        <f>HYPERLINK("https://creighton-primo.hosted.exlibrisgroup.com/primo-explore/search?tab=default_tab&amp;search_scope=EVERYTHING&amp;vid=01CRU&amp;lang=en_US&amp;offset=0&amp;query=any,contains,991003511949702656","Catalog Record")</f>
        <v>Catalog Record</v>
      </c>
      <c r="AV731" s="5" t="str">
        <f>HYPERLINK("http://www.worldcat.org/oclc/44133019","WorldCat Record")</f>
        <v>WorldCat Record</v>
      </c>
      <c r="AW731" s="2" t="s">
        <v>9145</v>
      </c>
      <c r="AX731" s="2" t="s">
        <v>9146</v>
      </c>
      <c r="AY731" s="2" t="s">
        <v>9147</v>
      </c>
      <c r="AZ731" s="2" t="s">
        <v>9147</v>
      </c>
      <c r="BA731" s="2" t="s">
        <v>9148</v>
      </c>
      <c r="BB731" s="2" t="s">
        <v>20</v>
      </c>
      <c r="BD731" s="2" t="s">
        <v>9149</v>
      </c>
      <c r="BE731" s="2" t="s">
        <v>9150</v>
      </c>
      <c r="BF731" s="2" t="s">
        <v>9151</v>
      </c>
    </row>
    <row r="732" spans="1:58" ht="39.75" customHeight="1" x14ac:dyDescent="0.25">
      <c r="A732" s="7" t="s">
        <v>5</v>
      </c>
      <c r="B732" s="1" t="s">
        <v>0</v>
      </c>
      <c r="C732" s="1" t="s">
        <v>1</v>
      </c>
      <c r="D732" s="1" t="s">
        <v>9152</v>
      </c>
      <c r="E732" s="1" t="s">
        <v>9153</v>
      </c>
      <c r="F732" s="1" t="s">
        <v>9154</v>
      </c>
      <c r="H732" s="2" t="s">
        <v>5</v>
      </c>
      <c r="I732" s="2" t="s">
        <v>6</v>
      </c>
      <c r="J732" s="2" t="s">
        <v>5</v>
      </c>
      <c r="K732" s="2" t="s">
        <v>5</v>
      </c>
      <c r="L732" s="2" t="s">
        <v>7</v>
      </c>
      <c r="M732" s="1" t="s">
        <v>9155</v>
      </c>
      <c r="N732" s="1" t="s">
        <v>9156</v>
      </c>
      <c r="O732" s="2" t="s">
        <v>6611</v>
      </c>
      <c r="P732" s="1" t="s">
        <v>2908</v>
      </c>
      <c r="Q732" s="2" t="s">
        <v>1151</v>
      </c>
      <c r="R732" s="2" t="s">
        <v>1152</v>
      </c>
      <c r="S732" s="1" t="s">
        <v>9157</v>
      </c>
      <c r="T732" s="2" t="s">
        <v>13</v>
      </c>
      <c r="U732" s="3">
        <v>0</v>
      </c>
      <c r="V732" s="3">
        <v>0</v>
      </c>
      <c r="W732" s="4" t="s">
        <v>9158</v>
      </c>
      <c r="X732" s="4" t="s">
        <v>9158</v>
      </c>
      <c r="Y732" s="4" t="s">
        <v>9159</v>
      </c>
      <c r="Z732" s="4" t="s">
        <v>9159</v>
      </c>
      <c r="AA732" s="3">
        <v>129</v>
      </c>
      <c r="AB732" s="3">
        <v>96</v>
      </c>
      <c r="AC732" s="3">
        <v>108</v>
      </c>
      <c r="AD732" s="3">
        <v>2</v>
      </c>
      <c r="AE732" s="9">
        <v>2</v>
      </c>
      <c r="AF732" s="9">
        <v>4</v>
      </c>
      <c r="AG732" s="9">
        <v>5</v>
      </c>
      <c r="AH732" s="3">
        <v>1</v>
      </c>
      <c r="AI732" s="3">
        <v>1</v>
      </c>
      <c r="AJ732" s="3">
        <v>3</v>
      </c>
      <c r="AK732" s="3">
        <v>4</v>
      </c>
      <c r="AL732" s="3">
        <v>1</v>
      </c>
      <c r="AM732" s="3">
        <v>2</v>
      </c>
      <c r="AN732" s="3">
        <v>1</v>
      </c>
      <c r="AO732" s="3">
        <v>1</v>
      </c>
      <c r="AP732" s="3">
        <v>0</v>
      </c>
      <c r="AQ732" s="3">
        <v>0</v>
      </c>
      <c r="AR732" s="2" t="s">
        <v>5</v>
      </c>
      <c r="AS732" s="2" t="s">
        <v>46</v>
      </c>
      <c r="AT732" s="5" t="str">
        <f>HYPERLINK("http://catalog.hathitrust.org/Record/003050019","HathiTrust Record")</f>
        <v>HathiTrust Record</v>
      </c>
      <c r="AU732" s="5" t="str">
        <f>HYPERLINK("https://creighton-primo.hosted.exlibrisgroup.com/primo-explore/search?tab=default_tab&amp;search_scope=EVERYTHING&amp;vid=01CRU&amp;lang=en_US&amp;offset=0&amp;query=any,contains,991002611399702656","Catalog Record")</f>
        <v>Catalog Record</v>
      </c>
      <c r="AV732" s="5" t="str">
        <f>HYPERLINK("http://www.worldcat.org/oclc/34202448","WorldCat Record")</f>
        <v>WorldCat Record</v>
      </c>
      <c r="AW732" s="2" t="s">
        <v>9160</v>
      </c>
      <c r="AX732" s="2" t="s">
        <v>9161</v>
      </c>
      <c r="AY732" s="2" t="s">
        <v>9162</v>
      </c>
      <c r="AZ732" s="2" t="s">
        <v>9162</v>
      </c>
      <c r="BA732" s="2" t="s">
        <v>9163</v>
      </c>
      <c r="BB732" s="2" t="s">
        <v>20</v>
      </c>
      <c r="BD732" s="2" t="s">
        <v>9164</v>
      </c>
      <c r="BE732" s="2" t="s">
        <v>9165</v>
      </c>
      <c r="BF732" s="2" t="s">
        <v>9166</v>
      </c>
    </row>
    <row r="733" spans="1:58" ht="39.75" customHeight="1" x14ac:dyDescent="0.25">
      <c r="A733" s="7" t="s">
        <v>5</v>
      </c>
      <c r="B733" s="1" t="s">
        <v>0</v>
      </c>
      <c r="C733" s="1" t="s">
        <v>1</v>
      </c>
      <c r="D733" s="1" t="s">
        <v>9167</v>
      </c>
      <c r="E733" s="1" t="s">
        <v>9168</v>
      </c>
      <c r="F733" s="1" t="s">
        <v>9169</v>
      </c>
      <c r="H733" s="2" t="s">
        <v>5</v>
      </c>
      <c r="I733" s="2" t="s">
        <v>6</v>
      </c>
      <c r="J733" s="2" t="s">
        <v>5</v>
      </c>
      <c r="K733" s="2" t="s">
        <v>5</v>
      </c>
      <c r="L733" s="2" t="s">
        <v>7</v>
      </c>
      <c r="M733" s="1" t="s">
        <v>9170</v>
      </c>
      <c r="N733" s="1" t="s">
        <v>9171</v>
      </c>
      <c r="O733" s="2" t="s">
        <v>261</v>
      </c>
      <c r="Q733" s="2" t="s">
        <v>1151</v>
      </c>
      <c r="R733" s="2" t="s">
        <v>1152</v>
      </c>
      <c r="T733" s="2" t="s">
        <v>13</v>
      </c>
      <c r="U733" s="3">
        <v>3</v>
      </c>
      <c r="V733" s="3">
        <v>3</v>
      </c>
      <c r="W733" s="4" t="s">
        <v>9172</v>
      </c>
      <c r="X733" s="4" t="s">
        <v>9172</v>
      </c>
      <c r="Y733" s="4" t="s">
        <v>9173</v>
      </c>
      <c r="Z733" s="4" t="s">
        <v>9173</v>
      </c>
      <c r="AA733" s="3">
        <v>64</v>
      </c>
      <c r="AB733" s="3">
        <v>45</v>
      </c>
      <c r="AC733" s="3">
        <v>49</v>
      </c>
      <c r="AD733" s="3">
        <v>1</v>
      </c>
      <c r="AE733" s="9">
        <v>1</v>
      </c>
      <c r="AF733" s="9">
        <v>0</v>
      </c>
      <c r="AG733" s="9">
        <v>0</v>
      </c>
      <c r="AH733" s="3">
        <v>0</v>
      </c>
      <c r="AI733" s="3">
        <v>0</v>
      </c>
      <c r="AJ733" s="3">
        <v>0</v>
      </c>
      <c r="AK733" s="3">
        <v>0</v>
      </c>
      <c r="AL733" s="3">
        <v>0</v>
      </c>
      <c r="AM733" s="3">
        <v>0</v>
      </c>
      <c r="AN733" s="3">
        <v>0</v>
      </c>
      <c r="AO733" s="3">
        <v>0</v>
      </c>
      <c r="AP733" s="3">
        <v>0</v>
      </c>
      <c r="AQ733" s="3">
        <v>0</v>
      </c>
      <c r="AR733" s="2" t="s">
        <v>5</v>
      </c>
      <c r="AS733" s="2" t="s">
        <v>46</v>
      </c>
      <c r="AT733" s="5" t="str">
        <f>HYPERLINK("http://catalog.hathitrust.org/Record/001300424","HathiTrust Record")</f>
        <v>HathiTrust Record</v>
      </c>
      <c r="AU733" s="5" t="str">
        <f>HYPERLINK("https://creighton-primo.hosted.exlibrisgroup.com/primo-explore/search?tab=default_tab&amp;search_scope=EVERYTHING&amp;vid=01CRU&amp;lang=en_US&amp;offset=0&amp;query=any,contains,991000229489702656","Catalog Record")</f>
        <v>Catalog Record</v>
      </c>
      <c r="AV733" s="5" t="str">
        <f>HYPERLINK("http://www.worldcat.org/oclc/9625653","WorldCat Record")</f>
        <v>WorldCat Record</v>
      </c>
      <c r="AW733" s="2" t="s">
        <v>9174</v>
      </c>
      <c r="AX733" s="2" t="s">
        <v>9175</v>
      </c>
      <c r="AY733" s="2" t="s">
        <v>9176</v>
      </c>
      <c r="AZ733" s="2" t="s">
        <v>9176</v>
      </c>
      <c r="BA733" s="2" t="s">
        <v>9177</v>
      </c>
      <c r="BB733" s="2" t="s">
        <v>20</v>
      </c>
      <c r="BD733" s="2" t="s">
        <v>9178</v>
      </c>
      <c r="BE733" s="2" t="s">
        <v>9179</v>
      </c>
      <c r="BF733" s="2" t="s">
        <v>9180</v>
      </c>
    </row>
    <row r="734" spans="1:58" ht="39.75" customHeight="1" x14ac:dyDescent="0.25">
      <c r="A734" s="7" t="s">
        <v>5</v>
      </c>
      <c r="B734" s="1" t="s">
        <v>0</v>
      </c>
      <c r="C734" s="1" t="s">
        <v>1</v>
      </c>
      <c r="D734" s="1" t="s">
        <v>9181</v>
      </c>
      <c r="E734" s="1" t="s">
        <v>9182</v>
      </c>
      <c r="F734" s="1" t="s">
        <v>9183</v>
      </c>
      <c r="H734" s="2" t="s">
        <v>5</v>
      </c>
      <c r="I734" s="2" t="s">
        <v>6</v>
      </c>
      <c r="J734" s="2" t="s">
        <v>5</v>
      </c>
      <c r="K734" s="2" t="s">
        <v>5</v>
      </c>
      <c r="L734" s="2" t="s">
        <v>7</v>
      </c>
      <c r="M734" s="1" t="s">
        <v>9184</v>
      </c>
      <c r="N734" s="1" t="s">
        <v>9185</v>
      </c>
      <c r="O734" s="2" t="s">
        <v>2142</v>
      </c>
      <c r="Q734" s="2" t="s">
        <v>60</v>
      </c>
      <c r="R734" s="2" t="s">
        <v>61</v>
      </c>
      <c r="T734" s="2" t="s">
        <v>13</v>
      </c>
      <c r="U734" s="3">
        <v>1</v>
      </c>
      <c r="V734" s="3">
        <v>1</v>
      </c>
      <c r="W734" s="4" t="s">
        <v>9186</v>
      </c>
      <c r="X734" s="4" t="s">
        <v>9186</v>
      </c>
      <c r="Y734" s="4" t="s">
        <v>9186</v>
      </c>
      <c r="Z734" s="4" t="s">
        <v>9186</v>
      </c>
      <c r="AA734" s="3">
        <v>1185</v>
      </c>
      <c r="AB734" s="3">
        <v>1137</v>
      </c>
      <c r="AC734" s="3">
        <v>1444</v>
      </c>
      <c r="AD734" s="3">
        <v>6</v>
      </c>
      <c r="AE734" s="9">
        <v>8</v>
      </c>
      <c r="AF734" s="9">
        <v>11</v>
      </c>
      <c r="AG734" s="9">
        <v>12</v>
      </c>
      <c r="AH734" s="3">
        <v>4</v>
      </c>
      <c r="AI734" s="3">
        <v>4</v>
      </c>
      <c r="AJ734" s="3">
        <v>2</v>
      </c>
      <c r="AK734" s="3">
        <v>2</v>
      </c>
      <c r="AL734" s="3">
        <v>7</v>
      </c>
      <c r="AM734" s="3">
        <v>8</v>
      </c>
      <c r="AN734" s="3">
        <v>1</v>
      </c>
      <c r="AO734" s="3">
        <v>1</v>
      </c>
      <c r="AP734" s="3">
        <v>0</v>
      </c>
      <c r="AQ734" s="3">
        <v>0</v>
      </c>
      <c r="AR734" s="2" t="s">
        <v>5</v>
      </c>
      <c r="AS734" s="2" t="s">
        <v>46</v>
      </c>
      <c r="AT734" s="5" t="str">
        <f>HYPERLINK("http://catalog.hathitrust.org/Record/004717255","HathiTrust Record")</f>
        <v>HathiTrust Record</v>
      </c>
      <c r="AU734" s="5" t="str">
        <f>HYPERLINK("https://creighton-primo.hosted.exlibrisgroup.com/primo-explore/search?tab=default_tab&amp;search_scope=EVERYTHING&amp;vid=01CRU&amp;lang=en_US&amp;offset=0&amp;query=any,contains,991004304659702656","Catalog Record")</f>
        <v>Catalog Record</v>
      </c>
      <c r="AV734" s="5" t="str">
        <f>HYPERLINK("http://www.worldcat.org/oclc/53231953","WorldCat Record")</f>
        <v>WorldCat Record</v>
      </c>
      <c r="AW734" s="2" t="s">
        <v>9187</v>
      </c>
      <c r="AX734" s="2" t="s">
        <v>9188</v>
      </c>
      <c r="AY734" s="2" t="s">
        <v>9189</v>
      </c>
      <c r="AZ734" s="2" t="s">
        <v>9189</v>
      </c>
      <c r="BA734" s="2" t="s">
        <v>9190</v>
      </c>
      <c r="BB734" s="2" t="s">
        <v>20</v>
      </c>
      <c r="BD734" s="2" t="s">
        <v>9191</v>
      </c>
      <c r="BE734" s="2" t="s">
        <v>9192</v>
      </c>
      <c r="BF734" s="2" t="s">
        <v>9193</v>
      </c>
    </row>
    <row r="735" spans="1:58" ht="39.75" customHeight="1" x14ac:dyDescent="0.25">
      <c r="A735" s="7" t="s">
        <v>5</v>
      </c>
      <c r="B735" s="1" t="s">
        <v>0</v>
      </c>
      <c r="C735" s="1" t="s">
        <v>1</v>
      </c>
      <c r="D735" s="1" t="s">
        <v>9194</v>
      </c>
      <c r="E735" s="1" t="s">
        <v>9195</v>
      </c>
      <c r="F735" s="1" t="s">
        <v>9196</v>
      </c>
      <c r="H735" s="2" t="s">
        <v>5</v>
      </c>
      <c r="I735" s="2" t="s">
        <v>6</v>
      </c>
      <c r="J735" s="2" t="s">
        <v>5</v>
      </c>
      <c r="K735" s="2" t="s">
        <v>5</v>
      </c>
      <c r="L735" s="2" t="s">
        <v>7</v>
      </c>
      <c r="M735" s="1" t="s">
        <v>9197</v>
      </c>
      <c r="N735" s="1" t="s">
        <v>9198</v>
      </c>
      <c r="O735" s="2" t="s">
        <v>3817</v>
      </c>
      <c r="P735" s="1" t="s">
        <v>2170</v>
      </c>
      <c r="Q735" s="2" t="s">
        <v>60</v>
      </c>
      <c r="R735" s="2" t="s">
        <v>323</v>
      </c>
      <c r="T735" s="2" t="s">
        <v>13</v>
      </c>
      <c r="U735" s="3">
        <v>1</v>
      </c>
      <c r="V735" s="3">
        <v>1</v>
      </c>
      <c r="W735" s="4" t="s">
        <v>9199</v>
      </c>
      <c r="X735" s="4" t="s">
        <v>9199</v>
      </c>
      <c r="Y735" s="4" t="s">
        <v>9199</v>
      </c>
      <c r="Z735" s="4" t="s">
        <v>9199</v>
      </c>
      <c r="AA735" s="3">
        <v>301</v>
      </c>
      <c r="AB735" s="3">
        <v>279</v>
      </c>
      <c r="AC735" s="3">
        <v>281</v>
      </c>
      <c r="AD735" s="3">
        <v>4</v>
      </c>
      <c r="AE735" s="9">
        <v>4</v>
      </c>
      <c r="AF735" s="9">
        <v>20</v>
      </c>
      <c r="AG735" s="9">
        <v>20</v>
      </c>
      <c r="AH735" s="3">
        <v>6</v>
      </c>
      <c r="AI735" s="3">
        <v>6</v>
      </c>
      <c r="AJ735" s="3">
        <v>5</v>
      </c>
      <c r="AK735" s="3">
        <v>5</v>
      </c>
      <c r="AL735" s="3">
        <v>10</v>
      </c>
      <c r="AM735" s="3">
        <v>10</v>
      </c>
      <c r="AN735" s="3">
        <v>3</v>
      </c>
      <c r="AO735" s="3">
        <v>3</v>
      </c>
      <c r="AP735" s="3">
        <v>0</v>
      </c>
      <c r="AQ735" s="3">
        <v>0</v>
      </c>
      <c r="AR735" s="2" t="s">
        <v>5</v>
      </c>
      <c r="AS735" s="2" t="s">
        <v>5</v>
      </c>
      <c r="AU735" s="5" t="str">
        <f>HYPERLINK("https://creighton-primo.hosted.exlibrisgroup.com/primo-explore/search?tab=default_tab&amp;search_scope=EVERYTHING&amp;vid=01CRU&amp;lang=en_US&amp;offset=0&amp;query=any,contains,991004505789702656","Catalog Record")</f>
        <v>Catalog Record</v>
      </c>
      <c r="AV735" s="5" t="str">
        <f>HYPERLINK("http://www.worldcat.org/oclc/34475472","WorldCat Record")</f>
        <v>WorldCat Record</v>
      </c>
      <c r="AW735" s="2" t="s">
        <v>9200</v>
      </c>
      <c r="AX735" s="2" t="s">
        <v>9201</v>
      </c>
      <c r="AY735" s="2" t="s">
        <v>9202</v>
      </c>
      <c r="AZ735" s="2" t="s">
        <v>9202</v>
      </c>
      <c r="BA735" s="2" t="s">
        <v>9203</v>
      </c>
      <c r="BB735" s="2" t="s">
        <v>20</v>
      </c>
      <c r="BD735" s="2" t="s">
        <v>9204</v>
      </c>
      <c r="BE735" s="2" t="s">
        <v>9205</v>
      </c>
      <c r="BF735" s="2" t="s">
        <v>9206</v>
      </c>
    </row>
    <row r="736" spans="1:58" ht="39.75" customHeight="1" x14ac:dyDescent="0.25">
      <c r="A736" s="7" t="s">
        <v>5</v>
      </c>
      <c r="B736" s="1" t="s">
        <v>0</v>
      </c>
      <c r="C736" s="1" t="s">
        <v>1</v>
      </c>
      <c r="D736" s="1" t="s">
        <v>9207</v>
      </c>
      <c r="E736" s="1" t="s">
        <v>9208</v>
      </c>
      <c r="F736" s="1" t="s">
        <v>9209</v>
      </c>
      <c r="H736" s="2" t="s">
        <v>5</v>
      </c>
      <c r="I736" s="2" t="s">
        <v>6</v>
      </c>
      <c r="J736" s="2" t="s">
        <v>5</v>
      </c>
      <c r="K736" s="2" t="s">
        <v>5</v>
      </c>
      <c r="L736" s="2" t="s">
        <v>7</v>
      </c>
      <c r="M736" s="1" t="s">
        <v>9210</v>
      </c>
      <c r="N736" s="1" t="s">
        <v>9211</v>
      </c>
      <c r="O736" s="2" t="s">
        <v>1273</v>
      </c>
      <c r="P736" s="1" t="s">
        <v>2908</v>
      </c>
      <c r="Q736" s="2" t="s">
        <v>1151</v>
      </c>
      <c r="R736" s="2" t="s">
        <v>6994</v>
      </c>
      <c r="T736" s="2" t="s">
        <v>13</v>
      </c>
      <c r="U736" s="3">
        <v>1</v>
      </c>
      <c r="V736" s="3">
        <v>1</v>
      </c>
      <c r="W736" s="4" t="s">
        <v>8667</v>
      </c>
      <c r="X736" s="4" t="s">
        <v>8667</v>
      </c>
      <c r="Y736" s="4" t="s">
        <v>8667</v>
      </c>
      <c r="Z736" s="4" t="s">
        <v>8667</v>
      </c>
      <c r="AA736" s="3">
        <v>13</v>
      </c>
      <c r="AB736" s="3">
        <v>10</v>
      </c>
      <c r="AC736" s="3">
        <v>23</v>
      </c>
      <c r="AD736" s="3">
        <v>1</v>
      </c>
      <c r="AE736" s="9">
        <v>1</v>
      </c>
      <c r="AF736" s="9">
        <v>0</v>
      </c>
      <c r="AG736" s="9">
        <v>0</v>
      </c>
      <c r="AH736" s="3">
        <v>0</v>
      </c>
      <c r="AI736" s="3">
        <v>0</v>
      </c>
      <c r="AJ736" s="3">
        <v>0</v>
      </c>
      <c r="AK736" s="3">
        <v>0</v>
      </c>
      <c r="AL736" s="3">
        <v>0</v>
      </c>
      <c r="AM736" s="3">
        <v>0</v>
      </c>
      <c r="AN736" s="3">
        <v>0</v>
      </c>
      <c r="AO736" s="3">
        <v>0</v>
      </c>
      <c r="AP736" s="3">
        <v>0</v>
      </c>
      <c r="AQ736" s="3">
        <v>0</v>
      </c>
      <c r="AR736" s="2" t="s">
        <v>5</v>
      </c>
      <c r="AS736" s="2" t="s">
        <v>5</v>
      </c>
      <c r="AU736" s="5" t="str">
        <f>HYPERLINK("https://creighton-primo.hosted.exlibrisgroup.com/primo-explore/search?tab=default_tab&amp;search_scope=EVERYTHING&amp;vid=01CRU&amp;lang=en_US&amp;offset=0&amp;query=any,contains,991004339529702656","Catalog Record")</f>
        <v>Catalog Record</v>
      </c>
      <c r="AV736" s="5" t="str">
        <f>HYPERLINK("http://www.worldcat.org/oclc/17873060","WorldCat Record")</f>
        <v>WorldCat Record</v>
      </c>
      <c r="AW736" s="2" t="s">
        <v>9212</v>
      </c>
      <c r="AX736" s="2" t="s">
        <v>9213</v>
      </c>
      <c r="AY736" s="2" t="s">
        <v>9214</v>
      </c>
      <c r="AZ736" s="2" t="s">
        <v>9214</v>
      </c>
      <c r="BA736" s="2" t="s">
        <v>9215</v>
      </c>
      <c r="BB736" s="2" t="s">
        <v>20</v>
      </c>
      <c r="BE736" s="2" t="s">
        <v>9216</v>
      </c>
      <c r="BF736" s="2" t="s">
        <v>9217</v>
      </c>
    </row>
    <row r="737" spans="1:58" ht="39.75" customHeight="1" x14ac:dyDescent="0.25">
      <c r="A737" s="7" t="s">
        <v>5</v>
      </c>
      <c r="B737" s="1" t="s">
        <v>0</v>
      </c>
      <c r="C737" s="1" t="s">
        <v>1</v>
      </c>
      <c r="D737" s="1" t="s">
        <v>9218</v>
      </c>
      <c r="E737" s="1" t="s">
        <v>9219</v>
      </c>
      <c r="F737" s="1" t="s">
        <v>9220</v>
      </c>
      <c r="H737" s="2" t="s">
        <v>5</v>
      </c>
      <c r="I737" s="2" t="s">
        <v>6</v>
      </c>
      <c r="J737" s="2" t="s">
        <v>5</v>
      </c>
      <c r="K737" s="2" t="s">
        <v>5</v>
      </c>
      <c r="L737" s="2" t="s">
        <v>7</v>
      </c>
      <c r="M737" s="1" t="s">
        <v>9221</v>
      </c>
      <c r="N737" s="1" t="s">
        <v>9222</v>
      </c>
      <c r="O737" s="2" t="s">
        <v>3250</v>
      </c>
      <c r="Q737" s="2" t="s">
        <v>60</v>
      </c>
      <c r="R737" s="2" t="s">
        <v>422</v>
      </c>
      <c r="S737" s="1" t="s">
        <v>9223</v>
      </c>
      <c r="T737" s="2" t="s">
        <v>13</v>
      </c>
      <c r="U737" s="3">
        <v>1</v>
      </c>
      <c r="V737" s="3">
        <v>1</v>
      </c>
      <c r="W737" s="4" t="s">
        <v>9224</v>
      </c>
      <c r="X737" s="4" t="s">
        <v>9224</v>
      </c>
      <c r="Y737" s="4" t="s">
        <v>9224</v>
      </c>
      <c r="Z737" s="4" t="s">
        <v>9224</v>
      </c>
      <c r="AA737" s="3">
        <v>195</v>
      </c>
      <c r="AB737" s="3">
        <v>178</v>
      </c>
      <c r="AC737" s="3">
        <v>180</v>
      </c>
      <c r="AD737" s="3">
        <v>2</v>
      </c>
      <c r="AE737" s="9">
        <v>2</v>
      </c>
      <c r="AF737" s="9">
        <v>14</v>
      </c>
      <c r="AG737" s="9">
        <v>14</v>
      </c>
      <c r="AH737" s="3">
        <v>4</v>
      </c>
      <c r="AI737" s="3">
        <v>4</v>
      </c>
      <c r="AJ737" s="3">
        <v>4</v>
      </c>
      <c r="AK737" s="3">
        <v>4</v>
      </c>
      <c r="AL737" s="3">
        <v>10</v>
      </c>
      <c r="AM737" s="3">
        <v>10</v>
      </c>
      <c r="AN737" s="3">
        <v>1</v>
      </c>
      <c r="AO737" s="3">
        <v>1</v>
      </c>
      <c r="AP737" s="3">
        <v>0</v>
      </c>
      <c r="AQ737" s="3">
        <v>0</v>
      </c>
      <c r="AR737" s="2" t="s">
        <v>5</v>
      </c>
      <c r="AS737" s="2" t="s">
        <v>46</v>
      </c>
      <c r="AT737" s="5" t="str">
        <f>HYPERLINK("http://catalog.hathitrust.org/Record/003898262","HathiTrust Record")</f>
        <v>HathiTrust Record</v>
      </c>
      <c r="AU737" s="5" t="str">
        <f>HYPERLINK("https://creighton-primo.hosted.exlibrisgroup.com/primo-explore/search?tab=default_tab&amp;search_scope=EVERYTHING&amp;vid=01CRU&amp;lang=en_US&amp;offset=0&amp;query=any,contains,991004301739702656","Catalog Record")</f>
        <v>Catalog Record</v>
      </c>
      <c r="AV737" s="5" t="str">
        <f>HYPERLINK("http://www.worldcat.org/oclc/53052673","WorldCat Record")</f>
        <v>WorldCat Record</v>
      </c>
      <c r="AW737" s="2" t="s">
        <v>9225</v>
      </c>
      <c r="AX737" s="2" t="s">
        <v>9226</v>
      </c>
      <c r="AY737" s="2" t="s">
        <v>9227</v>
      </c>
      <c r="AZ737" s="2" t="s">
        <v>9227</v>
      </c>
      <c r="BA737" s="2" t="s">
        <v>9228</v>
      </c>
      <c r="BB737" s="2" t="s">
        <v>20</v>
      </c>
      <c r="BD737" s="2" t="s">
        <v>9229</v>
      </c>
      <c r="BE737" s="2" t="s">
        <v>9230</v>
      </c>
      <c r="BF737" s="2" t="s">
        <v>9231</v>
      </c>
    </row>
    <row r="738" spans="1:58" ht="39.75" customHeight="1" x14ac:dyDescent="0.25">
      <c r="A738" s="7" t="s">
        <v>5</v>
      </c>
      <c r="B738" s="1" t="s">
        <v>0</v>
      </c>
      <c r="C738" s="1" t="s">
        <v>1</v>
      </c>
      <c r="D738" s="1" t="s">
        <v>9232</v>
      </c>
      <c r="E738" s="1" t="s">
        <v>9233</v>
      </c>
      <c r="F738" s="1" t="s">
        <v>9234</v>
      </c>
      <c r="H738" s="2" t="s">
        <v>5</v>
      </c>
      <c r="I738" s="2" t="s">
        <v>6</v>
      </c>
      <c r="J738" s="2" t="s">
        <v>5</v>
      </c>
      <c r="K738" s="2" t="s">
        <v>5</v>
      </c>
      <c r="L738" s="2" t="s">
        <v>7</v>
      </c>
      <c r="M738" s="1" t="s">
        <v>9235</v>
      </c>
      <c r="N738" s="1" t="s">
        <v>9236</v>
      </c>
      <c r="O738" s="2" t="s">
        <v>569</v>
      </c>
      <c r="P738" s="1" t="s">
        <v>6210</v>
      </c>
      <c r="Q738" s="2" t="s">
        <v>1151</v>
      </c>
      <c r="R738" s="2" t="s">
        <v>1152</v>
      </c>
      <c r="T738" s="2" t="s">
        <v>13</v>
      </c>
      <c r="U738" s="3">
        <v>1</v>
      </c>
      <c r="V738" s="3">
        <v>1</v>
      </c>
      <c r="W738" s="4" t="s">
        <v>6417</v>
      </c>
      <c r="X738" s="4" t="s">
        <v>6417</v>
      </c>
      <c r="Y738" s="4" t="s">
        <v>6417</v>
      </c>
      <c r="Z738" s="4" t="s">
        <v>6417</v>
      </c>
      <c r="AA738" s="3">
        <v>25</v>
      </c>
      <c r="AB738" s="3">
        <v>20</v>
      </c>
      <c r="AC738" s="3">
        <v>31</v>
      </c>
      <c r="AD738" s="3">
        <v>1</v>
      </c>
      <c r="AE738" s="9">
        <v>1</v>
      </c>
      <c r="AF738" s="9">
        <v>0</v>
      </c>
      <c r="AG738" s="9">
        <v>0</v>
      </c>
      <c r="AH738" s="3">
        <v>0</v>
      </c>
      <c r="AI738" s="3">
        <v>0</v>
      </c>
      <c r="AJ738" s="3">
        <v>0</v>
      </c>
      <c r="AK738" s="3">
        <v>0</v>
      </c>
      <c r="AL738" s="3">
        <v>0</v>
      </c>
      <c r="AM738" s="3">
        <v>0</v>
      </c>
      <c r="AN738" s="3">
        <v>0</v>
      </c>
      <c r="AO738" s="3">
        <v>0</v>
      </c>
      <c r="AP738" s="3">
        <v>0</v>
      </c>
      <c r="AQ738" s="3">
        <v>0</v>
      </c>
      <c r="AR738" s="2" t="s">
        <v>5</v>
      </c>
      <c r="AS738" s="2" t="s">
        <v>5</v>
      </c>
      <c r="AU738" s="5" t="str">
        <f>HYPERLINK("https://creighton-primo.hosted.exlibrisgroup.com/primo-explore/search?tab=default_tab&amp;search_scope=EVERYTHING&amp;vid=01CRU&amp;lang=en_US&amp;offset=0&amp;query=any,contains,991003252809702656","Catalog Record")</f>
        <v>Catalog Record</v>
      </c>
      <c r="AV738" s="5" t="str">
        <f>HYPERLINK("http://www.worldcat.org/oclc/29705058","WorldCat Record")</f>
        <v>WorldCat Record</v>
      </c>
      <c r="AW738" s="2" t="s">
        <v>9237</v>
      </c>
      <c r="AX738" s="2" t="s">
        <v>9238</v>
      </c>
      <c r="AY738" s="2" t="s">
        <v>9239</v>
      </c>
      <c r="AZ738" s="2" t="s">
        <v>9239</v>
      </c>
      <c r="BA738" s="2" t="s">
        <v>9240</v>
      </c>
      <c r="BB738" s="2" t="s">
        <v>20</v>
      </c>
      <c r="BD738" s="2" t="s">
        <v>9241</v>
      </c>
      <c r="BE738" s="2" t="s">
        <v>9242</v>
      </c>
      <c r="BF738" s="2" t="s">
        <v>9243</v>
      </c>
    </row>
    <row r="739" spans="1:58" ht="39.75" customHeight="1" x14ac:dyDescent="0.25">
      <c r="A739" s="7" t="s">
        <v>5</v>
      </c>
      <c r="B739" s="1" t="s">
        <v>0</v>
      </c>
      <c r="C739" s="1" t="s">
        <v>1</v>
      </c>
      <c r="D739" s="1" t="s">
        <v>9244</v>
      </c>
      <c r="E739" s="1" t="s">
        <v>9245</v>
      </c>
      <c r="F739" s="1" t="s">
        <v>9246</v>
      </c>
      <c r="H739" s="2" t="s">
        <v>5</v>
      </c>
      <c r="I739" s="2" t="s">
        <v>6</v>
      </c>
      <c r="J739" s="2" t="s">
        <v>5</v>
      </c>
      <c r="K739" s="2" t="s">
        <v>5</v>
      </c>
      <c r="L739" s="2" t="s">
        <v>7</v>
      </c>
      <c r="M739" s="1" t="s">
        <v>9247</v>
      </c>
      <c r="N739" s="1" t="s">
        <v>9248</v>
      </c>
      <c r="O739" s="2" t="s">
        <v>27</v>
      </c>
      <c r="Q739" s="2" t="s">
        <v>60</v>
      </c>
      <c r="R739" s="2" t="s">
        <v>61</v>
      </c>
      <c r="T739" s="2" t="s">
        <v>13</v>
      </c>
      <c r="U739" s="3">
        <v>2</v>
      </c>
      <c r="V739" s="3">
        <v>2</v>
      </c>
      <c r="W739" s="4" t="s">
        <v>9249</v>
      </c>
      <c r="X739" s="4" t="s">
        <v>9249</v>
      </c>
      <c r="Y739" s="4" t="s">
        <v>9250</v>
      </c>
      <c r="Z739" s="4" t="s">
        <v>9250</v>
      </c>
      <c r="AA739" s="3">
        <v>258</v>
      </c>
      <c r="AB739" s="3">
        <v>239</v>
      </c>
      <c r="AC739" s="3">
        <v>244</v>
      </c>
      <c r="AD739" s="3">
        <v>2</v>
      </c>
      <c r="AE739" s="9">
        <v>2</v>
      </c>
      <c r="AF739" s="9">
        <v>10</v>
      </c>
      <c r="AG739" s="9">
        <v>10</v>
      </c>
      <c r="AH739" s="3">
        <v>1</v>
      </c>
      <c r="AI739" s="3">
        <v>1</v>
      </c>
      <c r="AJ739" s="3">
        <v>3</v>
      </c>
      <c r="AK739" s="3">
        <v>3</v>
      </c>
      <c r="AL739" s="3">
        <v>7</v>
      </c>
      <c r="AM739" s="3">
        <v>7</v>
      </c>
      <c r="AN739" s="3">
        <v>1</v>
      </c>
      <c r="AO739" s="3">
        <v>1</v>
      </c>
      <c r="AP739" s="3">
        <v>0</v>
      </c>
      <c r="AQ739" s="3">
        <v>0</v>
      </c>
      <c r="AR739" s="2" t="s">
        <v>5</v>
      </c>
      <c r="AS739" s="2" t="s">
        <v>5</v>
      </c>
      <c r="AU739" s="5" t="str">
        <f>HYPERLINK("https://creighton-primo.hosted.exlibrisgroup.com/primo-explore/search?tab=default_tab&amp;search_scope=EVERYTHING&amp;vid=01CRU&amp;lang=en_US&amp;offset=0&amp;query=any,contains,991003773169702656","Catalog Record")</f>
        <v>Catalog Record</v>
      </c>
      <c r="AV739" s="5" t="str">
        <f>HYPERLINK("http://www.worldcat.org/oclc/25093247","WorldCat Record")</f>
        <v>WorldCat Record</v>
      </c>
      <c r="AW739" s="2" t="s">
        <v>9251</v>
      </c>
      <c r="AX739" s="2" t="s">
        <v>9252</v>
      </c>
      <c r="AY739" s="2" t="s">
        <v>9253</v>
      </c>
      <c r="AZ739" s="2" t="s">
        <v>9253</v>
      </c>
      <c r="BA739" s="2" t="s">
        <v>9254</v>
      </c>
      <c r="BB739" s="2" t="s">
        <v>20</v>
      </c>
      <c r="BD739" s="2" t="s">
        <v>9255</v>
      </c>
      <c r="BE739" s="2" t="s">
        <v>9256</v>
      </c>
      <c r="BF739" s="2" t="s">
        <v>9257</v>
      </c>
    </row>
    <row r="740" spans="1:58" ht="39.75" customHeight="1" x14ac:dyDescent="0.25">
      <c r="A740" s="7" t="s">
        <v>5</v>
      </c>
      <c r="B740" s="1" t="s">
        <v>0</v>
      </c>
      <c r="C740" s="1" t="s">
        <v>1</v>
      </c>
      <c r="D740" s="1" t="s">
        <v>9258</v>
      </c>
      <c r="E740" s="1" t="s">
        <v>9259</v>
      </c>
      <c r="F740" s="1" t="s">
        <v>9260</v>
      </c>
      <c r="H740" s="2" t="s">
        <v>5</v>
      </c>
      <c r="I740" s="2" t="s">
        <v>6</v>
      </c>
      <c r="J740" s="2" t="s">
        <v>5</v>
      </c>
      <c r="K740" s="2" t="s">
        <v>5</v>
      </c>
      <c r="L740" s="2" t="s">
        <v>7</v>
      </c>
      <c r="M740" s="1" t="s">
        <v>9261</v>
      </c>
      <c r="N740" s="1" t="s">
        <v>260</v>
      </c>
      <c r="O740" s="2" t="s">
        <v>261</v>
      </c>
      <c r="Q740" s="2" t="s">
        <v>60</v>
      </c>
      <c r="R740" s="2" t="s">
        <v>262</v>
      </c>
      <c r="T740" s="2" t="s">
        <v>13</v>
      </c>
      <c r="U740" s="3">
        <v>2</v>
      </c>
      <c r="V740" s="3">
        <v>2</v>
      </c>
      <c r="W740" s="4" t="s">
        <v>2682</v>
      </c>
      <c r="X740" s="4" t="s">
        <v>2682</v>
      </c>
      <c r="Y740" s="4" t="s">
        <v>180</v>
      </c>
      <c r="Z740" s="4" t="s">
        <v>180</v>
      </c>
      <c r="AA740" s="3">
        <v>191</v>
      </c>
      <c r="AB740" s="3">
        <v>135</v>
      </c>
      <c r="AC740" s="3">
        <v>136</v>
      </c>
      <c r="AD740" s="3">
        <v>3</v>
      </c>
      <c r="AE740" s="9">
        <v>3</v>
      </c>
      <c r="AF740" s="9">
        <v>7</v>
      </c>
      <c r="AG740" s="9">
        <v>7</v>
      </c>
      <c r="AH740" s="3">
        <v>2</v>
      </c>
      <c r="AI740" s="3">
        <v>2</v>
      </c>
      <c r="AJ740" s="3">
        <v>2</v>
      </c>
      <c r="AK740" s="3">
        <v>2</v>
      </c>
      <c r="AL740" s="3">
        <v>4</v>
      </c>
      <c r="AM740" s="3">
        <v>4</v>
      </c>
      <c r="AN740" s="3">
        <v>2</v>
      </c>
      <c r="AO740" s="3">
        <v>2</v>
      </c>
      <c r="AP740" s="3">
        <v>0</v>
      </c>
      <c r="AQ740" s="3">
        <v>0</v>
      </c>
      <c r="AR740" s="2" t="s">
        <v>5</v>
      </c>
      <c r="AS740" s="2" t="s">
        <v>46</v>
      </c>
      <c r="AT740" s="5" t="str">
        <f>HYPERLINK("http://catalog.hathitrust.org/Record/007285587","HathiTrust Record")</f>
        <v>HathiTrust Record</v>
      </c>
      <c r="AU740" s="5" t="str">
        <f>HYPERLINK("https://creighton-primo.hosted.exlibrisgroup.com/primo-explore/search?tab=default_tab&amp;search_scope=EVERYTHING&amp;vid=01CRU&amp;lang=en_US&amp;offset=0&amp;query=any,contains,991000050639702656","Catalog Record")</f>
        <v>Catalog Record</v>
      </c>
      <c r="AV740" s="5" t="str">
        <f>HYPERLINK("http://www.worldcat.org/oclc/8688137","WorldCat Record")</f>
        <v>WorldCat Record</v>
      </c>
      <c r="AW740" s="2" t="s">
        <v>9262</v>
      </c>
      <c r="AX740" s="2" t="s">
        <v>9263</v>
      </c>
      <c r="AY740" s="2" t="s">
        <v>9264</v>
      </c>
      <c r="AZ740" s="2" t="s">
        <v>9264</v>
      </c>
      <c r="BA740" s="2" t="s">
        <v>9265</v>
      </c>
      <c r="BB740" s="2" t="s">
        <v>20</v>
      </c>
      <c r="BD740" s="2" t="s">
        <v>9266</v>
      </c>
      <c r="BE740" s="2" t="s">
        <v>9267</v>
      </c>
      <c r="BF740" s="2" t="s">
        <v>9268</v>
      </c>
    </row>
    <row r="741" spans="1:58" ht="39.75" customHeight="1" x14ac:dyDescent="0.25">
      <c r="A741" s="7" t="s">
        <v>5</v>
      </c>
      <c r="B741" s="1" t="s">
        <v>0</v>
      </c>
      <c r="C741" s="1" t="s">
        <v>1</v>
      </c>
      <c r="D741" s="1" t="s">
        <v>9269</v>
      </c>
      <c r="E741" s="1" t="s">
        <v>9270</v>
      </c>
      <c r="F741" s="1" t="s">
        <v>9271</v>
      </c>
      <c r="H741" s="2" t="s">
        <v>5</v>
      </c>
      <c r="I741" s="2" t="s">
        <v>6</v>
      </c>
      <c r="J741" s="2" t="s">
        <v>5</v>
      </c>
      <c r="K741" s="2" t="s">
        <v>5</v>
      </c>
      <c r="L741" s="2" t="s">
        <v>7</v>
      </c>
      <c r="M741" s="1" t="s">
        <v>4384</v>
      </c>
      <c r="N741" s="1" t="s">
        <v>9272</v>
      </c>
      <c r="O741" s="2" t="s">
        <v>192</v>
      </c>
      <c r="Q741" s="2" t="s">
        <v>60</v>
      </c>
      <c r="R741" s="2" t="s">
        <v>871</v>
      </c>
      <c r="T741" s="2" t="s">
        <v>13</v>
      </c>
      <c r="U741" s="3">
        <v>2</v>
      </c>
      <c r="V741" s="3">
        <v>2</v>
      </c>
      <c r="W741" s="4" t="s">
        <v>2682</v>
      </c>
      <c r="X741" s="4" t="s">
        <v>2682</v>
      </c>
      <c r="Y741" s="4" t="s">
        <v>180</v>
      </c>
      <c r="Z741" s="4" t="s">
        <v>180</v>
      </c>
      <c r="AA741" s="3">
        <v>880</v>
      </c>
      <c r="AB741" s="3">
        <v>786</v>
      </c>
      <c r="AC741" s="3">
        <v>796</v>
      </c>
      <c r="AD741" s="3">
        <v>7</v>
      </c>
      <c r="AE741" s="9">
        <v>7</v>
      </c>
      <c r="AF741" s="9">
        <v>41</v>
      </c>
      <c r="AG741" s="9">
        <v>41</v>
      </c>
      <c r="AH741" s="3">
        <v>16</v>
      </c>
      <c r="AI741" s="3">
        <v>16</v>
      </c>
      <c r="AJ741" s="3">
        <v>6</v>
      </c>
      <c r="AK741" s="3">
        <v>6</v>
      </c>
      <c r="AL741" s="3">
        <v>19</v>
      </c>
      <c r="AM741" s="3">
        <v>19</v>
      </c>
      <c r="AN741" s="3">
        <v>6</v>
      </c>
      <c r="AO741" s="3">
        <v>6</v>
      </c>
      <c r="AP741" s="3">
        <v>0</v>
      </c>
      <c r="AQ741" s="3">
        <v>0</v>
      </c>
      <c r="AR741" s="2" t="s">
        <v>5</v>
      </c>
      <c r="AS741" s="2" t="s">
        <v>46</v>
      </c>
      <c r="AT741" s="5" t="str">
        <f>HYPERLINK("http://catalog.hathitrust.org/Record/001014567","HathiTrust Record")</f>
        <v>HathiTrust Record</v>
      </c>
      <c r="AU741" s="5" t="str">
        <f>HYPERLINK("https://creighton-primo.hosted.exlibrisgroup.com/primo-explore/search?tab=default_tab&amp;search_scope=EVERYTHING&amp;vid=01CRU&amp;lang=en_US&amp;offset=0&amp;query=any,contains,991003827599702656","Catalog Record")</f>
        <v>Catalog Record</v>
      </c>
      <c r="AV741" s="5" t="str">
        <f>HYPERLINK("http://www.worldcat.org/oclc/1580991","WorldCat Record")</f>
        <v>WorldCat Record</v>
      </c>
      <c r="AW741" s="2" t="s">
        <v>9273</v>
      </c>
      <c r="AX741" s="2" t="s">
        <v>9274</v>
      </c>
      <c r="AY741" s="2" t="s">
        <v>9275</v>
      </c>
      <c r="AZ741" s="2" t="s">
        <v>9275</v>
      </c>
      <c r="BA741" s="2" t="s">
        <v>9276</v>
      </c>
      <c r="BB741" s="2" t="s">
        <v>20</v>
      </c>
      <c r="BE741" s="2" t="s">
        <v>9277</v>
      </c>
      <c r="BF741" s="2" t="s">
        <v>9278</v>
      </c>
    </row>
    <row r="742" spans="1:58" ht="39.75" customHeight="1" x14ac:dyDescent="0.25">
      <c r="A742" s="7" t="s">
        <v>5</v>
      </c>
      <c r="B742" s="1" t="s">
        <v>0</v>
      </c>
      <c r="C742" s="1" t="s">
        <v>1</v>
      </c>
      <c r="D742" s="1" t="s">
        <v>9279</v>
      </c>
      <c r="E742" s="1" t="s">
        <v>9280</v>
      </c>
      <c r="F742" s="1" t="s">
        <v>9281</v>
      </c>
      <c r="H742" s="2" t="s">
        <v>5</v>
      </c>
      <c r="I742" s="2" t="s">
        <v>6</v>
      </c>
      <c r="J742" s="2" t="s">
        <v>5</v>
      </c>
      <c r="K742" s="2" t="s">
        <v>5</v>
      </c>
      <c r="L742" s="2" t="s">
        <v>7</v>
      </c>
      <c r="M742" s="1" t="s">
        <v>2529</v>
      </c>
      <c r="N742" s="1" t="s">
        <v>9282</v>
      </c>
      <c r="O742" s="2" t="s">
        <v>1273</v>
      </c>
      <c r="Q742" s="2" t="s">
        <v>60</v>
      </c>
      <c r="R742" s="2" t="s">
        <v>422</v>
      </c>
      <c r="T742" s="2" t="s">
        <v>13</v>
      </c>
      <c r="U742" s="3">
        <v>4</v>
      </c>
      <c r="V742" s="3">
        <v>4</v>
      </c>
      <c r="W742" s="4" t="s">
        <v>9283</v>
      </c>
      <c r="X742" s="4" t="s">
        <v>9283</v>
      </c>
      <c r="Y742" s="4" t="s">
        <v>180</v>
      </c>
      <c r="Z742" s="4" t="s">
        <v>180</v>
      </c>
      <c r="AA742" s="3">
        <v>354</v>
      </c>
      <c r="AB742" s="3">
        <v>327</v>
      </c>
      <c r="AC742" s="3">
        <v>406</v>
      </c>
      <c r="AD742" s="3">
        <v>3</v>
      </c>
      <c r="AE742" s="9">
        <v>4</v>
      </c>
      <c r="AF742" s="9">
        <v>20</v>
      </c>
      <c r="AG742" s="9">
        <v>22</v>
      </c>
      <c r="AH742" s="3">
        <v>11</v>
      </c>
      <c r="AI742" s="3">
        <v>11</v>
      </c>
      <c r="AJ742" s="3">
        <v>6</v>
      </c>
      <c r="AK742" s="3">
        <v>6</v>
      </c>
      <c r="AL742" s="3">
        <v>11</v>
      </c>
      <c r="AM742" s="3">
        <v>12</v>
      </c>
      <c r="AN742" s="3">
        <v>2</v>
      </c>
      <c r="AO742" s="3">
        <v>3</v>
      </c>
      <c r="AP742" s="3">
        <v>0</v>
      </c>
      <c r="AQ742" s="3">
        <v>0</v>
      </c>
      <c r="AR742" s="2" t="s">
        <v>5</v>
      </c>
      <c r="AS742" s="2" t="s">
        <v>46</v>
      </c>
      <c r="AT742" s="5" t="str">
        <f>HYPERLINK("http://catalog.hathitrust.org/Record/000815116","HathiTrust Record")</f>
        <v>HathiTrust Record</v>
      </c>
      <c r="AU742" s="5" t="str">
        <f>HYPERLINK("https://creighton-primo.hosted.exlibrisgroup.com/primo-explore/search?tab=default_tab&amp;search_scope=EVERYTHING&amp;vid=01CRU&amp;lang=en_US&amp;offset=0&amp;query=any,contains,991000818279702656","Catalog Record")</f>
        <v>Catalog Record</v>
      </c>
      <c r="AV742" s="5" t="str">
        <f>HYPERLINK("http://www.worldcat.org/oclc/13361099","WorldCat Record")</f>
        <v>WorldCat Record</v>
      </c>
      <c r="AW742" s="2" t="s">
        <v>9284</v>
      </c>
      <c r="AX742" s="2" t="s">
        <v>9285</v>
      </c>
      <c r="AY742" s="2" t="s">
        <v>9286</v>
      </c>
      <c r="AZ742" s="2" t="s">
        <v>9286</v>
      </c>
      <c r="BA742" s="2" t="s">
        <v>9287</v>
      </c>
      <c r="BB742" s="2" t="s">
        <v>20</v>
      </c>
      <c r="BD742" s="2" t="s">
        <v>9288</v>
      </c>
      <c r="BE742" s="2" t="s">
        <v>9289</v>
      </c>
      <c r="BF742" s="2" t="s">
        <v>9290</v>
      </c>
    </row>
    <row r="743" spans="1:58" ht="39.75" customHeight="1" x14ac:dyDescent="0.25">
      <c r="A743" s="7" t="s">
        <v>5</v>
      </c>
      <c r="B743" s="1" t="s">
        <v>0</v>
      </c>
      <c r="C743" s="1" t="s">
        <v>1</v>
      </c>
      <c r="D743" s="1" t="s">
        <v>9291</v>
      </c>
      <c r="E743" s="1" t="s">
        <v>9292</v>
      </c>
      <c r="F743" s="1" t="s">
        <v>9293</v>
      </c>
      <c r="H743" s="2" t="s">
        <v>5</v>
      </c>
      <c r="I743" s="2" t="s">
        <v>6</v>
      </c>
      <c r="J743" s="2" t="s">
        <v>5</v>
      </c>
      <c r="K743" s="2" t="s">
        <v>5</v>
      </c>
      <c r="L743" s="2" t="s">
        <v>7</v>
      </c>
      <c r="M743" s="1" t="s">
        <v>9294</v>
      </c>
      <c r="N743" s="1" t="s">
        <v>9295</v>
      </c>
      <c r="O743" s="2" t="s">
        <v>291</v>
      </c>
      <c r="Q743" s="2" t="s">
        <v>1151</v>
      </c>
      <c r="R743" s="2" t="s">
        <v>4146</v>
      </c>
      <c r="S743" s="1" t="s">
        <v>9296</v>
      </c>
      <c r="T743" s="2" t="s">
        <v>13</v>
      </c>
      <c r="U743" s="3">
        <v>1</v>
      </c>
      <c r="V743" s="3">
        <v>1</v>
      </c>
      <c r="W743" s="4" t="s">
        <v>9131</v>
      </c>
      <c r="X743" s="4" t="s">
        <v>9131</v>
      </c>
      <c r="Y743" s="4" t="s">
        <v>9131</v>
      </c>
      <c r="Z743" s="4" t="s">
        <v>9131</v>
      </c>
      <c r="AA743" s="3">
        <v>10</v>
      </c>
      <c r="AB743" s="3">
        <v>9</v>
      </c>
      <c r="AC743" s="3">
        <v>10</v>
      </c>
      <c r="AD743" s="3">
        <v>1</v>
      </c>
      <c r="AE743" s="9">
        <v>1</v>
      </c>
      <c r="AF743" s="9">
        <v>0</v>
      </c>
      <c r="AG743" s="9">
        <v>0</v>
      </c>
      <c r="AH743" s="3">
        <v>0</v>
      </c>
      <c r="AI743" s="3">
        <v>0</v>
      </c>
      <c r="AJ743" s="3">
        <v>0</v>
      </c>
      <c r="AK743" s="3">
        <v>0</v>
      </c>
      <c r="AL743" s="3">
        <v>0</v>
      </c>
      <c r="AM743" s="3">
        <v>0</v>
      </c>
      <c r="AN743" s="3">
        <v>0</v>
      </c>
      <c r="AO743" s="3">
        <v>0</v>
      </c>
      <c r="AP743" s="3">
        <v>0</v>
      </c>
      <c r="AQ743" s="3">
        <v>0</v>
      </c>
      <c r="AR743" s="2" t="s">
        <v>5</v>
      </c>
      <c r="AS743" s="2" t="s">
        <v>46</v>
      </c>
      <c r="AT743" s="5" t="str">
        <f>HYPERLINK("http://catalog.hathitrust.org/Record/101165625","HathiTrust Record")</f>
        <v>HathiTrust Record</v>
      </c>
      <c r="AU743" s="5" t="str">
        <f>HYPERLINK("https://creighton-primo.hosted.exlibrisgroup.com/primo-explore/search?tab=default_tab&amp;search_scope=EVERYTHING&amp;vid=01CRU&amp;lang=en_US&amp;offset=0&amp;query=any,contains,991003730329702656","Catalog Record")</f>
        <v>Catalog Record</v>
      </c>
      <c r="AV743" s="5" t="str">
        <f>HYPERLINK("http://www.worldcat.org/oclc/5618413","WorldCat Record")</f>
        <v>WorldCat Record</v>
      </c>
      <c r="AW743" s="2" t="s">
        <v>9297</v>
      </c>
      <c r="AX743" s="2" t="s">
        <v>9298</v>
      </c>
      <c r="AY743" s="2" t="s">
        <v>9299</v>
      </c>
      <c r="AZ743" s="2" t="s">
        <v>9299</v>
      </c>
      <c r="BA743" s="2" t="s">
        <v>9300</v>
      </c>
      <c r="BB743" s="2" t="s">
        <v>20</v>
      </c>
      <c r="BE743" s="2" t="s">
        <v>9301</v>
      </c>
      <c r="BF743" s="2" t="s">
        <v>9302</v>
      </c>
    </row>
    <row r="744" spans="1:58" ht="39.75" customHeight="1" x14ac:dyDescent="0.25">
      <c r="A744" s="7" t="s">
        <v>5</v>
      </c>
      <c r="B744" s="1" t="s">
        <v>0</v>
      </c>
      <c r="C744" s="1" t="s">
        <v>1</v>
      </c>
      <c r="D744" s="1" t="s">
        <v>9303</v>
      </c>
      <c r="E744" s="1" t="s">
        <v>9304</v>
      </c>
      <c r="F744" s="1" t="s">
        <v>9305</v>
      </c>
      <c r="H744" s="2" t="s">
        <v>5</v>
      </c>
      <c r="I744" s="2" t="s">
        <v>6</v>
      </c>
      <c r="J744" s="2" t="s">
        <v>5</v>
      </c>
      <c r="K744" s="2" t="s">
        <v>5</v>
      </c>
      <c r="L744" s="2" t="s">
        <v>7</v>
      </c>
      <c r="M744" s="1" t="s">
        <v>9306</v>
      </c>
      <c r="N744" s="1" t="s">
        <v>9307</v>
      </c>
      <c r="O744" s="2" t="s">
        <v>1473</v>
      </c>
      <c r="Q744" s="2" t="s">
        <v>60</v>
      </c>
      <c r="R744" s="2" t="s">
        <v>422</v>
      </c>
      <c r="S744" s="1" t="s">
        <v>9308</v>
      </c>
      <c r="T744" s="2" t="s">
        <v>13</v>
      </c>
      <c r="U744" s="3">
        <v>2</v>
      </c>
      <c r="V744" s="3">
        <v>2</v>
      </c>
      <c r="W744" s="4" t="s">
        <v>9309</v>
      </c>
      <c r="X744" s="4" t="s">
        <v>9309</v>
      </c>
      <c r="Y744" s="4" t="s">
        <v>9310</v>
      </c>
      <c r="Z744" s="4" t="s">
        <v>9310</v>
      </c>
      <c r="AA744" s="3">
        <v>414</v>
      </c>
      <c r="AB744" s="3">
        <v>358</v>
      </c>
      <c r="AC744" s="3">
        <v>513</v>
      </c>
      <c r="AD744" s="3">
        <v>3</v>
      </c>
      <c r="AE744" s="9">
        <v>3</v>
      </c>
      <c r="AF744" s="9">
        <v>21</v>
      </c>
      <c r="AG744" s="9">
        <v>30</v>
      </c>
      <c r="AH744" s="3">
        <v>5</v>
      </c>
      <c r="AI744" s="3">
        <v>12</v>
      </c>
      <c r="AJ744" s="3">
        <v>7</v>
      </c>
      <c r="AK744" s="3">
        <v>9</v>
      </c>
      <c r="AL744" s="3">
        <v>12</v>
      </c>
      <c r="AM744" s="3">
        <v>16</v>
      </c>
      <c r="AN744" s="3">
        <v>2</v>
      </c>
      <c r="AO744" s="3">
        <v>2</v>
      </c>
      <c r="AP744" s="3">
        <v>0</v>
      </c>
      <c r="AQ744" s="3">
        <v>0</v>
      </c>
      <c r="AR744" s="2" t="s">
        <v>5</v>
      </c>
      <c r="AS744" s="2" t="s">
        <v>5</v>
      </c>
      <c r="AU744" s="5" t="str">
        <f>HYPERLINK("https://creighton-primo.hosted.exlibrisgroup.com/primo-explore/search?tab=default_tab&amp;search_scope=EVERYTHING&amp;vid=01CRU&amp;lang=en_US&amp;offset=0&amp;query=any,contains,991003743259702656","Catalog Record")</f>
        <v>Catalog Record</v>
      </c>
      <c r="AV744" s="5" t="str">
        <f>HYPERLINK("http://www.worldcat.org/oclc/46473812","WorldCat Record")</f>
        <v>WorldCat Record</v>
      </c>
      <c r="AW744" s="2" t="s">
        <v>9311</v>
      </c>
      <c r="AX744" s="2" t="s">
        <v>9312</v>
      </c>
      <c r="AY744" s="2" t="s">
        <v>9313</v>
      </c>
      <c r="AZ744" s="2" t="s">
        <v>9313</v>
      </c>
      <c r="BA744" s="2" t="s">
        <v>9314</v>
      </c>
      <c r="BB744" s="2" t="s">
        <v>20</v>
      </c>
      <c r="BD744" s="2" t="s">
        <v>9315</v>
      </c>
      <c r="BE744" s="2" t="s">
        <v>9316</v>
      </c>
      <c r="BF744" s="2" t="s">
        <v>9317</v>
      </c>
    </row>
    <row r="745" spans="1:58" ht="39.75" customHeight="1" x14ac:dyDescent="0.25">
      <c r="A745" s="7" t="s">
        <v>5</v>
      </c>
      <c r="B745" s="1" t="s">
        <v>0</v>
      </c>
      <c r="C745" s="1" t="s">
        <v>1</v>
      </c>
      <c r="D745" s="1" t="s">
        <v>9318</v>
      </c>
      <c r="E745" s="1" t="s">
        <v>9319</v>
      </c>
      <c r="F745" s="1" t="s">
        <v>9320</v>
      </c>
      <c r="H745" s="2" t="s">
        <v>5</v>
      </c>
      <c r="I745" s="2" t="s">
        <v>6</v>
      </c>
      <c r="J745" s="2" t="s">
        <v>5</v>
      </c>
      <c r="K745" s="2" t="s">
        <v>5</v>
      </c>
      <c r="L745" s="2" t="s">
        <v>7</v>
      </c>
      <c r="N745" s="1" t="s">
        <v>9321</v>
      </c>
      <c r="O745" s="2" t="s">
        <v>569</v>
      </c>
      <c r="P745" s="1" t="s">
        <v>5373</v>
      </c>
      <c r="Q745" s="2" t="s">
        <v>1151</v>
      </c>
      <c r="R745" s="2" t="s">
        <v>1066</v>
      </c>
      <c r="T745" s="2" t="s">
        <v>13</v>
      </c>
      <c r="U745" s="3">
        <v>1</v>
      </c>
      <c r="V745" s="3">
        <v>1</v>
      </c>
      <c r="W745" s="4" t="s">
        <v>6942</v>
      </c>
      <c r="X745" s="4" t="s">
        <v>6942</v>
      </c>
      <c r="Y745" s="4" t="s">
        <v>6942</v>
      </c>
      <c r="Z745" s="4" t="s">
        <v>6942</v>
      </c>
      <c r="AA745" s="3">
        <v>243</v>
      </c>
      <c r="AB745" s="3">
        <v>240</v>
      </c>
      <c r="AC745" s="3">
        <v>623</v>
      </c>
      <c r="AD745" s="3">
        <v>2</v>
      </c>
      <c r="AE745" s="9">
        <v>6</v>
      </c>
      <c r="AF745" s="9">
        <v>4</v>
      </c>
      <c r="AG745" s="9">
        <v>24</v>
      </c>
      <c r="AH745" s="3">
        <v>2</v>
      </c>
      <c r="AI745" s="3">
        <v>12</v>
      </c>
      <c r="AJ745" s="3">
        <v>1</v>
      </c>
      <c r="AK745" s="3">
        <v>7</v>
      </c>
      <c r="AL745" s="3">
        <v>0</v>
      </c>
      <c r="AM745" s="3">
        <v>8</v>
      </c>
      <c r="AN745" s="3">
        <v>1</v>
      </c>
      <c r="AO745" s="3">
        <v>3</v>
      </c>
      <c r="AP745" s="3">
        <v>0</v>
      </c>
      <c r="AQ745" s="3">
        <v>0</v>
      </c>
      <c r="AR745" s="2" t="s">
        <v>5</v>
      </c>
      <c r="AS745" s="2" t="s">
        <v>46</v>
      </c>
      <c r="AT745" s="5" t="str">
        <f>HYPERLINK("http://catalog.hathitrust.org/Record/101095349","HathiTrust Record")</f>
        <v>HathiTrust Record</v>
      </c>
      <c r="AU745" s="5" t="str">
        <f>HYPERLINK("https://creighton-primo.hosted.exlibrisgroup.com/primo-explore/search?tab=default_tab&amp;search_scope=EVERYTHING&amp;vid=01CRU&amp;lang=en_US&amp;offset=0&amp;query=any,contains,991003453809702656","Catalog Record")</f>
        <v>Catalog Record</v>
      </c>
      <c r="AV745" s="5" t="str">
        <f>HYPERLINK("http://www.worldcat.org/oclc/39751910","WorldCat Record")</f>
        <v>WorldCat Record</v>
      </c>
      <c r="AW745" s="2" t="s">
        <v>9322</v>
      </c>
      <c r="AX745" s="2" t="s">
        <v>9323</v>
      </c>
      <c r="AY745" s="2" t="s">
        <v>9324</v>
      </c>
      <c r="AZ745" s="2" t="s">
        <v>9324</v>
      </c>
      <c r="BA745" s="2" t="s">
        <v>9325</v>
      </c>
      <c r="BB745" s="2" t="s">
        <v>20</v>
      </c>
      <c r="BD745" s="2" t="s">
        <v>9326</v>
      </c>
      <c r="BE745" s="2" t="s">
        <v>9327</v>
      </c>
      <c r="BF745" s="2" t="s">
        <v>9328</v>
      </c>
    </row>
    <row r="746" spans="1:58" ht="39.75" customHeight="1" x14ac:dyDescent="0.25">
      <c r="A746" s="7" t="s">
        <v>5</v>
      </c>
      <c r="B746" s="1" t="s">
        <v>0</v>
      </c>
      <c r="C746" s="1" t="s">
        <v>1</v>
      </c>
      <c r="D746" s="1" t="s">
        <v>9329</v>
      </c>
      <c r="E746" s="1" t="s">
        <v>9330</v>
      </c>
      <c r="F746" s="1" t="s">
        <v>9331</v>
      </c>
      <c r="H746" s="2" t="s">
        <v>5</v>
      </c>
      <c r="I746" s="2" t="s">
        <v>6</v>
      </c>
      <c r="J746" s="2" t="s">
        <v>5</v>
      </c>
      <c r="K746" s="2" t="s">
        <v>5</v>
      </c>
      <c r="L746" s="2" t="s">
        <v>7</v>
      </c>
      <c r="M746" s="1" t="s">
        <v>9332</v>
      </c>
      <c r="N746" s="1" t="s">
        <v>9333</v>
      </c>
      <c r="O746" s="2" t="s">
        <v>736</v>
      </c>
      <c r="Q746" s="2" t="s">
        <v>1151</v>
      </c>
      <c r="R746" s="2" t="s">
        <v>1066</v>
      </c>
      <c r="T746" s="2" t="s">
        <v>13</v>
      </c>
      <c r="U746" s="3">
        <v>1</v>
      </c>
      <c r="V746" s="3">
        <v>1</v>
      </c>
      <c r="W746" s="4" t="s">
        <v>9334</v>
      </c>
      <c r="X746" s="4" t="s">
        <v>9334</v>
      </c>
      <c r="Y746" s="4" t="s">
        <v>9334</v>
      </c>
      <c r="Z746" s="4" t="s">
        <v>9334</v>
      </c>
      <c r="AA746" s="3">
        <v>213</v>
      </c>
      <c r="AB746" s="3">
        <v>207</v>
      </c>
      <c r="AC746" s="3">
        <v>304</v>
      </c>
      <c r="AD746" s="3">
        <v>1</v>
      </c>
      <c r="AE746" s="9">
        <v>1</v>
      </c>
      <c r="AF746" s="9">
        <v>3</v>
      </c>
      <c r="AG746" s="9">
        <v>10</v>
      </c>
      <c r="AH746" s="3">
        <v>2</v>
      </c>
      <c r="AI746" s="3">
        <v>8</v>
      </c>
      <c r="AJ746" s="3">
        <v>1</v>
      </c>
      <c r="AK746" s="3">
        <v>3</v>
      </c>
      <c r="AL746" s="3">
        <v>1</v>
      </c>
      <c r="AM746" s="3">
        <v>2</v>
      </c>
      <c r="AN746" s="3">
        <v>0</v>
      </c>
      <c r="AO746" s="3">
        <v>0</v>
      </c>
      <c r="AP746" s="3">
        <v>0</v>
      </c>
      <c r="AQ746" s="3">
        <v>0</v>
      </c>
      <c r="AR746" s="2" t="s">
        <v>5</v>
      </c>
      <c r="AS746" s="2" t="s">
        <v>46</v>
      </c>
      <c r="AT746" s="5" t="str">
        <f>HYPERLINK("http://catalog.hathitrust.org/Record/002471278","HathiTrust Record")</f>
        <v>HathiTrust Record</v>
      </c>
      <c r="AU746" s="5" t="str">
        <f>HYPERLINK("https://creighton-primo.hosted.exlibrisgroup.com/primo-explore/search?tab=default_tab&amp;search_scope=EVERYTHING&amp;vid=01CRU&amp;lang=en_US&amp;offset=0&amp;query=any,contains,991004025869702656","Catalog Record")</f>
        <v>Catalog Record</v>
      </c>
      <c r="AV746" s="5" t="str">
        <f>HYPERLINK("http://www.worldcat.org/oclc/21760349","WorldCat Record")</f>
        <v>WorldCat Record</v>
      </c>
      <c r="AW746" s="2" t="s">
        <v>9335</v>
      </c>
      <c r="AX746" s="2" t="s">
        <v>9336</v>
      </c>
      <c r="AY746" s="2" t="s">
        <v>9337</v>
      </c>
      <c r="AZ746" s="2" t="s">
        <v>9337</v>
      </c>
      <c r="BA746" s="2" t="s">
        <v>9338</v>
      </c>
      <c r="BB746" s="2" t="s">
        <v>20</v>
      </c>
      <c r="BD746" s="2" t="s">
        <v>9339</v>
      </c>
      <c r="BE746" s="2" t="s">
        <v>9340</v>
      </c>
      <c r="BF746" s="2" t="s">
        <v>9341</v>
      </c>
    </row>
    <row r="747" spans="1:58" ht="39.75" customHeight="1" x14ac:dyDescent="0.25">
      <c r="A747" s="7" t="s">
        <v>5</v>
      </c>
      <c r="B747" s="1" t="s">
        <v>0</v>
      </c>
      <c r="C747" s="1" t="s">
        <v>1</v>
      </c>
      <c r="D747" s="1" t="s">
        <v>9342</v>
      </c>
      <c r="E747" s="1" t="s">
        <v>9343</v>
      </c>
      <c r="F747" s="1" t="s">
        <v>9344</v>
      </c>
      <c r="H747" s="2" t="s">
        <v>5</v>
      </c>
      <c r="I747" s="2" t="s">
        <v>6</v>
      </c>
      <c r="J747" s="2" t="s">
        <v>5</v>
      </c>
      <c r="K747" s="2" t="s">
        <v>5</v>
      </c>
      <c r="L747" s="2" t="s">
        <v>7</v>
      </c>
      <c r="M747" s="1" t="s">
        <v>9345</v>
      </c>
      <c r="N747" s="1" t="s">
        <v>9346</v>
      </c>
      <c r="O747" s="2" t="s">
        <v>6611</v>
      </c>
      <c r="P747" s="1" t="s">
        <v>9347</v>
      </c>
      <c r="Q747" s="2" t="s">
        <v>1151</v>
      </c>
      <c r="R747" s="2" t="s">
        <v>1066</v>
      </c>
      <c r="T747" s="2" t="s">
        <v>13</v>
      </c>
      <c r="U747" s="3">
        <v>1</v>
      </c>
      <c r="V747" s="3">
        <v>1</v>
      </c>
      <c r="W747" s="4" t="s">
        <v>9348</v>
      </c>
      <c r="X747" s="4" t="s">
        <v>9348</v>
      </c>
      <c r="Y747" s="4" t="s">
        <v>9348</v>
      </c>
      <c r="Z747" s="4" t="s">
        <v>9348</v>
      </c>
      <c r="AA747" s="3">
        <v>560</v>
      </c>
      <c r="AB747" s="3">
        <v>546</v>
      </c>
      <c r="AC747" s="3">
        <v>1226</v>
      </c>
      <c r="AD747" s="3">
        <v>6</v>
      </c>
      <c r="AE747" s="9">
        <v>12</v>
      </c>
      <c r="AF747" s="9">
        <v>15</v>
      </c>
      <c r="AG747" s="9">
        <v>39</v>
      </c>
      <c r="AH747" s="3">
        <v>5</v>
      </c>
      <c r="AI747" s="3">
        <v>14</v>
      </c>
      <c r="AJ747" s="3">
        <v>2</v>
      </c>
      <c r="AK747" s="3">
        <v>7</v>
      </c>
      <c r="AL747" s="3">
        <v>8</v>
      </c>
      <c r="AM747" s="3">
        <v>19</v>
      </c>
      <c r="AN747" s="3">
        <v>3</v>
      </c>
      <c r="AO747" s="3">
        <v>6</v>
      </c>
      <c r="AP747" s="3">
        <v>1</v>
      </c>
      <c r="AQ747" s="3">
        <v>1</v>
      </c>
      <c r="AR747" s="2" t="s">
        <v>5</v>
      </c>
      <c r="AS747" s="2" t="s">
        <v>5</v>
      </c>
      <c r="AU747" s="5" t="str">
        <f>HYPERLINK("https://creighton-primo.hosted.exlibrisgroup.com/primo-explore/search?tab=default_tab&amp;search_scope=EVERYTHING&amp;vid=01CRU&amp;lang=en_US&amp;offset=0&amp;query=any,contains,991004025929702656","Catalog Record")</f>
        <v>Catalog Record</v>
      </c>
      <c r="AV747" s="5" t="str">
        <f>HYPERLINK("http://www.worldcat.org/oclc/33452555","WorldCat Record")</f>
        <v>WorldCat Record</v>
      </c>
      <c r="AW747" s="2" t="s">
        <v>9349</v>
      </c>
      <c r="AX747" s="2" t="s">
        <v>9350</v>
      </c>
      <c r="AY747" s="2" t="s">
        <v>9351</v>
      </c>
      <c r="AZ747" s="2" t="s">
        <v>9351</v>
      </c>
      <c r="BA747" s="2" t="s">
        <v>9352</v>
      </c>
      <c r="BB747" s="2" t="s">
        <v>20</v>
      </c>
      <c r="BD747" s="2" t="s">
        <v>9353</v>
      </c>
      <c r="BE747" s="2" t="s">
        <v>9354</v>
      </c>
      <c r="BF747" s="2" t="s">
        <v>9355</v>
      </c>
    </row>
    <row r="748" spans="1:58" ht="39.75" customHeight="1" x14ac:dyDescent="0.25">
      <c r="A748" s="7" t="s">
        <v>5</v>
      </c>
      <c r="B748" s="1" t="s">
        <v>0</v>
      </c>
      <c r="C748" s="1" t="s">
        <v>1</v>
      </c>
      <c r="D748" s="1" t="s">
        <v>9356</v>
      </c>
      <c r="E748" s="1" t="s">
        <v>9357</v>
      </c>
      <c r="F748" s="1" t="s">
        <v>9358</v>
      </c>
      <c r="H748" s="2" t="s">
        <v>5</v>
      </c>
      <c r="I748" s="2" t="s">
        <v>6</v>
      </c>
      <c r="J748" s="2" t="s">
        <v>5</v>
      </c>
      <c r="K748" s="2" t="s">
        <v>5</v>
      </c>
      <c r="L748" s="2" t="s">
        <v>7</v>
      </c>
      <c r="M748" s="1" t="s">
        <v>9359</v>
      </c>
      <c r="N748" s="1" t="s">
        <v>9360</v>
      </c>
      <c r="O748" s="2" t="s">
        <v>3250</v>
      </c>
      <c r="Q748" s="2" t="s">
        <v>1151</v>
      </c>
      <c r="R748" s="2" t="s">
        <v>6916</v>
      </c>
      <c r="S748" s="1" t="s">
        <v>9361</v>
      </c>
      <c r="T748" s="2" t="s">
        <v>13</v>
      </c>
      <c r="U748" s="3">
        <v>1</v>
      </c>
      <c r="V748" s="3">
        <v>1</v>
      </c>
      <c r="W748" s="4" t="s">
        <v>9362</v>
      </c>
      <c r="X748" s="4" t="s">
        <v>9362</v>
      </c>
      <c r="Y748" s="4" t="s">
        <v>9362</v>
      </c>
      <c r="Z748" s="4" t="s">
        <v>9362</v>
      </c>
      <c r="AA748" s="3">
        <v>41</v>
      </c>
      <c r="AB748" s="3">
        <v>41</v>
      </c>
      <c r="AC748" s="3">
        <v>101</v>
      </c>
      <c r="AD748" s="3">
        <v>1</v>
      </c>
      <c r="AE748" s="9">
        <v>2</v>
      </c>
      <c r="AF748" s="9">
        <v>2</v>
      </c>
      <c r="AG748" s="9">
        <v>5</v>
      </c>
      <c r="AH748" s="3">
        <v>1</v>
      </c>
      <c r="AI748" s="3">
        <v>2</v>
      </c>
      <c r="AJ748" s="3">
        <v>1</v>
      </c>
      <c r="AK748" s="3">
        <v>1</v>
      </c>
      <c r="AL748" s="3">
        <v>1</v>
      </c>
      <c r="AM748" s="3">
        <v>2</v>
      </c>
      <c r="AN748" s="3">
        <v>0</v>
      </c>
      <c r="AO748" s="3">
        <v>1</v>
      </c>
      <c r="AP748" s="3">
        <v>0</v>
      </c>
      <c r="AQ748" s="3">
        <v>0</v>
      </c>
      <c r="AR748" s="2" t="s">
        <v>5</v>
      </c>
      <c r="AS748" s="2" t="s">
        <v>5</v>
      </c>
      <c r="AU748" s="5" t="str">
        <f>HYPERLINK("https://creighton-primo.hosted.exlibrisgroup.com/primo-explore/search?tab=default_tab&amp;search_scope=EVERYTHING&amp;vid=01CRU&amp;lang=en_US&amp;offset=0&amp;query=any,contains,991004209039702656","Catalog Record")</f>
        <v>Catalog Record</v>
      </c>
      <c r="AV748" s="5" t="str">
        <f>HYPERLINK("http://www.worldcat.org/oclc/53887822","WorldCat Record")</f>
        <v>WorldCat Record</v>
      </c>
      <c r="AW748" s="2" t="s">
        <v>9363</v>
      </c>
      <c r="AX748" s="2" t="s">
        <v>9364</v>
      </c>
      <c r="AY748" s="2" t="s">
        <v>9365</v>
      </c>
      <c r="AZ748" s="2" t="s">
        <v>9365</v>
      </c>
      <c r="BA748" s="2" t="s">
        <v>9366</v>
      </c>
      <c r="BB748" s="2" t="s">
        <v>20</v>
      </c>
      <c r="BD748" s="2" t="s">
        <v>9367</v>
      </c>
      <c r="BE748" s="2" t="s">
        <v>9368</v>
      </c>
      <c r="BF748" s="2" t="s">
        <v>9369</v>
      </c>
    </row>
    <row r="749" spans="1:58" ht="39.75" customHeight="1" x14ac:dyDescent="0.25">
      <c r="A749" s="7" t="s">
        <v>5</v>
      </c>
      <c r="B749" s="1" t="s">
        <v>0</v>
      </c>
      <c r="C749" s="1" t="s">
        <v>1</v>
      </c>
      <c r="D749" s="1" t="s">
        <v>9370</v>
      </c>
      <c r="E749" s="1" t="s">
        <v>9371</v>
      </c>
      <c r="F749" s="1" t="s">
        <v>9372</v>
      </c>
      <c r="H749" s="2" t="s">
        <v>5</v>
      </c>
      <c r="I749" s="2" t="s">
        <v>6</v>
      </c>
      <c r="J749" s="2" t="s">
        <v>5</v>
      </c>
      <c r="K749" s="2" t="s">
        <v>5</v>
      </c>
      <c r="L749" s="2" t="s">
        <v>7</v>
      </c>
      <c r="M749" s="1" t="s">
        <v>9373</v>
      </c>
      <c r="N749" s="1" t="s">
        <v>9374</v>
      </c>
      <c r="O749" s="2" t="s">
        <v>584</v>
      </c>
      <c r="Q749" s="2" t="s">
        <v>60</v>
      </c>
      <c r="R749" s="2" t="s">
        <v>1873</v>
      </c>
      <c r="T749" s="2" t="s">
        <v>13</v>
      </c>
      <c r="U749" s="3">
        <v>4</v>
      </c>
      <c r="V749" s="3">
        <v>4</v>
      </c>
      <c r="W749" s="4" t="s">
        <v>9375</v>
      </c>
      <c r="X749" s="4" t="s">
        <v>9375</v>
      </c>
      <c r="Y749" s="4" t="s">
        <v>9376</v>
      </c>
      <c r="Z749" s="4" t="s">
        <v>9376</v>
      </c>
      <c r="AA749" s="3">
        <v>1079</v>
      </c>
      <c r="AB749" s="3">
        <v>993</v>
      </c>
      <c r="AC749" s="3">
        <v>1460</v>
      </c>
      <c r="AD749" s="3">
        <v>8</v>
      </c>
      <c r="AE749" s="9">
        <v>12</v>
      </c>
      <c r="AF749" s="9">
        <v>39</v>
      </c>
      <c r="AG749" s="9">
        <v>53</v>
      </c>
      <c r="AH749" s="3">
        <v>16</v>
      </c>
      <c r="AI749" s="3">
        <v>22</v>
      </c>
      <c r="AJ749" s="3">
        <v>7</v>
      </c>
      <c r="AK749" s="3">
        <v>10</v>
      </c>
      <c r="AL749" s="3">
        <v>18</v>
      </c>
      <c r="AM749" s="3">
        <v>25</v>
      </c>
      <c r="AN749" s="3">
        <v>7</v>
      </c>
      <c r="AO749" s="3">
        <v>10</v>
      </c>
      <c r="AP749" s="3">
        <v>0</v>
      </c>
      <c r="AQ749" s="3">
        <v>0</v>
      </c>
      <c r="AR749" s="2" t="s">
        <v>5</v>
      </c>
      <c r="AS749" s="2" t="s">
        <v>46</v>
      </c>
      <c r="AT749" s="5" t="str">
        <f>HYPERLINK("http://catalog.hathitrust.org/Record/001111709","HathiTrust Record")</f>
        <v>HathiTrust Record</v>
      </c>
      <c r="AU749" s="5" t="str">
        <f>HYPERLINK("https://creighton-primo.hosted.exlibrisgroup.com/primo-explore/search?tab=default_tab&amp;search_scope=EVERYTHING&amp;vid=01CRU&amp;lang=en_US&amp;offset=0&amp;query=any,contains,991002431399702656","Catalog Record")</f>
        <v>Catalog Record</v>
      </c>
      <c r="AV749" s="5" t="str">
        <f>HYPERLINK("http://www.worldcat.org/oclc/347235","WorldCat Record")</f>
        <v>WorldCat Record</v>
      </c>
      <c r="AW749" s="2" t="s">
        <v>9377</v>
      </c>
      <c r="AX749" s="2" t="s">
        <v>9378</v>
      </c>
      <c r="AY749" s="2" t="s">
        <v>9379</v>
      </c>
      <c r="AZ749" s="2" t="s">
        <v>9379</v>
      </c>
      <c r="BA749" s="2" t="s">
        <v>9380</v>
      </c>
      <c r="BB749" s="2" t="s">
        <v>20</v>
      </c>
      <c r="BE749" s="2" t="s">
        <v>9381</v>
      </c>
      <c r="BF749" s="2" t="s">
        <v>9382</v>
      </c>
    </row>
    <row r="750" spans="1:58" ht="39.75" customHeight="1" x14ac:dyDescent="0.25">
      <c r="A750" s="7" t="s">
        <v>5</v>
      </c>
      <c r="B750" s="1" t="s">
        <v>0</v>
      </c>
      <c r="C750" s="1" t="s">
        <v>1</v>
      </c>
      <c r="D750" s="1" t="s">
        <v>9383</v>
      </c>
      <c r="E750" s="1" t="s">
        <v>9384</v>
      </c>
      <c r="F750" s="1" t="s">
        <v>9385</v>
      </c>
      <c r="G750" s="2" t="s">
        <v>101</v>
      </c>
      <c r="H750" s="2" t="s">
        <v>46</v>
      </c>
      <c r="I750" s="2" t="s">
        <v>6</v>
      </c>
      <c r="J750" s="2" t="s">
        <v>46</v>
      </c>
      <c r="K750" s="2" t="s">
        <v>5</v>
      </c>
      <c r="L750" s="2" t="s">
        <v>7</v>
      </c>
      <c r="M750" s="1" t="s">
        <v>9373</v>
      </c>
      <c r="N750" s="1" t="s">
        <v>9386</v>
      </c>
      <c r="O750" s="2" t="s">
        <v>162</v>
      </c>
      <c r="Q750" s="2" t="s">
        <v>1151</v>
      </c>
      <c r="R750" s="2" t="s">
        <v>234</v>
      </c>
      <c r="S750" s="1" t="s">
        <v>9387</v>
      </c>
      <c r="T750" s="2" t="s">
        <v>13</v>
      </c>
      <c r="U750" s="3">
        <v>2</v>
      </c>
      <c r="V750" s="3">
        <v>4</v>
      </c>
      <c r="W750" s="4" t="s">
        <v>9388</v>
      </c>
      <c r="X750" s="4" t="s">
        <v>9388</v>
      </c>
      <c r="Y750" s="4" t="s">
        <v>439</v>
      </c>
      <c r="Z750" s="4" t="s">
        <v>439</v>
      </c>
      <c r="AA750" s="3">
        <v>164</v>
      </c>
      <c r="AB750" s="3">
        <v>140</v>
      </c>
      <c r="AC750" s="3">
        <v>494</v>
      </c>
      <c r="AD750" s="3">
        <v>1</v>
      </c>
      <c r="AE750" s="9">
        <v>4</v>
      </c>
      <c r="AF750" s="9">
        <v>8</v>
      </c>
      <c r="AG750" s="9">
        <v>26</v>
      </c>
      <c r="AH750" s="3">
        <v>3</v>
      </c>
      <c r="AI750" s="3">
        <v>12</v>
      </c>
      <c r="AJ750" s="3">
        <v>3</v>
      </c>
      <c r="AK750" s="3">
        <v>6</v>
      </c>
      <c r="AL750" s="3">
        <v>4</v>
      </c>
      <c r="AM750" s="3">
        <v>13</v>
      </c>
      <c r="AN750" s="3">
        <v>0</v>
      </c>
      <c r="AO750" s="3">
        <v>3</v>
      </c>
      <c r="AP750" s="3">
        <v>0</v>
      </c>
      <c r="AQ750" s="3">
        <v>0</v>
      </c>
      <c r="AR750" s="2" t="s">
        <v>5</v>
      </c>
      <c r="AS750" s="2" t="s">
        <v>46</v>
      </c>
      <c r="AT750" s="5" t="str">
        <f>HYPERLINK("http://catalog.hathitrust.org/Record/007489744","HathiTrust Record")</f>
        <v>HathiTrust Record</v>
      </c>
      <c r="AU750" s="5" t="str">
        <f>HYPERLINK("https://creighton-primo.hosted.exlibrisgroup.com/primo-explore/search?tab=default_tab&amp;search_scope=EVERYTHING&amp;vid=01CRU&amp;lang=en_US&amp;offset=0&amp;query=any,contains,991003827349702656","Catalog Record")</f>
        <v>Catalog Record</v>
      </c>
      <c r="AV750" s="5" t="str">
        <f>HYPERLINK("http://www.worldcat.org/oclc/5377690","WorldCat Record")</f>
        <v>WorldCat Record</v>
      </c>
      <c r="AW750" s="2" t="s">
        <v>9389</v>
      </c>
      <c r="AX750" s="2" t="s">
        <v>9390</v>
      </c>
      <c r="AY750" s="2" t="s">
        <v>9391</v>
      </c>
      <c r="AZ750" s="2" t="s">
        <v>9391</v>
      </c>
      <c r="BA750" s="2" t="s">
        <v>9392</v>
      </c>
      <c r="BB750" s="2" t="s">
        <v>20</v>
      </c>
      <c r="BE750" s="2" t="s">
        <v>9393</v>
      </c>
      <c r="BF750" s="2" t="s">
        <v>9394</v>
      </c>
    </row>
    <row r="751" spans="1:58" ht="39.75" customHeight="1" x14ac:dyDescent="0.25">
      <c r="A751" s="7" t="s">
        <v>5</v>
      </c>
      <c r="B751" s="1" t="s">
        <v>0</v>
      </c>
      <c r="C751" s="1" t="s">
        <v>1</v>
      </c>
      <c r="D751" s="1" t="s">
        <v>9383</v>
      </c>
      <c r="E751" s="1" t="s">
        <v>9384</v>
      </c>
      <c r="F751" s="1" t="s">
        <v>9385</v>
      </c>
      <c r="G751" s="2" t="s">
        <v>73</v>
      </c>
      <c r="H751" s="2" t="s">
        <v>46</v>
      </c>
      <c r="I751" s="2" t="s">
        <v>6</v>
      </c>
      <c r="J751" s="2" t="s">
        <v>5</v>
      </c>
      <c r="K751" s="2" t="s">
        <v>5</v>
      </c>
      <c r="L751" s="2" t="s">
        <v>7</v>
      </c>
      <c r="M751" s="1" t="s">
        <v>9373</v>
      </c>
      <c r="N751" s="1" t="s">
        <v>9386</v>
      </c>
      <c r="O751" s="2" t="s">
        <v>162</v>
      </c>
      <c r="Q751" s="2" t="s">
        <v>1151</v>
      </c>
      <c r="R751" s="2" t="s">
        <v>234</v>
      </c>
      <c r="S751" s="1" t="s">
        <v>9387</v>
      </c>
      <c r="T751" s="2" t="s">
        <v>13</v>
      </c>
      <c r="U751" s="3">
        <v>2</v>
      </c>
      <c r="V751" s="3">
        <v>4</v>
      </c>
      <c r="W751" s="4" t="s">
        <v>9388</v>
      </c>
      <c r="X751" s="4" t="s">
        <v>9388</v>
      </c>
      <c r="Y751" s="4" t="s">
        <v>439</v>
      </c>
      <c r="Z751" s="4" t="s">
        <v>439</v>
      </c>
      <c r="AA751" s="3">
        <v>164</v>
      </c>
      <c r="AB751" s="3">
        <v>140</v>
      </c>
      <c r="AC751" s="3">
        <v>494</v>
      </c>
      <c r="AD751" s="3">
        <v>1</v>
      </c>
      <c r="AE751" s="9">
        <v>4</v>
      </c>
      <c r="AF751" s="9">
        <v>8</v>
      </c>
      <c r="AG751" s="9">
        <v>26</v>
      </c>
      <c r="AH751" s="3">
        <v>3</v>
      </c>
      <c r="AI751" s="3">
        <v>12</v>
      </c>
      <c r="AJ751" s="3">
        <v>3</v>
      </c>
      <c r="AK751" s="3">
        <v>6</v>
      </c>
      <c r="AL751" s="3">
        <v>4</v>
      </c>
      <c r="AM751" s="3">
        <v>13</v>
      </c>
      <c r="AN751" s="3">
        <v>0</v>
      </c>
      <c r="AO751" s="3">
        <v>3</v>
      </c>
      <c r="AP751" s="3">
        <v>0</v>
      </c>
      <c r="AQ751" s="3">
        <v>0</v>
      </c>
      <c r="AR751" s="2" t="s">
        <v>5</v>
      </c>
      <c r="AS751" s="2" t="s">
        <v>46</v>
      </c>
      <c r="AT751" s="5" t="str">
        <f>HYPERLINK("http://catalog.hathitrust.org/Record/007489744","HathiTrust Record")</f>
        <v>HathiTrust Record</v>
      </c>
      <c r="AU751" s="5" t="str">
        <f>HYPERLINK("https://creighton-primo.hosted.exlibrisgroup.com/primo-explore/search?tab=default_tab&amp;search_scope=EVERYTHING&amp;vid=01CRU&amp;lang=en_US&amp;offset=0&amp;query=any,contains,991003827349702656","Catalog Record")</f>
        <v>Catalog Record</v>
      </c>
      <c r="AV751" s="5" t="str">
        <f>HYPERLINK("http://www.worldcat.org/oclc/5377690","WorldCat Record")</f>
        <v>WorldCat Record</v>
      </c>
      <c r="AW751" s="2" t="s">
        <v>9389</v>
      </c>
      <c r="AX751" s="2" t="s">
        <v>9390</v>
      </c>
      <c r="AY751" s="2" t="s">
        <v>9391</v>
      </c>
      <c r="AZ751" s="2" t="s">
        <v>9391</v>
      </c>
      <c r="BA751" s="2" t="s">
        <v>9392</v>
      </c>
      <c r="BB751" s="2" t="s">
        <v>20</v>
      </c>
      <c r="BE751" s="2" t="s">
        <v>9395</v>
      </c>
      <c r="BF751" s="2" t="s">
        <v>9396</v>
      </c>
    </row>
    <row r="752" spans="1:58" ht="39.75" customHeight="1" x14ac:dyDescent="0.25">
      <c r="A752" s="7" t="s">
        <v>5</v>
      </c>
      <c r="B752" s="1" t="s">
        <v>0</v>
      </c>
      <c r="C752" s="1" t="s">
        <v>1</v>
      </c>
      <c r="D752" s="1" t="s">
        <v>9397</v>
      </c>
      <c r="E752" s="1" t="s">
        <v>9398</v>
      </c>
      <c r="F752" s="1" t="s">
        <v>9399</v>
      </c>
      <c r="H752" s="2" t="s">
        <v>5</v>
      </c>
      <c r="I752" s="2" t="s">
        <v>6</v>
      </c>
      <c r="J752" s="2" t="s">
        <v>5</v>
      </c>
      <c r="K752" s="2" t="s">
        <v>5</v>
      </c>
      <c r="L752" s="2" t="s">
        <v>7</v>
      </c>
      <c r="M752" s="1" t="s">
        <v>9400</v>
      </c>
      <c r="N752" s="1" t="s">
        <v>9401</v>
      </c>
      <c r="O752" s="2" t="s">
        <v>421</v>
      </c>
      <c r="Q752" s="2" t="s">
        <v>1151</v>
      </c>
      <c r="R752" s="2" t="s">
        <v>5403</v>
      </c>
      <c r="S752" s="1" t="s">
        <v>9402</v>
      </c>
      <c r="T752" s="2" t="s">
        <v>13</v>
      </c>
      <c r="U752" s="3">
        <v>2</v>
      </c>
      <c r="V752" s="3">
        <v>2</v>
      </c>
      <c r="W752" s="4" t="s">
        <v>9403</v>
      </c>
      <c r="X752" s="4" t="s">
        <v>9403</v>
      </c>
      <c r="Y752" s="4" t="s">
        <v>9404</v>
      </c>
      <c r="Z752" s="4" t="s">
        <v>9404</v>
      </c>
      <c r="AA752" s="3">
        <v>111</v>
      </c>
      <c r="AB752" s="3">
        <v>96</v>
      </c>
      <c r="AC752" s="3">
        <v>98</v>
      </c>
      <c r="AD752" s="3">
        <v>1</v>
      </c>
      <c r="AE752" s="9">
        <v>1</v>
      </c>
      <c r="AF752" s="9">
        <v>2</v>
      </c>
      <c r="AG752" s="9">
        <v>2</v>
      </c>
      <c r="AH752" s="3">
        <v>0</v>
      </c>
      <c r="AI752" s="3">
        <v>0</v>
      </c>
      <c r="AJ752" s="3">
        <v>2</v>
      </c>
      <c r="AK752" s="3">
        <v>2</v>
      </c>
      <c r="AL752" s="3">
        <v>0</v>
      </c>
      <c r="AM752" s="3">
        <v>0</v>
      </c>
      <c r="AN752" s="3">
        <v>0</v>
      </c>
      <c r="AO752" s="3">
        <v>0</v>
      </c>
      <c r="AP752" s="3">
        <v>0</v>
      </c>
      <c r="AQ752" s="3">
        <v>0</v>
      </c>
      <c r="AR752" s="2" t="s">
        <v>5</v>
      </c>
      <c r="AS752" s="2" t="s">
        <v>46</v>
      </c>
      <c r="AT752" s="5" t="str">
        <f>HYPERLINK("http://catalog.hathitrust.org/Record/002702098","HathiTrust Record")</f>
        <v>HathiTrust Record</v>
      </c>
      <c r="AU752" s="5" t="str">
        <f>HYPERLINK("https://creighton-primo.hosted.exlibrisgroup.com/primo-explore/search?tab=default_tab&amp;search_scope=EVERYTHING&amp;vid=01CRU&amp;lang=en_US&amp;offset=0&amp;query=any,contains,991000376849702656","Catalog Record")</f>
        <v>Catalog Record</v>
      </c>
      <c r="AV752" s="5" t="str">
        <f>HYPERLINK("http://www.worldcat.org/oclc/10475094","WorldCat Record")</f>
        <v>WorldCat Record</v>
      </c>
      <c r="AW752" s="2" t="s">
        <v>9405</v>
      </c>
      <c r="AX752" s="2" t="s">
        <v>9406</v>
      </c>
      <c r="AY752" s="2" t="s">
        <v>9407</v>
      </c>
      <c r="AZ752" s="2" t="s">
        <v>9407</v>
      </c>
      <c r="BA752" s="2" t="s">
        <v>9408</v>
      </c>
      <c r="BB752" s="2" t="s">
        <v>20</v>
      </c>
      <c r="BD752" s="2" t="s">
        <v>9409</v>
      </c>
      <c r="BE752" s="2" t="s">
        <v>9410</v>
      </c>
      <c r="BF752" s="2" t="s">
        <v>9411</v>
      </c>
    </row>
    <row r="753" spans="1:58" ht="39.75" customHeight="1" x14ac:dyDescent="0.25">
      <c r="A753" s="7" t="s">
        <v>5</v>
      </c>
      <c r="B753" s="1" t="s">
        <v>0</v>
      </c>
      <c r="C753" s="1" t="s">
        <v>1</v>
      </c>
      <c r="D753" s="1" t="s">
        <v>9412</v>
      </c>
      <c r="E753" s="1" t="s">
        <v>9413</v>
      </c>
      <c r="F753" s="1" t="s">
        <v>9414</v>
      </c>
      <c r="H753" s="2" t="s">
        <v>5</v>
      </c>
      <c r="I753" s="2" t="s">
        <v>6</v>
      </c>
      <c r="J753" s="2" t="s">
        <v>5</v>
      </c>
      <c r="K753" s="2" t="s">
        <v>5</v>
      </c>
      <c r="L753" s="2" t="s">
        <v>7</v>
      </c>
      <c r="M753" s="1" t="s">
        <v>9415</v>
      </c>
      <c r="N753" s="1" t="s">
        <v>9416</v>
      </c>
      <c r="O753" s="2" t="s">
        <v>639</v>
      </c>
      <c r="P753" s="1" t="s">
        <v>9417</v>
      </c>
      <c r="Q753" s="2" t="s">
        <v>1151</v>
      </c>
      <c r="R753" s="2" t="s">
        <v>1152</v>
      </c>
      <c r="S753" s="1" t="s">
        <v>9418</v>
      </c>
      <c r="T753" s="2" t="s">
        <v>13</v>
      </c>
      <c r="U753" s="3">
        <v>2</v>
      </c>
      <c r="V753" s="3">
        <v>2</v>
      </c>
      <c r="W753" s="4" t="s">
        <v>9419</v>
      </c>
      <c r="X753" s="4" t="s">
        <v>9419</v>
      </c>
      <c r="Y753" s="4" t="s">
        <v>6597</v>
      </c>
      <c r="Z753" s="4" t="s">
        <v>6597</v>
      </c>
      <c r="AA753" s="3">
        <v>19</v>
      </c>
      <c r="AB753" s="3">
        <v>16</v>
      </c>
      <c r="AC753" s="3">
        <v>286</v>
      </c>
      <c r="AD753" s="3">
        <v>1</v>
      </c>
      <c r="AE753" s="9">
        <v>4</v>
      </c>
      <c r="AF753" s="9">
        <v>2</v>
      </c>
      <c r="AG753" s="9">
        <v>20</v>
      </c>
      <c r="AH753" s="3">
        <v>0</v>
      </c>
      <c r="AI753" s="3">
        <v>5</v>
      </c>
      <c r="AJ753" s="3">
        <v>1</v>
      </c>
      <c r="AK753" s="3">
        <v>5</v>
      </c>
      <c r="AL753" s="3">
        <v>1</v>
      </c>
      <c r="AM753" s="3">
        <v>11</v>
      </c>
      <c r="AN753" s="3">
        <v>0</v>
      </c>
      <c r="AO753" s="3">
        <v>3</v>
      </c>
      <c r="AP753" s="3">
        <v>0</v>
      </c>
      <c r="AQ753" s="3">
        <v>0</v>
      </c>
      <c r="AR753" s="2" t="s">
        <v>5</v>
      </c>
      <c r="AS753" s="2" t="s">
        <v>5</v>
      </c>
      <c r="AU753" s="5" t="str">
        <f>HYPERLINK("https://creighton-primo.hosted.exlibrisgroup.com/primo-explore/search?tab=default_tab&amp;search_scope=EVERYTHING&amp;vid=01CRU&amp;lang=en_US&amp;offset=0&amp;query=any,contains,991001566169702656","Catalog Record")</f>
        <v>Catalog Record</v>
      </c>
      <c r="AV753" s="5" t="str">
        <f>HYPERLINK("http://www.worldcat.org/oclc/20345849","WorldCat Record")</f>
        <v>WorldCat Record</v>
      </c>
      <c r="AW753" s="2" t="s">
        <v>9420</v>
      </c>
      <c r="AX753" s="2" t="s">
        <v>9421</v>
      </c>
      <c r="AY753" s="2" t="s">
        <v>9422</v>
      </c>
      <c r="AZ753" s="2" t="s">
        <v>9422</v>
      </c>
      <c r="BA753" s="2" t="s">
        <v>9423</v>
      </c>
      <c r="BB753" s="2" t="s">
        <v>20</v>
      </c>
      <c r="BD753" s="2" t="s">
        <v>9424</v>
      </c>
      <c r="BE753" s="2" t="s">
        <v>9425</v>
      </c>
      <c r="BF753" s="2" t="s">
        <v>9426</v>
      </c>
    </row>
    <row r="754" spans="1:58" ht="39.75" customHeight="1" x14ac:dyDescent="0.25">
      <c r="A754" s="7" t="s">
        <v>5</v>
      </c>
      <c r="B754" s="1" t="s">
        <v>0</v>
      </c>
      <c r="C754" s="1" t="s">
        <v>1</v>
      </c>
      <c r="D754" s="1" t="s">
        <v>9427</v>
      </c>
      <c r="E754" s="1" t="s">
        <v>9428</v>
      </c>
      <c r="F754" s="1" t="s">
        <v>9429</v>
      </c>
      <c r="H754" s="2" t="s">
        <v>5</v>
      </c>
      <c r="I754" s="2" t="s">
        <v>6</v>
      </c>
      <c r="J754" s="2" t="s">
        <v>5</v>
      </c>
      <c r="K754" s="2" t="s">
        <v>5</v>
      </c>
      <c r="L754" s="2" t="s">
        <v>7</v>
      </c>
      <c r="M754" s="1" t="s">
        <v>9415</v>
      </c>
      <c r="N754" s="1" t="s">
        <v>6725</v>
      </c>
      <c r="O754" s="2" t="s">
        <v>3817</v>
      </c>
      <c r="P754" s="1" t="s">
        <v>9430</v>
      </c>
      <c r="Q754" s="2" t="s">
        <v>1151</v>
      </c>
      <c r="R754" s="2" t="s">
        <v>1152</v>
      </c>
      <c r="S754" s="1" t="s">
        <v>9431</v>
      </c>
      <c r="T754" s="2" t="s">
        <v>13</v>
      </c>
      <c r="U754" s="3">
        <v>1</v>
      </c>
      <c r="V754" s="3">
        <v>1</v>
      </c>
      <c r="W754" s="4" t="s">
        <v>9432</v>
      </c>
      <c r="X754" s="4" t="s">
        <v>9432</v>
      </c>
      <c r="Y754" s="4" t="s">
        <v>9433</v>
      </c>
      <c r="Z754" s="4" t="s">
        <v>9433</v>
      </c>
      <c r="AA754" s="3">
        <v>174</v>
      </c>
      <c r="AB754" s="3">
        <v>129</v>
      </c>
      <c r="AC754" s="3">
        <v>152</v>
      </c>
      <c r="AD754" s="3">
        <v>1</v>
      </c>
      <c r="AE754" s="9">
        <v>1</v>
      </c>
      <c r="AF754" s="9">
        <v>8</v>
      </c>
      <c r="AG754" s="9">
        <v>9</v>
      </c>
      <c r="AH754" s="3">
        <v>4</v>
      </c>
      <c r="AI754" s="3">
        <v>4</v>
      </c>
      <c r="AJ754" s="3">
        <v>2</v>
      </c>
      <c r="AK754" s="3">
        <v>3</v>
      </c>
      <c r="AL754" s="3">
        <v>5</v>
      </c>
      <c r="AM754" s="3">
        <v>5</v>
      </c>
      <c r="AN754" s="3">
        <v>0</v>
      </c>
      <c r="AO754" s="3">
        <v>0</v>
      </c>
      <c r="AP754" s="3">
        <v>0</v>
      </c>
      <c r="AQ754" s="3">
        <v>0</v>
      </c>
      <c r="AR754" s="2" t="s">
        <v>5</v>
      </c>
      <c r="AS754" s="2" t="s">
        <v>46</v>
      </c>
      <c r="AT754" s="5" t="str">
        <f>HYPERLINK("http://catalog.hathitrust.org/Record/101095602","HathiTrust Record")</f>
        <v>HathiTrust Record</v>
      </c>
      <c r="AU754" s="5" t="str">
        <f>HYPERLINK("https://creighton-primo.hosted.exlibrisgroup.com/primo-explore/search?tab=default_tab&amp;search_scope=EVERYTHING&amp;vid=01CRU&amp;lang=en_US&amp;offset=0&amp;query=any,contains,991003836039702656","Catalog Record")</f>
        <v>Catalog Record</v>
      </c>
      <c r="AV754" s="5" t="str">
        <f>HYPERLINK("http://www.worldcat.org/oclc/37898024","WorldCat Record")</f>
        <v>WorldCat Record</v>
      </c>
      <c r="AW754" s="2" t="s">
        <v>9434</v>
      </c>
      <c r="AX754" s="2" t="s">
        <v>9435</v>
      </c>
      <c r="AY754" s="2" t="s">
        <v>9436</v>
      </c>
      <c r="AZ754" s="2" t="s">
        <v>9436</v>
      </c>
      <c r="BA754" s="2" t="s">
        <v>9437</v>
      </c>
      <c r="BB754" s="2" t="s">
        <v>20</v>
      </c>
      <c r="BD754" s="2" t="s">
        <v>9438</v>
      </c>
      <c r="BE754" s="2" t="s">
        <v>9439</v>
      </c>
      <c r="BF754" s="2" t="s">
        <v>9440</v>
      </c>
    </row>
    <row r="755" spans="1:58" ht="39.75" customHeight="1" x14ac:dyDescent="0.25">
      <c r="A755" s="7" t="s">
        <v>5</v>
      </c>
      <c r="B755" s="1" t="s">
        <v>0</v>
      </c>
      <c r="C755" s="1" t="s">
        <v>1</v>
      </c>
      <c r="D755" s="1" t="s">
        <v>9441</v>
      </c>
      <c r="E755" s="1" t="s">
        <v>9442</v>
      </c>
      <c r="F755" s="1" t="s">
        <v>9443</v>
      </c>
      <c r="G755" s="2" t="s">
        <v>101</v>
      </c>
      <c r="H755" s="2" t="s">
        <v>46</v>
      </c>
      <c r="I755" s="2" t="s">
        <v>6</v>
      </c>
      <c r="J755" s="2" t="s">
        <v>5</v>
      </c>
      <c r="K755" s="2" t="s">
        <v>46</v>
      </c>
      <c r="L755" s="2" t="s">
        <v>7</v>
      </c>
      <c r="M755" s="1" t="s">
        <v>9444</v>
      </c>
      <c r="N755" s="1" t="s">
        <v>9445</v>
      </c>
      <c r="O755" s="2" t="s">
        <v>791</v>
      </c>
      <c r="P755" s="1" t="s">
        <v>9446</v>
      </c>
      <c r="Q755" s="2" t="s">
        <v>1151</v>
      </c>
      <c r="R755" s="2" t="s">
        <v>1152</v>
      </c>
      <c r="S755" s="1" t="s">
        <v>9447</v>
      </c>
      <c r="T755" s="2" t="s">
        <v>13</v>
      </c>
      <c r="U755" s="3">
        <v>2</v>
      </c>
      <c r="V755" s="3">
        <v>4</v>
      </c>
      <c r="W755" s="4" t="s">
        <v>3793</v>
      </c>
      <c r="X755" s="4" t="s">
        <v>3793</v>
      </c>
      <c r="Y755" s="4" t="s">
        <v>5361</v>
      </c>
      <c r="Z755" s="4" t="s">
        <v>5361</v>
      </c>
      <c r="AA755" s="3">
        <v>162</v>
      </c>
      <c r="AB755" s="3">
        <v>128</v>
      </c>
      <c r="AC755" s="3">
        <v>587</v>
      </c>
      <c r="AD755" s="3">
        <v>3</v>
      </c>
      <c r="AE755" s="9">
        <v>7</v>
      </c>
      <c r="AF755" s="9">
        <v>6</v>
      </c>
      <c r="AG755" s="9">
        <v>31</v>
      </c>
      <c r="AH755" s="3">
        <v>1</v>
      </c>
      <c r="AI755" s="3">
        <v>9</v>
      </c>
      <c r="AJ755" s="3">
        <v>2</v>
      </c>
      <c r="AK755" s="3">
        <v>7</v>
      </c>
      <c r="AL755" s="3">
        <v>3</v>
      </c>
      <c r="AM755" s="3">
        <v>17</v>
      </c>
      <c r="AN755" s="3">
        <v>2</v>
      </c>
      <c r="AO755" s="3">
        <v>6</v>
      </c>
      <c r="AP755" s="3">
        <v>0</v>
      </c>
      <c r="AQ755" s="3">
        <v>0</v>
      </c>
      <c r="AR755" s="2" t="s">
        <v>5</v>
      </c>
      <c r="AS755" s="2" t="s">
        <v>46</v>
      </c>
      <c r="AT755" s="5" t="str">
        <f>HYPERLINK("http://catalog.hathitrust.org/Record/000699482","HathiTrust Record")</f>
        <v>HathiTrust Record</v>
      </c>
      <c r="AU755" s="5" t="str">
        <f>HYPERLINK("https://creighton-primo.hosted.exlibrisgroup.com/primo-explore/search?tab=default_tab&amp;search_scope=EVERYTHING&amp;vid=01CRU&amp;lang=en_US&amp;offset=0&amp;query=any,contains,991003997969702656","Catalog Record")</f>
        <v>Catalog Record</v>
      </c>
      <c r="AV755" s="5" t="str">
        <f>HYPERLINK("http://www.worldcat.org/oclc/2066807","WorldCat Record")</f>
        <v>WorldCat Record</v>
      </c>
      <c r="AW755" s="2" t="s">
        <v>9448</v>
      </c>
      <c r="AX755" s="2" t="s">
        <v>9449</v>
      </c>
      <c r="AY755" s="2" t="s">
        <v>9450</v>
      </c>
      <c r="AZ755" s="2" t="s">
        <v>9450</v>
      </c>
      <c r="BA755" s="2" t="s">
        <v>9451</v>
      </c>
      <c r="BB755" s="2" t="s">
        <v>20</v>
      </c>
      <c r="BD755" s="2" t="s">
        <v>9452</v>
      </c>
      <c r="BE755" s="2" t="s">
        <v>9453</v>
      </c>
      <c r="BF755" s="2" t="s">
        <v>9454</v>
      </c>
    </row>
    <row r="756" spans="1:58" ht="39.75" customHeight="1" x14ac:dyDescent="0.25">
      <c r="A756" s="7" t="s">
        <v>5</v>
      </c>
      <c r="B756" s="1" t="s">
        <v>0</v>
      </c>
      <c r="C756" s="1" t="s">
        <v>1</v>
      </c>
      <c r="D756" s="1" t="s">
        <v>9441</v>
      </c>
      <c r="E756" s="1" t="s">
        <v>9442</v>
      </c>
      <c r="F756" s="1" t="s">
        <v>9443</v>
      </c>
      <c r="G756" s="2" t="s">
        <v>73</v>
      </c>
      <c r="H756" s="2" t="s">
        <v>46</v>
      </c>
      <c r="I756" s="2" t="s">
        <v>6</v>
      </c>
      <c r="J756" s="2" t="s">
        <v>5</v>
      </c>
      <c r="K756" s="2" t="s">
        <v>46</v>
      </c>
      <c r="L756" s="2" t="s">
        <v>7</v>
      </c>
      <c r="M756" s="1" t="s">
        <v>9444</v>
      </c>
      <c r="N756" s="1" t="s">
        <v>9445</v>
      </c>
      <c r="O756" s="2" t="s">
        <v>791</v>
      </c>
      <c r="P756" s="1" t="s">
        <v>9446</v>
      </c>
      <c r="Q756" s="2" t="s">
        <v>1151</v>
      </c>
      <c r="R756" s="2" t="s">
        <v>1152</v>
      </c>
      <c r="S756" s="1" t="s">
        <v>9447</v>
      </c>
      <c r="T756" s="2" t="s">
        <v>13</v>
      </c>
      <c r="U756" s="3">
        <v>2</v>
      </c>
      <c r="V756" s="3">
        <v>4</v>
      </c>
      <c r="W756" s="4" t="s">
        <v>3793</v>
      </c>
      <c r="X756" s="4" t="s">
        <v>3793</v>
      </c>
      <c r="Y756" s="4" t="s">
        <v>5361</v>
      </c>
      <c r="Z756" s="4" t="s">
        <v>5361</v>
      </c>
      <c r="AA756" s="3">
        <v>162</v>
      </c>
      <c r="AB756" s="3">
        <v>128</v>
      </c>
      <c r="AC756" s="3">
        <v>587</v>
      </c>
      <c r="AD756" s="3">
        <v>3</v>
      </c>
      <c r="AE756" s="9">
        <v>7</v>
      </c>
      <c r="AF756" s="9">
        <v>6</v>
      </c>
      <c r="AG756" s="9">
        <v>31</v>
      </c>
      <c r="AH756" s="3">
        <v>1</v>
      </c>
      <c r="AI756" s="3">
        <v>9</v>
      </c>
      <c r="AJ756" s="3">
        <v>2</v>
      </c>
      <c r="AK756" s="3">
        <v>7</v>
      </c>
      <c r="AL756" s="3">
        <v>3</v>
      </c>
      <c r="AM756" s="3">
        <v>17</v>
      </c>
      <c r="AN756" s="3">
        <v>2</v>
      </c>
      <c r="AO756" s="3">
        <v>6</v>
      </c>
      <c r="AP756" s="3">
        <v>0</v>
      </c>
      <c r="AQ756" s="3">
        <v>0</v>
      </c>
      <c r="AR756" s="2" t="s">
        <v>5</v>
      </c>
      <c r="AS756" s="2" t="s">
        <v>46</v>
      </c>
      <c r="AT756" s="5" t="str">
        <f>HYPERLINK("http://catalog.hathitrust.org/Record/000699482","HathiTrust Record")</f>
        <v>HathiTrust Record</v>
      </c>
      <c r="AU756" s="5" t="str">
        <f>HYPERLINK("https://creighton-primo.hosted.exlibrisgroup.com/primo-explore/search?tab=default_tab&amp;search_scope=EVERYTHING&amp;vid=01CRU&amp;lang=en_US&amp;offset=0&amp;query=any,contains,991003997969702656","Catalog Record")</f>
        <v>Catalog Record</v>
      </c>
      <c r="AV756" s="5" t="str">
        <f>HYPERLINK("http://www.worldcat.org/oclc/2066807","WorldCat Record")</f>
        <v>WorldCat Record</v>
      </c>
      <c r="AW756" s="2" t="s">
        <v>9448</v>
      </c>
      <c r="AX756" s="2" t="s">
        <v>9449</v>
      </c>
      <c r="AY756" s="2" t="s">
        <v>9450</v>
      </c>
      <c r="AZ756" s="2" t="s">
        <v>9450</v>
      </c>
      <c r="BA756" s="2" t="s">
        <v>9451</v>
      </c>
      <c r="BB756" s="2" t="s">
        <v>20</v>
      </c>
      <c r="BD756" s="2" t="s">
        <v>9452</v>
      </c>
      <c r="BE756" s="2" t="s">
        <v>9455</v>
      </c>
      <c r="BF756" s="2" t="s">
        <v>9456</v>
      </c>
    </row>
    <row r="757" spans="1:58" ht="39.75" customHeight="1" x14ac:dyDescent="0.25">
      <c r="A757" s="7" t="s">
        <v>5</v>
      </c>
      <c r="B757" s="1" t="s">
        <v>0</v>
      </c>
      <c r="C757" s="1" t="s">
        <v>1</v>
      </c>
      <c r="D757" s="1" t="s">
        <v>9457</v>
      </c>
      <c r="E757" s="1" t="s">
        <v>9458</v>
      </c>
      <c r="F757" s="1" t="s">
        <v>9459</v>
      </c>
      <c r="H757" s="2" t="s">
        <v>5</v>
      </c>
      <c r="I757" s="2" t="s">
        <v>6</v>
      </c>
      <c r="J757" s="2" t="s">
        <v>5</v>
      </c>
      <c r="K757" s="2" t="s">
        <v>5</v>
      </c>
      <c r="L757" s="2" t="s">
        <v>7</v>
      </c>
      <c r="M757" s="1" t="s">
        <v>9460</v>
      </c>
      <c r="N757" s="1" t="s">
        <v>9461</v>
      </c>
      <c r="O757" s="2" t="s">
        <v>6611</v>
      </c>
      <c r="Q757" s="2" t="s">
        <v>1151</v>
      </c>
      <c r="R757" s="2" t="s">
        <v>6994</v>
      </c>
      <c r="S757" s="1" t="s">
        <v>9462</v>
      </c>
      <c r="T757" s="2" t="s">
        <v>13</v>
      </c>
      <c r="U757" s="3">
        <v>1</v>
      </c>
      <c r="V757" s="3">
        <v>1</v>
      </c>
      <c r="W757" s="4" t="s">
        <v>9463</v>
      </c>
      <c r="X757" s="4" t="s">
        <v>9463</v>
      </c>
      <c r="Y757" s="4" t="s">
        <v>3683</v>
      </c>
      <c r="Z757" s="4" t="s">
        <v>3683</v>
      </c>
      <c r="AA757" s="3">
        <v>55</v>
      </c>
      <c r="AB757" s="3">
        <v>47</v>
      </c>
      <c r="AC757" s="3">
        <v>49</v>
      </c>
      <c r="AD757" s="3">
        <v>1</v>
      </c>
      <c r="AE757" s="9">
        <v>1</v>
      </c>
      <c r="AF757" s="9">
        <v>1</v>
      </c>
      <c r="AG757" s="9">
        <v>1</v>
      </c>
      <c r="AH757" s="3">
        <v>0</v>
      </c>
      <c r="AI757" s="3">
        <v>0</v>
      </c>
      <c r="AJ757" s="3">
        <v>1</v>
      </c>
      <c r="AK757" s="3">
        <v>1</v>
      </c>
      <c r="AL757" s="3">
        <v>0</v>
      </c>
      <c r="AM757" s="3">
        <v>0</v>
      </c>
      <c r="AN757" s="3">
        <v>0</v>
      </c>
      <c r="AO757" s="3">
        <v>0</v>
      </c>
      <c r="AP757" s="3">
        <v>0</v>
      </c>
      <c r="AQ757" s="3">
        <v>0</v>
      </c>
      <c r="AR757" s="2" t="s">
        <v>5</v>
      </c>
      <c r="AS757" s="2" t="s">
        <v>46</v>
      </c>
      <c r="AT757" s="5" t="str">
        <f>HYPERLINK("http://catalog.hathitrust.org/Record/003073244","HathiTrust Record")</f>
        <v>HathiTrust Record</v>
      </c>
      <c r="AU757" s="5" t="str">
        <f>HYPERLINK("https://creighton-primo.hosted.exlibrisgroup.com/primo-explore/search?tab=default_tab&amp;search_scope=EVERYTHING&amp;vid=01CRU&amp;lang=en_US&amp;offset=0&amp;query=any,contains,991002548749702656","Catalog Record")</f>
        <v>Catalog Record</v>
      </c>
      <c r="AV757" s="5" t="str">
        <f>HYPERLINK("http://www.worldcat.org/oclc/33104012","WorldCat Record")</f>
        <v>WorldCat Record</v>
      </c>
      <c r="AW757" s="2" t="s">
        <v>9464</v>
      </c>
      <c r="AX757" s="2" t="s">
        <v>9465</v>
      </c>
      <c r="AY757" s="2" t="s">
        <v>9466</v>
      </c>
      <c r="AZ757" s="2" t="s">
        <v>9466</v>
      </c>
      <c r="BA757" s="2" t="s">
        <v>9467</v>
      </c>
      <c r="BB757" s="2" t="s">
        <v>20</v>
      </c>
      <c r="BD757" s="2" t="s">
        <v>9468</v>
      </c>
      <c r="BE757" s="2" t="s">
        <v>9469</v>
      </c>
      <c r="BF757" s="2" t="s">
        <v>9470</v>
      </c>
    </row>
    <row r="758" spans="1:58" ht="39.75" customHeight="1" x14ac:dyDescent="0.25">
      <c r="A758" s="7" t="s">
        <v>5</v>
      </c>
      <c r="B758" s="1" t="s">
        <v>0</v>
      </c>
      <c r="C758" s="1" t="s">
        <v>1</v>
      </c>
      <c r="D758" s="1" t="s">
        <v>9471</v>
      </c>
      <c r="E758" s="1" t="s">
        <v>9472</v>
      </c>
      <c r="F758" s="1" t="s">
        <v>9473</v>
      </c>
      <c r="H758" s="2" t="s">
        <v>5</v>
      </c>
      <c r="I758" s="2" t="s">
        <v>6</v>
      </c>
      <c r="J758" s="2" t="s">
        <v>5</v>
      </c>
      <c r="K758" s="2" t="s">
        <v>5</v>
      </c>
      <c r="L758" s="2" t="s">
        <v>7</v>
      </c>
      <c r="M758" s="1" t="s">
        <v>9474</v>
      </c>
      <c r="N758" s="1" t="s">
        <v>9475</v>
      </c>
      <c r="O758" s="2" t="s">
        <v>2329</v>
      </c>
      <c r="P758" s="1" t="s">
        <v>5261</v>
      </c>
      <c r="Q758" s="2" t="s">
        <v>60</v>
      </c>
      <c r="R758" s="2" t="s">
        <v>61</v>
      </c>
      <c r="T758" s="2" t="s">
        <v>13</v>
      </c>
      <c r="U758" s="3">
        <v>4</v>
      </c>
      <c r="V758" s="3">
        <v>4</v>
      </c>
      <c r="W758" s="4" t="s">
        <v>9375</v>
      </c>
      <c r="X758" s="4" t="s">
        <v>9375</v>
      </c>
      <c r="Y758" s="4" t="s">
        <v>8825</v>
      </c>
      <c r="Z758" s="4" t="s">
        <v>8825</v>
      </c>
      <c r="AA758" s="3">
        <v>408</v>
      </c>
      <c r="AB758" s="3">
        <v>387</v>
      </c>
      <c r="AC758" s="3">
        <v>931</v>
      </c>
      <c r="AD758" s="3">
        <v>6</v>
      </c>
      <c r="AE758" s="9">
        <v>7</v>
      </c>
      <c r="AF758" s="9">
        <v>24</v>
      </c>
      <c r="AG758" s="9">
        <v>45</v>
      </c>
      <c r="AH758" s="3">
        <v>6</v>
      </c>
      <c r="AI758" s="3">
        <v>19</v>
      </c>
      <c r="AJ758" s="3">
        <v>4</v>
      </c>
      <c r="AK758" s="3">
        <v>9</v>
      </c>
      <c r="AL758" s="3">
        <v>14</v>
      </c>
      <c r="AM758" s="3">
        <v>22</v>
      </c>
      <c r="AN758" s="3">
        <v>5</v>
      </c>
      <c r="AO758" s="3">
        <v>6</v>
      </c>
      <c r="AP758" s="3">
        <v>0</v>
      </c>
      <c r="AQ758" s="3">
        <v>0</v>
      </c>
      <c r="AR758" s="2" t="s">
        <v>5</v>
      </c>
      <c r="AS758" s="2" t="s">
        <v>46</v>
      </c>
      <c r="AT758" s="5" t="str">
        <f>HYPERLINK("http://catalog.hathitrust.org/Record/006137111","HathiTrust Record")</f>
        <v>HathiTrust Record</v>
      </c>
      <c r="AU758" s="5" t="str">
        <f>HYPERLINK("https://creighton-primo.hosted.exlibrisgroup.com/primo-explore/search?tab=default_tab&amp;search_scope=EVERYTHING&amp;vid=01CRU&amp;lang=en_US&amp;offset=0&amp;query=any,contains,991003937759702656","Catalog Record")</f>
        <v>Catalog Record</v>
      </c>
      <c r="AV758" s="5" t="str">
        <f>HYPERLINK("http://www.worldcat.org/oclc/1919733","WorldCat Record")</f>
        <v>WorldCat Record</v>
      </c>
      <c r="AW758" s="2" t="s">
        <v>9476</v>
      </c>
      <c r="AX758" s="2" t="s">
        <v>9477</v>
      </c>
      <c r="AY758" s="2" t="s">
        <v>9478</v>
      </c>
      <c r="AZ758" s="2" t="s">
        <v>9478</v>
      </c>
      <c r="BA758" s="2" t="s">
        <v>9479</v>
      </c>
      <c r="BB758" s="2" t="s">
        <v>20</v>
      </c>
      <c r="BE758" s="2" t="s">
        <v>9480</v>
      </c>
      <c r="BF758" s="2" t="s">
        <v>9481</v>
      </c>
    </row>
    <row r="759" spans="1:58" ht="39.75" customHeight="1" x14ac:dyDescent="0.25">
      <c r="A759" s="7" t="s">
        <v>5</v>
      </c>
      <c r="B759" s="1" t="s">
        <v>0</v>
      </c>
      <c r="C759" s="1" t="s">
        <v>1</v>
      </c>
      <c r="D759" s="1" t="s">
        <v>9482</v>
      </c>
      <c r="E759" s="1" t="s">
        <v>9483</v>
      </c>
      <c r="F759" s="1" t="s">
        <v>9484</v>
      </c>
      <c r="H759" s="2" t="s">
        <v>5</v>
      </c>
      <c r="I759" s="2" t="s">
        <v>6</v>
      </c>
      <c r="J759" s="2" t="s">
        <v>5</v>
      </c>
      <c r="K759" s="2" t="s">
        <v>5</v>
      </c>
      <c r="L759" s="2" t="s">
        <v>7</v>
      </c>
      <c r="M759" s="1" t="s">
        <v>9485</v>
      </c>
      <c r="N759" s="1" t="s">
        <v>9486</v>
      </c>
      <c r="O759" s="2" t="s">
        <v>569</v>
      </c>
      <c r="P759" s="1" t="s">
        <v>9487</v>
      </c>
      <c r="Q759" s="2" t="s">
        <v>1151</v>
      </c>
      <c r="R759" s="2" t="s">
        <v>9488</v>
      </c>
      <c r="S759" s="1" t="s">
        <v>9489</v>
      </c>
      <c r="T759" s="2" t="s">
        <v>13</v>
      </c>
      <c r="U759" s="3">
        <v>2</v>
      </c>
      <c r="V759" s="3">
        <v>2</v>
      </c>
      <c r="W759" s="4" t="s">
        <v>5941</v>
      </c>
      <c r="X759" s="4" t="s">
        <v>5941</v>
      </c>
      <c r="Y759" s="4" t="s">
        <v>5450</v>
      </c>
      <c r="Z759" s="4" t="s">
        <v>5450</v>
      </c>
      <c r="AA759" s="3">
        <v>85</v>
      </c>
      <c r="AB759" s="3">
        <v>70</v>
      </c>
      <c r="AC759" s="3">
        <v>363</v>
      </c>
      <c r="AD759" s="3">
        <v>1</v>
      </c>
      <c r="AE759" s="9">
        <v>2</v>
      </c>
      <c r="AF759" s="9">
        <v>1</v>
      </c>
      <c r="AG759" s="9">
        <v>11</v>
      </c>
      <c r="AH759" s="3">
        <v>0</v>
      </c>
      <c r="AI759" s="3">
        <v>2</v>
      </c>
      <c r="AJ759" s="3">
        <v>1</v>
      </c>
      <c r="AK759" s="3">
        <v>4</v>
      </c>
      <c r="AL759" s="3">
        <v>1</v>
      </c>
      <c r="AM759" s="3">
        <v>8</v>
      </c>
      <c r="AN759" s="3">
        <v>0</v>
      </c>
      <c r="AO759" s="3">
        <v>1</v>
      </c>
      <c r="AP759" s="3">
        <v>0</v>
      </c>
      <c r="AQ759" s="3">
        <v>0</v>
      </c>
      <c r="AR759" s="2" t="s">
        <v>5</v>
      </c>
      <c r="AS759" s="2" t="s">
        <v>5</v>
      </c>
      <c r="AU759" s="5" t="str">
        <f>HYPERLINK("https://creighton-primo.hosted.exlibrisgroup.com/primo-explore/search?tab=default_tab&amp;search_scope=EVERYTHING&amp;vid=01CRU&amp;lang=en_US&amp;offset=0&amp;query=any,contains,991003772799702656","Catalog Record")</f>
        <v>Catalog Record</v>
      </c>
      <c r="AV759" s="5" t="str">
        <f>HYPERLINK("http://www.worldcat.org/oclc/42007938","WorldCat Record")</f>
        <v>WorldCat Record</v>
      </c>
      <c r="AW759" s="2" t="s">
        <v>9490</v>
      </c>
      <c r="AX759" s="2" t="s">
        <v>9491</v>
      </c>
      <c r="AY759" s="2" t="s">
        <v>9492</v>
      </c>
      <c r="AZ759" s="2" t="s">
        <v>9492</v>
      </c>
      <c r="BA759" s="2" t="s">
        <v>9493</v>
      </c>
      <c r="BB759" s="2" t="s">
        <v>20</v>
      </c>
      <c r="BD759" s="2" t="s">
        <v>9494</v>
      </c>
      <c r="BE759" s="2" t="s">
        <v>9495</v>
      </c>
      <c r="BF759" s="2" t="s">
        <v>9496</v>
      </c>
    </row>
    <row r="760" spans="1:58" ht="39.75" customHeight="1" x14ac:dyDescent="0.25">
      <c r="A760" s="7" t="s">
        <v>5</v>
      </c>
      <c r="B760" s="1" t="s">
        <v>0</v>
      </c>
      <c r="C760" s="1" t="s">
        <v>1</v>
      </c>
      <c r="D760" s="1" t="s">
        <v>9497</v>
      </c>
      <c r="E760" s="1" t="s">
        <v>9498</v>
      </c>
      <c r="F760" s="1" t="s">
        <v>9499</v>
      </c>
      <c r="H760" s="2" t="s">
        <v>5</v>
      </c>
      <c r="I760" s="2" t="s">
        <v>6</v>
      </c>
      <c r="J760" s="2" t="s">
        <v>5</v>
      </c>
      <c r="K760" s="2" t="s">
        <v>5</v>
      </c>
      <c r="L760" s="2" t="s">
        <v>7</v>
      </c>
      <c r="M760" s="1" t="s">
        <v>9500</v>
      </c>
      <c r="N760" s="1" t="s">
        <v>9501</v>
      </c>
      <c r="O760" s="2" t="s">
        <v>791</v>
      </c>
      <c r="Q760" s="2" t="s">
        <v>1151</v>
      </c>
      <c r="R760" s="2" t="s">
        <v>9502</v>
      </c>
      <c r="S760" s="1" t="s">
        <v>9503</v>
      </c>
      <c r="T760" s="2" t="s">
        <v>13</v>
      </c>
      <c r="U760" s="3">
        <v>1</v>
      </c>
      <c r="V760" s="3">
        <v>1</v>
      </c>
      <c r="W760" s="4" t="s">
        <v>1338</v>
      </c>
      <c r="X760" s="4" t="s">
        <v>1338</v>
      </c>
      <c r="Y760" s="4" t="s">
        <v>1338</v>
      </c>
      <c r="Z760" s="4" t="s">
        <v>1338</v>
      </c>
      <c r="AA760" s="3">
        <v>87</v>
      </c>
      <c r="AB760" s="3">
        <v>50</v>
      </c>
      <c r="AC760" s="3">
        <v>57</v>
      </c>
      <c r="AD760" s="3">
        <v>1</v>
      </c>
      <c r="AE760" s="9">
        <v>1</v>
      </c>
      <c r="AF760" s="9">
        <v>1</v>
      </c>
      <c r="AG760" s="9">
        <v>1</v>
      </c>
      <c r="AH760" s="3">
        <v>0</v>
      </c>
      <c r="AI760" s="3">
        <v>0</v>
      </c>
      <c r="AJ760" s="3">
        <v>1</v>
      </c>
      <c r="AK760" s="3">
        <v>1</v>
      </c>
      <c r="AL760" s="3">
        <v>1</v>
      </c>
      <c r="AM760" s="3">
        <v>1</v>
      </c>
      <c r="AN760" s="3">
        <v>0</v>
      </c>
      <c r="AO760" s="3">
        <v>0</v>
      </c>
      <c r="AP760" s="3">
        <v>0</v>
      </c>
      <c r="AQ760" s="3">
        <v>0</v>
      </c>
      <c r="AR760" s="2" t="s">
        <v>5</v>
      </c>
      <c r="AS760" s="2" t="s">
        <v>46</v>
      </c>
      <c r="AT760" s="5" t="str">
        <f>HYPERLINK("http://catalog.hathitrust.org/Record/000747173","HathiTrust Record")</f>
        <v>HathiTrust Record</v>
      </c>
      <c r="AU760" s="5" t="str">
        <f>HYPERLINK("https://creighton-primo.hosted.exlibrisgroup.com/primo-explore/search?tab=default_tab&amp;search_scope=EVERYTHING&amp;vid=01CRU&amp;lang=en_US&amp;offset=0&amp;query=any,contains,991003724569702656","Catalog Record")</f>
        <v>Catalog Record</v>
      </c>
      <c r="AV760" s="5" t="str">
        <f>HYPERLINK("http://www.worldcat.org/oclc/3274111","WorldCat Record")</f>
        <v>WorldCat Record</v>
      </c>
      <c r="AW760" s="2" t="s">
        <v>9504</v>
      </c>
      <c r="AX760" s="2" t="s">
        <v>9505</v>
      </c>
      <c r="AY760" s="2" t="s">
        <v>9506</v>
      </c>
      <c r="AZ760" s="2" t="s">
        <v>9506</v>
      </c>
      <c r="BA760" s="2" t="s">
        <v>9507</v>
      </c>
      <c r="BB760" s="2" t="s">
        <v>20</v>
      </c>
      <c r="BE760" s="2" t="s">
        <v>9508</v>
      </c>
      <c r="BF760" s="2" t="s">
        <v>9509</v>
      </c>
    </row>
    <row r="761" spans="1:58" ht="39.75" customHeight="1" x14ac:dyDescent="0.25">
      <c r="A761" s="7" t="s">
        <v>5</v>
      </c>
      <c r="B761" s="1" t="s">
        <v>0</v>
      </c>
      <c r="C761" s="1" t="s">
        <v>1</v>
      </c>
      <c r="D761" s="1" t="s">
        <v>9510</v>
      </c>
      <c r="E761" s="1" t="s">
        <v>9511</v>
      </c>
      <c r="F761" s="1" t="s">
        <v>9512</v>
      </c>
      <c r="H761" s="2" t="s">
        <v>5</v>
      </c>
      <c r="I761" s="2" t="s">
        <v>6</v>
      </c>
      <c r="J761" s="2" t="s">
        <v>5</v>
      </c>
      <c r="K761" s="2" t="s">
        <v>5</v>
      </c>
      <c r="L761" s="2" t="s">
        <v>7</v>
      </c>
      <c r="M761" s="1" t="s">
        <v>9513</v>
      </c>
      <c r="N761" s="1" t="s">
        <v>9514</v>
      </c>
      <c r="O761" s="2" t="s">
        <v>27</v>
      </c>
      <c r="P761" s="1" t="s">
        <v>9515</v>
      </c>
      <c r="Q761" s="2" t="s">
        <v>1151</v>
      </c>
      <c r="R761" s="2" t="s">
        <v>5403</v>
      </c>
      <c r="T761" s="2" t="s">
        <v>13</v>
      </c>
      <c r="U761" s="3">
        <v>0</v>
      </c>
      <c r="V761" s="3">
        <v>0</v>
      </c>
      <c r="W761" s="4" t="s">
        <v>9516</v>
      </c>
      <c r="X761" s="4" t="s">
        <v>9516</v>
      </c>
      <c r="Y761" s="4" t="s">
        <v>9517</v>
      </c>
      <c r="Z761" s="4" t="s">
        <v>9517</v>
      </c>
      <c r="AA761" s="3">
        <v>59</v>
      </c>
      <c r="AB761" s="3">
        <v>52</v>
      </c>
      <c r="AC761" s="3">
        <v>212</v>
      </c>
      <c r="AD761" s="3">
        <v>1</v>
      </c>
      <c r="AE761" s="9">
        <v>1</v>
      </c>
      <c r="AF761" s="9">
        <v>3</v>
      </c>
      <c r="AG761" s="9">
        <v>10</v>
      </c>
      <c r="AH761" s="3">
        <v>1</v>
      </c>
      <c r="AI761" s="3">
        <v>4</v>
      </c>
      <c r="AJ761" s="3">
        <v>1</v>
      </c>
      <c r="AK761" s="3">
        <v>3</v>
      </c>
      <c r="AL761" s="3">
        <v>1</v>
      </c>
      <c r="AM761" s="3">
        <v>6</v>
      </c>
      <c r="AN761" s="3">
        <v>0</v>
      </c>
      <c r="AO761" s="3">
        <v>0</v>
      </c>
      <c r="AP761" s="3">
        <v>0</v>
      </c>
      <c r="AQ761" s="3">
        <v>0</v>
      </c>
      <c r="AR761" s="2" t="s">
        <v>5</v>
      </c>
      <c r="AS761" s="2" t="s">
        <v>46</v>
      </c>
      <c r="AT761" s="5" t="str">
        <f>HYPERLINK("http://catalog.hathitrust.org/Record/008321444","HathiTrust Record")</f>
        <v>HathiTrust Record</v>
      </c>
      <c r="AU761" s="5" t="str">
        <f>HYPERLINK("https://creighton-primo.hosted.exlibrisgroup.com/primo-explore/search?tab=default_tab&amp;search_scope=EVERYTHING&amp;vid=01CRU&amp;lang=en_US&amp;offset=0&amp;query=any,contains,991002207599702656","Catalog Record")</f>
        <v>Catalog Record</v>
      </c>
      <c r="AV761" s="5" t="str">
        <f>HYPERLINK("http://www.worldcat.org/oclc/28391494","WorldCat Record")</f>
        <v>WorldCat Record</v>
      </c>
      <c r="AW761" s="2" t="s">
        <v>9518</v>
      </c>
      <c r="AX761" s="2" t="s">
        <v>9519</v>
      </c>
      <c r="AY761" s="2" t="s">
        <v>9520</v>
      </c>
      <c r="AZ761" s="2" t="s">
        <v>9520</v>
      </c>
      <c r="BA761" s="2" t="s">
        <v>9521</v>
      </c>
      <c r="BB761" s="2" t="s">
        <v>20</v>
      </c>
      <c r="BE761" s="2" t="s">
        <v>9522</v>
      </c>
      <c r="BF761" s="2" t="s">
        <v>9523</v>
      </c>
    </row>
    <row r="762" spans="1:58" ht="39.75" customHeight="1" x14ac:dyDescent="0.25">
      <c r="A762" s="7" t="s">
        <v>5</v>
      </c>
      <c r="B762" s="1" t="s">
        <v>0</v>
      </c>
      <c r="C762" s="1" t="s">
        <v>1</v>
      </c>
      <c r="D762" s="1" t="s">
        <v>9524</v>
      </c>
      <c r="E762" s="1" t="s">
        <v>9525</v>
      </c>
      <c r="F762" s="1" t="s">
        <v>9526</v>
      </c>
      <c r="H762" s="2" t="s">
        <v>5</v>
      </c>
      <c r="I762" s="2" t="s">
        <v>6</v>
      </c>
      <c r="J762" s="2" t="s">
        <v>5</v>
      </c>
      <c r="K762" s="2" t="s">
        <v>5</v>
      </c>
      <c r="L762" s="2" t="s">
        <v>7</v>
      </c>
      <c r="M762" s="1" t="s">
        <v>9527</v>
      </c>
      <c r="N762" s="1" t="s">
        <v>9528</v>
      </c>
      <c r="O762" s="2" t="s">
        <v>508</v>
      </c>
      <c r="Q762" s="2" t="s">
        <v>1151</v>
      </c>
      <c r="R762" s="2" t="s">
        <v>6994</v>
      </c>
      <c r="T762" s="2" t="s">
        <v>13</v>
      </c>
      <c r="U762" s="3">
        <v>1</v>
      </c>
      <c r="V762" s="3">
        <v>1</v>
      </c>
      <c r="W762" s="4" t="s">
        <v>9529</v>
      </c>
      <c r="X762" s="4" t="s">
        <v>9529</v>
      </c>
      <c r="Y762" s="4" t="s">
        <v>9530</v>
      </c>
      <c r="Z762" s="4" t="s">
        <v>9530</v>
      </c>
      <c r="AA762" s="3">
        <v>12</v>
      </c>
      <c r="AB762" s="3">
        <v>11</v>
      </c>
      <c r="AC762" s="3">
        <v>18</v>
      </c>
      <c r="AD762" s="3">
        <v>1</v>
      </c>
      <c r="AE762" s="9">
        <v>1</v>
      </c>
      <c r="AF762" s="9">
        <v>1</v>
      </c>
      <c r="AG762" s="9">
        <v>1</v>
      </c>
      <c r="AH762" s="3">
        <v>0</v>
      </c>
      <c r="AI762" s="3">
        <v>0</v>
      </c>
      <c r="AJ762" s="3">
        <v>1</v>
      </c>
      <c r="AK762" s="3">
        <v>1</v>
      </c>
      <c r="AL762" s="3">
        <v>0</v>
      </c>
      <c r="AM762" s="3">
        <v>0</v>
      </c>
      <c r="AN762" s="3">
        <v>0</v>
      </c>
      <c r="AO762" s="3">
        <v>0</v>
      </c>
      <c r="AP762" s="3">
        <v>0</v>
      </c>
      <c r="AQ762" s="3">
        <v>0</v>
      </c>
      <c r="AR762" s="2" t="s">
        <v>5</v>
      </c>
      <c r="AS762" s="2" t="s">
        <v>46</v>
      </c>
      <c r="AT762" s="5" t="str">
        <f>HYPERLINK("http://catalog.hathitrust.org/Record/008447792","HathiTrust Record")</f>
        <v>HathiTrust Record</v>
      </c>
      <c r="AU762" s="5" t="str">
        <f>HYPERLINK("https://creighton-primo.hosted.exlibrisgroup.com/primo-explore/search?tab=default_tab&amp;search_scope=EVERYTHING&amp;vid=01CRU&amp;lang=en_US&amp;offset=0&amp;query=any,contains,991003625909702656","Catalog Record")</f>
        <v>Catalog Record</v>
      </c>
      <c r="AV762" s="5" t="str">
        <f>HYPERLINK("http://www.worldcat.org/oclc/47772963","WorldCat Record")</f>
        <v>WorldCat Record</v>
      </c>
      <c r="AW762" s="2" t="s">
        <v>9531</v>
      </c>
      <c r="AX762" s="2" t="s">
        <v>9532</v>
      </c>
      <c r="AY762" s="2" t="s">
        <v>9533</v>
      </c>
      <c r="AZ762" s="2" t="s">
        <v>9533</v>
      </c>
      <c r="BA762" s="2" t="s">
        <v>9534</v>
      </c>
      <c r="BB762" s="2" t="s">
        <v>20</v>
      </c>
      <c r="BD762" s="2" t="s">
        <v>9535</v>
      </c>
      <c r="BE762" s="2" t="s">
        <v>9536</v>
      </c>
      <c r="BF762" s="2" t="s">
        <v>9537</v>
      </c>
    </row>
    <row r="763" spans="1:58" ht="39.75" customHeight="1" x14ac:dyDescent="0.25">
      <c r="A763" s="7" t="s">
        <v>5</v>
      </c>
      <c r="B763" s="1" t="s">
        <v>0</v>
      </c>
      <c r="C763" s="1" t="s">
        <v>1</v>
      </c>
      <c r="D763" s="1" t="s">
        <v>9538</v>
      </c>
      <c r="E763" s="1" t="s">
        <v>9539</v>
      </c>
      <c r="F763" s="1" t="s">
        <v>9540</v>
      </c>
      <c r="H763" s="2" t="s">
        <v>5</v>
      </c>
      <c r="I763" s="2" t="s">
        <v>6</v>
      </c>
      <c r="J763" s="2" t="s">
        <v>5</v>
      </c>
      <c r="K763" s="2" t="s">
        <v>46</v>
      </c>
      <c r="L763" s="2" t="s">
        <v>7</v>
      </c>
      <c r="M763" s="1" t="s">
        <v>9541</v>
      </c>
      <c r="N763" s="1" t="s">
        <v>9542</v>
      </c>
      <c r="O763" s="2" t="s">
        <v>3941</v>
      </c>
      <c r="P763" s="1" t="s">
        <v>9543</v>
      </c>
      <c r="Q763" s="2" t="s">
        <v>1151</v>
      </c>
      <c r="R763" s="2" t="s">
        <v>1152</v>
      </c>
      <c r="S763" s="1" t="s">
        <v>9544</v>
      </c>
      <c r="T763" s="2" t="s">
        <v>13</v>
      </c>
      <c r="U763" s="3">
        <v>1</v>
      </c>
      <c r="V763" s="3">
        <v>1</v>
      </c>
      <c r="W763" s="4" t="s">
        <v>5692</v>
      </c>
      <c r="X763" s="4" t="s">
        <v>5692</v>
      </c>
      <c r="Y763" s="4" t="s">
        <v>511</v>
      </c>
      <c r="Z763" s="4" t="s">
        <v>511</v>
      </c>
      <c r="AA763" s="3">
        <v>22</v>
      </c>
      <c r="AB763" s="3">
        <v>18</v>
      </c>
      <c r="AC763" s="3">
        <v>441</v>
      </c>
      <c r="AD763" s="3">
        <v>1</v>
      </c>
      <c r="AE763" s="9">
        <v>4</v>
      </c>
      <c r="AF763" s="9">
        <v>0</v>
      </c>
      <c r="AG763" s="9">
        <v>22</v>
      </c>
      <c r="AH763" s="3">
        <v>0</v>
      </c>
      <c r="AI763" s="3">
        <v>8</v>
      </c>
      <c r="AJ763" s="3">
        <v>0</v>
      </c>
      <c r="AK763" s="3">
        <v>6</v>
      </c>
      <c r="AL763" s="3">
        <v>0</v>
      </c>
      <c r="AM763" s="3">
        <v>10</v>
      </c>
      <c r="AN763" s="3">
        <v>0</v>
      </c>
      <c r="AO763" s="3">
        <v>3</v>
      </c>
      <c r="AP763" s="3">
        <v>0</v>
      </c>
      <c r="AQ763" s="3">
        <v>0</v>
      </c>
      <c r="AR763" s="2" t="s">
        <v>5</v>
      </c>
      <c r="AS763" s="2" t="s">
        <v>5</v>
      </c>
      <c r="AU763" s="5" t="str">
        <f>HYPERLINK("https://creighton-primo.hosted.exlibrisgroup.com/primo-explore/search?tab=default_tab&amp;search_scope=EVERYTHING&amp;vid=01CRU&amp;lang=en_US&amp;offset=0&amp;query=any,contains,991003776529702656","Catalog Record")</f>
        <v>Catalog Record</v>
      </c>
      <c r="AV763" s="5" t="str">
        <f>HYPERLINK("http://www.worldcat.org/oclc/44464011","WorldCat Record")</f>
        <v>WorldCat Record</v>
      </c>
      <c r="AW763" s="2" t="s">
        <v>9545</v>
      </c>
      <c r="AX763" s="2" t="s">
        <v>9546</v>
      </c>
      <c r="AY763" s="2" t="s">
        <v>9547</v>
      </c>
      <c r="AZ763" s="2" t="s">
        <v>9547</v>
      </c>
      <c r="BA763" s="2" t="s">
        <v>9548</v>
      </c>
      <c r="BB763" s="2" t="s">
        <v>20</v>
      </c>
      <c r="BD763" s="2" t="s">
        <v>9549</v>
      </c>
      <c r="BE763" s="2" t="s">
        <v>9550</v>
      </c>
      <c r="BF763" s="2" t="s">
        <v>9551</v>
      </c>
    </row>
    <row r="764" spans="1:58" ht="39.75" customHeight="1" x14ac:dyDescent="0.25">
      <c r="A764" s="7" t="s">
        <v>5</v>
      </c>
      <c r="B764" s="1" t="s">
        <v>0</v>
      </c>
      <c r="C764" s="1" t="s">
        <v>1</v>
      </c>
      <c r="D764" s="1" t="s">
        <v>9552</v>
      </c>
      <c r="E764" s="1" t="s">
        <v>9553</v>
      </c>
      <c r="F764" s="1" t="s">
        <v>9554</v>
      </c>
      <c r="G764" s="2" t="s">
        <v>4021</v>
      </c>
      <c r="H764" s="2" t="s">
        <v>46</v>
      </c>
      <c r="I764" s="2" t="s">
        <v>6</v>
      </c>
      <c r="J764" s="2" t="s">
        <v>5</v>
      </c>
      <c r="K764" s="2" t="s">
        <v>5</v>
      </c>
      <c r="L764" s="2" t="s">
        <v>7</v>
      </c>
      <c r="M764" s="1" t="s">
        <v>9555</v>
      </c>
      <c r="N764" s="1" t="s">
        <v>9556</v>
      </c>
      <c r="O764" s="2" t="s">
        <v>639</v>
      </c>
      <c r="Q764" s="2" t="s">
        <v>1151</v>
      </c>
      <c r="R764" s="2" t="s">
        <v>1152</v>
      </c>
      <c r="S764" s="1" t="s">
        <v>9557</v>
      </c>
      <c r="T764" s="2" t="s">
        <v>13</v>
      </c>
      <c r="U764" s="3">
        <v>5</v>
      </c>
      <c r="V764" s="3">
        <v>12</v>
      </c>
      <c r="W764" s="4" t="s">
        <v>9558</v>
      </c>
      <c r="X764" s="4" t="s">
        <v>6088</v>
      </c>
      <c r="Y764" s="4" t="s">
        <v>9559</v>
      </c>
      <c r="Z764" s="4" t="s">
        <v>9559</v>
      </c>
      <c r="AA764" s="3">
        <v>309</v>
      </c>
      <c r="AB764" s="3">
        <v>256</v>
      </c>
      <c r="AC764" s="3">
        <v>263</v>
      </c>
      <c r="AD764" s="3">
        <v>2</v>
      </c>
      <c r="AE764" s="9">
        <v>2</v>
      </c>
      <c r="AF764" s="9">
        <v>14</v>
      </c>
      <c r="AG764" s="9">
        <v>14</v>
      </c>
      <c r="AH764" s="3">
        <v>4</v>
      </c>
      <c r="AI764" s="3">
        <v>4</v>
      </c>
      <c r="AJ764" s="3">
        <v>4</v>
      </c>
      <c r="AK764" s="3">
        <v>4</v>
      </c>
      <c r="AL764" s="3">
        <v>8</v>
      </c>
      <c r="AM764" s="3">
        <v>8</v>
      </c>
      <c r="AN764" s="3">
        <v>1</v>
      </c>
      <c r="AO764" s="3">
        <v>1</v>
      </c>
      <c r="AP764" s="3">
        <v>0</v>
      </c>
      <c r="AQ764" s="3">
        <v>0</v>
      </c>
      <c r="AR764" s="2" t="s">
        <v>5</v>
      </c>
      <c r="AS764" s="2" t="s">
        <v>46</v>
      </c>
      <c r="AT764" s="5" t="str">
        <f>HYPERLINK("http://catalog.hathitrust.org/Record/000937278","HathiTrust Record")</f>
        <v>HathiTrust Record</v>
      </c>
      <c r="AU764" s="5" t="str">
        <f>HYPERLINK("https://creighton-primo.hosted.exlibrisgroup.com/primo-explore/search?tab=default_tab&amp;search_scope=EVERYTHING&amp;vid=01CRU&amp;lang=en_US&amp;offset=0&amp;query=any,contains,991001342709702656","Catalog Record")</f>
        <v>Catalog Record</v>
      </c>
      <c r="AV764" s="5" t="str">
        <f>HYPERLINK("http://www.worldcat.org/oclc/18396914","WorldCat Record")</f>
        <v>WorldCat Record</v>
      </c>
      <c r="AW764" s="2" t="s">
        <v>9560</v>
      </c>
      <c r="AX764" s="2" t="s">
        <v>9561</v>
      </c>
      <c r="AY764" s="2" t="s">
        <v>9562</v>
      </c>
      <c r="AZ764" s="2" t="s">
        <v>9562</v>
      </c>
      <c r="BA764" s="2" t="s">
        <v>9563</v>
      </c>
      <c r="BB764" s="2" t="s">
        <v>20</v>
      </c>
      <c r="BD764" s="2" t="s">
        <v>9564</v>
      </c>
      <c r="BE764" s="2" t="s">
        <v>9565</v>
      </c>
      <c r="BF764" s="2" t="s">
        <v>9566</v>
      </c>
    </row>
    <row r="765" spans="1:58" ht="39.75" customHeight="1" x14ac:dyDescent="0.25">
      <c r="A765" s="7" t="s">
        <v>5</v>
      </c>
      <c r="B765" s="1" t="s">
        <v>0</v>
      </c>
      <c r="C765" s="1" t="s">
        <v>1</v>
      </c>
      <c r="D765" s="1" t="s">
        <v>9552</v>
      </c>
      <c r="E765" s="1" t="s">
        <v>9553</v>
      </c>
      <c r="F765" s="1" t="s">
        <v>9554</v>
      </c>
      <c r="G765" s="2" t="s">
        <v>73</v>
      </c>
      <c r="H765" s="2" t="s">
        <v>46</v>
      </c>
      <c r="I765" s="2" t="s">
        <v>6</v>
      </c>
      <c r="J765" s="2" t="s">
        <v>5</v>
      </c>
      <c r="K765" s="2" t="s">
        <v>5</v>
      </c>
      <c r="L765" s="2" t="s">
        <v>7</v>
      </c>
      <c r="M765" s="1" t="s">
        <v>9555</v>
      </c>
      <c r="N765" s="1" t="s">
        <v>9556</v>
      </c>
      <c r="O765" s="2" t="s">
        <v>639</v>
      </c>
      <c r="Q765" s="2" t="s">
        <v>1151</v>
      </c>
      <c r="R765" s="2" t="s">
        <v>1152</v>
      </c>
      <c r="S765" s="1" t="s">
        <v>9557</v>
      </c>
      <c r="T765" s="2" t="s">
        <v>13</v>
      </c>
      <c r="U765" s="3">
        <v>7</v>
      </c>
      <c r="V765" s="3">
        <v>12</v>
      </c>
      <c r="W765" s="4" t="s">
        <v>6088</v>
      </c>
      <c r="X765" s="4" t="s">
        <v>6088</v>
      </c>
      <c r="Y765" s="4" t="s">
        <v>9559</v>
      </c>
      <c r="Z765" s="4" t="s">
        <v>9559</v>
      </c>
      <c r="AA765" s="3">
        <v>309</v>
      </c>
      <c r="AB765" s="3">
        <v>256</v>
      </c>
      <c r="AC765" s="3">
        <v>263</v>
      </c>
      <c r="AD765" s="3">
        <v>2</v>
      </c>
      <c r="AE765" s="9">
        <v>2</v>
      </c>
      <c r="AF765" s="9">
        <v>14</v>
      </c>
      <c r="AG765" s="9">
        <v>14</v>
      </c>
      <c r="AH765" s="3">
        <v>4</v>
      </c>
      <c r="AI765" s="3">
        <v>4</v>
      </c>
      <c r="AJ765" s="3">
        <v>4</v>
      </c>
      <c r="AK765" s="3">
        <v>4</v>
      </c>
      <c r="AL765" s="3">
        <v>8</v>
      </c>
      <c r="AM765" s="3">
        <v>8</v>
      </c>
      <c r="AN765" s="3">
        <v>1</v>
      </c>
      <c r="AO765" s="3">
        <v>1</v>
      </c>
      <c r="AP765" s="3">
        <v>0</v>
      </c>
      <c r="AQ765" s="3">
        <v>0</v>
      </c>
      <c r="AR765" s="2" t="s">
        <v>5</v>
      </c>
      <c r="AS765" s="2" t="s">
        <v>46</v>
      </c>
      <c r="AT765" s="5" t="str">
        <f>HYPERLINK("http://catalog.hathitrust.org/Record/000937278","HathiTrust Record")</f>
        <v>HathiTrust Record</v>
      </c>
      <c r="AU765" s="5" t="str">
        <f>HYPERLINK("https://creighton-primo.hosted.exlibrisgroup.com/primo-explore/search?tab=default_tab&amp;search_scope=EVERYTHING&amp;vid=01CRU&amp;lang=en_US&amp;offset=0&amp;query=any,contains,991001342709702656","Catalog Record")</f>
        <v>Catalog Record</v>
      </c>
      <c r="AV765" s="5" t="str">
        <f>HYPERLINK("http://www.worldcat.org/oclc/18396914","WorldCat Record")</f>
        <v>WorldCat Record</v>
      </c>
      <c r="AW765" s="2" t="s">
        <v>9560</v>
      </c>
      <c r="AX765" s="2" t="s">
        <v>9561</v>
      </c>
      <c r="AY765" s="2" t="s">
        <v>9562</v>
      </c>
      <c r="AZ765" s="2" t="s">
        <v>9562</v>
      </c>
      <c r="BA765" s="2" t="s">
        <v>9563</v>
      </c>
      <c r="BB765" s="2" t="s">
        <v>20</v>
      </c>
      <c r="BD765" s="2" t="s">
        <v>9564</v>
      </c>
      <c r="BE765" s="2" t="s">
        <v>9567</v>
      </c>
      <c r="BF765" s="2" t="s">
        <v>9568</v>
      </c>
    </row>
    <row r="766" spans="1:58" ht="39.75" customHeight="1" x14ac:dyDescent="0.25">
      <c r="A766" s="7" t="s">
        <v>5</v>
      </c>
      <c r="B766" s="1" t="s">
        <v>0</v>
      </c>
      <c r="C766" s="1" t="s">
        <v>1</v>
      </c>
      <c r="D766" s="1" t="s">
        <v>9569</v>
      </c>
      <c r="E766" s="1" t="s">
        <v>9570</v>
      </c>
      <c r="F766" s="1" t="s">
        <v>9571</v>
      </c>
      <c r="H766" s="2" t="s">
        <v>5</v>
      </c>
      <c r="I766" s="2" t="s">
        <v>6</v>
      </c>
      <c r="J766" s="2" t="s">
        <v>5</v>
      </c>
      <c r="K766" s="2" t="s">
        <v>5</v>
      </c>
      <c r="L766" s="2" t="s">
        <v>7</v>
      </c>
      <c r="M766" s="1" t="s">
        <v>9572</v>
      </c>
      <c r="N766" s="1" t="s">
        <v>9573</v>
      </c>
      <c r="O766" s="2" t="s">
        <v>554</v>
      </c>
      <c r="Q766" s="2" t="s">
        <v>1151</v>
      </c>
      <c r="R766" s="2" t="s">
        <v>4146</v>
      </c>
      <c r="S766" s="1" t="s">
        <v>9574</v>
      </c>
      <c r="T766" s="2" t="s">
        <v>13</v>
      </c>
      <c r="U766" s="3">
        <v>1</v>
      </c>
      <c r="V766" s="3">
        <v>1</v>
      </c>
      <c r="W766" s="4" t="s">
        <v>5071</v>
      </c>
      <c r="X766" s="4" t="s">
        <v>5071</v>
      </c>
      <c r="Y766" s="4" t="s">
        <v>5071</v>
      </c>
      <c r="Z766" s="4" t="s">
        <v>5071</v>
      </c>
      <c r="AA766" s="3">
        <v>56</v>
      </c>
      <c r="AB766" s="3">
        <v>42</v>
      </c>
      <c r="AC766" s="3">
        <v>44</v>
      </c>
      <c r="AD766" s="3">
        <v>1</v>
      </c>
      <c r="AE766" s="9">
        <v>1</v>
      </c>
      <c r="AF766" s="9">
        <v>2</v>
      </c>
      <c r="AG766" s="9">
        <v>2</v>
      </c>
      <c r="AH766" s="3">
        <v>0</v>
      </c>
      <c r="AI766" s="3">
        <v>0</v>
      </c>
      <c r="AJ766" s="3">
        <v>2</v>
      </c>
      <c r="AK766" s="3">
        <v>2</v>
      </c>
      <c r="AL766" s="3">
        <v>1</v>
      </c>
      <c r="AM766" s="3">
        <v>1</v>
      </c>
      <c r="AN766" s="3">
        <v>0</v>
      </c>
      <c r="AO766" s="3">
        <v>0</v>
      </c>
      <c r="AP766" s="3">
        <v>0</v>
      </c>
      <c r="AQ766" s="3">
        <v>0</v>
      </c>
      <c r="AR766" s="2" t="s">
        <v>5</v>
      </c>
      <c r="AS766" s="2" t="s">
        <v>46</v>
      </c>
      <c r="AT766" s="5" t="str">
        <f>HYPERLINK("http://catalog.hathitrust.org/Record/101095703","HathiTrust Record")</f>
        <v>HathiTrust Record</v>
      </c>
      <c r="AU766" s="5" t="str">
        <f>HYPERLINK("https://creighton-primo.hosted.exlibrisgroup.com/primo-explore/search?tab=default_tab&amp;search_scope=EVERYTHING&amp;vid=01CRU&amp;lang=en_US&amp;offset=0&amp;query=any,contains,991004335699702656","Catalog Record")</f>
        <v>Catalog Record</v>
      </c>
      <c r="AV766" s="5" t="str">
        <f>HYPERLINK("http://www.worldcat.org/oclc/13727762","WorldCat Record")</f>
        <v>WorldCat Record</v>
      </c>
      <c r="AW766" s="2" t="s">
        <v>9575</v>
      </c>
      <c r="AX766" s="2" t="s">
        <v>9576</v>
      </c>
      <c r="AY766" s="2" t="s">
        <v>9577</v>
      </c>
      <c r="AZ766" s="2" t="s">
        <v>9577</v>
      </c>
      <c r="BA766" s="2" t="s">
        <v>9578</v>
      </c>
      <c r="BB766" s="2" t="s">
        <v>20</v>
      </c>
      <c r="BE766" s="2" t="s">
        <v>9579</v>
      </c>
      <c r="BF766" s="2" t="s">
        <v>9580</v>
      </c>
    </row>
    <row r="767" spans="1:58" ht="39.75" customHeight="1" x14ac:dyDescent="0.25">
      <c r="A767" s="7" t="s">
        <v>5</v>
      </c>
      <c r="B767" s="1" t="s">
        <v>0</v>
      </c>
      <c r="C767" s="1" t="s">
        <v>1</v>
      </c>
      <c r="D767" s="1" t="s">
        <v>9581</v>
      </c>
      <c r="E767" s="1" t="s">
        <v>9582</v>
      </c>
      <c r="F767" s="1" t="s">
        <v>9583</v>
      </c>
      <c r="H767" s="2" t="s">
        <v>5</v>
      </c>
      <c r="I767" s="2" t="s">
        <v>6</v>
      </c>
      <c r="J767" s="2" t="s">
        <v>5</v>
      </c>
      <c r="K767" s="2" t="s">
        <v>5</v>
      </c>
      <c r="L767" s="2" t="s">
        <v>7</v>
      </c>
      <c r="M767" s="1" t="s">
        <v>9584</v>
      </c>
      <c r="N767" s="1" t="s">
        <v>9585</v>
      </c>
      <c r="O767" s="2" t="s">
        <v>480</v>
      </c>
      <c r="P767" s="1" t="s">
        <v>1350</v>
      </c>
      <c r="Q767" s="2" t="s">
        <v>60</v>
      </c>
      <c r="R767" s="2" t="s">
        <v>61</v>
      </c>
      <c r="T767" s="2" t="s">
        <v>13</v>
      </c>
      <c r="U767" s="3">
        <v>5</v>
      </c>
      <c r="V767" s="3">
        <v>5</v>
      </c>
      <c r="W767" s="4" t="s">
        <v>3018</v>
      </c>
      <c r="X767" s="4" t="s">
        <v>3018</v>
      </c>
      <c r="Y767" s="4" t="s">
        <v>9376</v>
      </c>
      <c r="Z767" s="4" t="s">
        <v>9376</v>
      </c>
      <c r="AA767" s="3">
        <v>1000</v>
      </c>
      <c r="AB767" s="3">
        <v>946</v>
      </c>
      <c r="AC767" s="3">
        <v>1018</v>
      </c>
      <c r="AD767" s="3">
        <v>8</v>
      </c>
      <c r="AE767" s="9">
        <v>8</v>
      </c>
      <c r="AF767" s="9">
        <v>39</v>
      </c>
      <c r="AG767" s="9">
        <v>41</v>
      </c>
      <c r="AH767" s="3">
        <v>15</v>
      </c>
      <c r="AI767" s="3">
        <v>17</v>
      </c>
      <c r="AJ767" s="3">
        <v>8</v>
      </c>
      <c r="AK767" s="3">
        <v>9</v>
      </c>
      <c r="AL767" s="3">
        <v>19</v>
      </c>
      <c r="AM767" s="3">
        <v>19</v>
      </c>
      <c r="AN767" s="3">
        <v>7</v>
      </c>
      <c r="AO767" s="3">
        <v>7</v>
      </c>
      <c r="AP767" s="3">
        <v>0</v>
      </c>
      <c r="AQ767" s="3">
        <v>0</v>
      </c>
      <c r="AR767" s="2" t="s">
        <v>5</v>
      </c>
      <c r="AS767" s="2" t="s">
        <v>46</v>
      </c>
      <c r="AT767" s="5" t="str">
        <f>HYPERLINK("http://catalog.hathitrust.org/Record/001111715","HathiTrust Record")</f>
        <v>HathiTrust Record</v>
      </c>
      <c r="AU767" s="5" t="str">
        <f>HYPERLINK("https://creighton-primo.hosted.exlibrisgroup.com/primo-explore/search?tab=default_tab&amp;search_scope=EVERYTHING&amp;vid=01CRU&amp;lang=en_US&amp;offset=0&amp;query=any,contains,991001374259702656","Catalog Record")</f>
        <v>Catalog Record</v>
      </c>
      <c r="AV767" s="5" t="str">
        <f>HYPERLINK("http://www.worldcat.org/oclc/224485","WorldCat Record")</f>
        <v>WorldCat Record</v>
      </c>
      <c r="AW767" s="2" t="s">
        <v>9586</v>
      </c>
      <c r="AX767" s="2" t="s">
        <v>9587</v>
      </c>
      <c r="AY767" s="2" t="s">
        <v>9588</v>
      </c>
      <c r="AZ767" s="2" t="s">
        <v>9588</v>
      </c>
      <c r="BA767" s="2" t="s">
        <v>9589</v>
      </c>
      <c r="BB767" s="2" t="s">
        <v>20</v>
      </c>
      <c r="BE767" s="2" t="s">
        <v>9590</v>
      </c>
      <c r="BF767" s="2" t="s">
        <v>9591</v>
      </c>
    </row>
    <row r="768" spans="1:58" ht="39.75" customHeight="1" x14ac:dyDescent="0.25">
      <c r="A768" s="7" t="s">
        <v>5</v>
      </c>
      <c r="B768" s="1" t="s">
        <v>0</v>
      </c>
      <c r="C768" s="1" t="s">
        <v>1</v>
      </c>
      <c r="D768" s="1" t="s">
        <v>9592</v>
      </c>
      <c r="E768" s="1" t="s">
        <v>9593</v>
      </c>
      <c r="F768" s="1" t="s">
        <v>9594</v>
      </c>
      <c r="H768" s="2" t="s">
        <v>5</v>
      </c>
      <c r="I768" s="2" t="s">
        <v>6</v>
      </c>
      <c r="J768" s="2" t="s">
        <v>5</v>
      </c>
      <c r="K768" s="2" t="s">
        <v>5</v>
      </c>
      <c r="L768" s="2" t="s">
        <v>7</v>
      </c>
      <c r="M768" s="1" t="s">
        <v>9595</v>
      </c>
      <c r="N768" s="1" t="s">
        <v>9596</v>
      </c>
      <c r="O768" s="2" t="s">
        <v>10</v>
      </c>
      <c r="P768" s="1" t="s">
        <v>9597</v>
      </c>
      <c r="Q768" s="2" t="s">
        <v>1151</v>
      </c>
      <c r="R768" s="2" t="s">
        <v>5403</v>
      </c>
      <c r="S768" s="1" t="s">
        <v>9598</v>
      </c>
      <c r="T768" s="2" t="s">
        <v>13</v>
      </c>
      <c r="U768" s="3">
        <v>1</v>
      </c>
      <c r="V768" s="3">
        <v>1</v>
      </c>
      <c r="W768" s="4" t="s">
        <v>5071</v>
      </c>
      <c r="X768" s="4" t="s">
        <v>5071</v>
      </c>
      <c r="Y768" s="4" t="s">
        <v>5071</v>
      </c>
      <c r="Z768" s="4" t="s">
        <v>5071</v>
      </c>
      <c r="AA768" s="3">
        <v>43</v>
      </c>
      <c r="AB768" s="3">
        <v>24</v>
      </c>
      <c r="AC768" s="3">
        <v>461</v>
      </c>
      <c r="AD768" s="3">
        <v>1</v>
      </c>
      <c r="AE768" s="9">
        <v>3</v>
      </c>
      <c r="AF768" s="9">
        <v>2</v>
      </c>
      <c r="AG768" s="9">
        <v>23</v>
      </c>
      <c r="AH768" s="3">
        <v>0</v>
      </c>
      <c r="AI768" s="3">
        <v>8</v>
      </c>
      <c r="AJ768" s="3">
        <v>0</v>
      </c>
      <c r="AK768" s="3">
        <v>5</v>
      </c>
      <c r="AL768" s="3">
        <v>2</v>
      </c>
      <c r="AM768" s="3">
        <v>14</v>
      </c>
      <c r="AN768" s="3">
        <v>0</v>
      </c>
      <c r="AO768" s="3">
        <v>2</v>
      </c>
      <c r="AP768" s="3">
        <v>0</v>
      </c>
      <c r="AQ768" s="3">
        <v>0</v>
      </c>
      <c r="AR768" s="2" t="s">
        <v>5</v>
      </c>
      <c r="AS768" s="2" t="s">
        <v>5</v>
      </c>
      <c r="AU768" s="5" t="str">
        <f>HYPERLINK("https://creighton-primo.hosted.exlibrisgroup.com/primo-explore/search?tab=default_tab&amp;search_scope=EVERYTHING&amp;vid=01CRU&amp;lang=en_US&amp;offset=0&amp;query=any,contains,991004336459702656","Catalog Record")</f>
        <v>Catalog Record</v>
      </c>
      <c r="AV768" s="5" t="str">
        <f>HYPERLINK("http://www.worldcat.org/oclc/15379294","WorldCat Record")</f>
        <v>WorldCat Record</v>
      </c>
      <c r="AW768" s="2" t="s">
        <v>9599</v>
      </c>
      <c r="AX768" s="2" t="s">
        <v>9600</v>
      </c>
      <c r="AY768" s="2" t="s">
        <v>9601</v>
      </c>
      <c r="AZ768" s="2" t="s">
        <v>9601</v>
      </c>
      <c r="BA768" s="2" t="s">
        <v>9602</v>
      </c>
      <c r="BB768" s="2" t="s">
        <v>20</v>
      </c>
      <c r="BD768" s="2" t="s">
        <v>9603</v>
      </c>
      <c r="BE768" s="2" t="s">
        <v>9604</v>
      </c>
      <c r="BF768" s="2" t="s">
        <v>9605</v>
      </c>
    </row>
    <row r="769" spans="1:58" ht="39.75" customHeight="1" x14ac:dyDescent="0.25">
      <c r="A769" s="7" t="s">
        <v>5</v>
      </c>
      <c r="B769" s="1" t="s">
        <v>0</v>
      </c>
      <c r="C769" s="1" t="s">
        <v>1</v>
      </c>
      <c r="D769" s="1" t="s">
        <v>9606</v>
      </c>
      <c r="E769" s="1" t="s">
        <v>9607</v>
      </c>
      <c r="F769" s="1" t="s">
        <v>9608</v>
      </c>
      <c r="G769" s="2" t="s">
        <v>101</v>
      </c>
      <c r="H769" s="2" t="s">
        <v>5</v>
      </c>
      <c r="I769" s="2" t="s">
        <v>6</v>
      </c>
      <c r="J769" s="2" t="s">
        <v>5</v>
      </c>
      <c r="K769" s="2" t="s">
        <v>46</v>
      </c>
      <c r="L769" s="2" t="s">
        <v>7</v>
      </c>
      <c r="N769" s="1" t="s">
        <v>5938</v>
      </c>
      <c r="O769" s="2" t="s">
        <v>27</v>
      </c>
      <c r="P769" s="1" t="s">
        <v>5373</v>
      </c>
      <c r="Q769" s="2" t="s">
        <v>1151</v>
      </c>
      <c r="R769" s="2" t="s">
        <v>1152</v>
      </c>
      <c r="S769" s="1" t="s">
        <v>5940</v>
      </c>
      <c r="T769" s="2" t="s">
        <v>13</v>
      </c>
      <c r="U769" s="3">
        <v>5</v>
      </c>
      <c r="V769" s="3">
        <v>5</v>
      </c>
      <c r="W769" s="4" t="s">
        <v>3887</v>
      </c>
      <c r="X769" s="4" t="s">
        <v>3887</v>
      </c>
      <c r="Y769" s="4" t="s">
        <v>9404</v>
      </c>
      <c r="Z769" s="4" t="s">
        <v>9404</v>
      </c>
      <c r="AA769" s="3">
        <v>74</v>
      </c>
      <c r="AB769" s="3">
        <v>54</v>
      </c>
      <c r="AC769" s="3">
        <v>296</v>
      </c>
      <c r="AD769" s="3">
        <v>1</v>
      </c>
      <c r="AE769" s="9">
        <v>1</v>
      </c>
      <c r="AF769" s="9">
        <v>2</v>
      </c>
      <c r="AG769" s="9">
        <v>16</v>
      </c>
      <c r="AH769" s="3">
        <v>0</v>
      </c>
      <c r="AI769" s="3">
        <v>6</v>
      </c>
      <c r="AJ769" s="3">
        <v>1</v>
      </c>
      <c r="AK769" s="3">
        <v>6</v>
      </c>
      <c r="AL769" s="3">
        <v>1</v>
      </c>
      <c r="AM769" s="3">
        <v>10</v>
      </c>
      <c r="AN769" s="3">
        <v>0</v>
      </c>
      <c r="AO769" s="3">
        <v>0</v>
      </c>
      <c r="AP769" s="3">
        <v>0</v>
      </c>
      <c r="AQ769" s="3">
        <v>0</v>
      </c>
      <c r="AR769" s="2" t="s">
        <v>5</v>
      </c>
      <c r="AS769" s="2" t="s">
        <v>5</v>
      </c>
      <c r="AU769" s="5" t="str">
        <f>HYPERLINK("https://creighton-primo.hosted.exlibrisgroup.com/primo-explore/search?tab=default_tab&amp;search_scope=EVERYTHING&amp;vid=01CRU&amp;lang=en_US&amp;offset=0&amp;query=any,contains,991005417769702656","Catalog Record")</f>
        <v>Catalog Record</v>
      </c>
      <c r="AV769" s="5" t="str">
        <f>HYPERLINK("http://www.worldcat.org/oclc/29010346","WorldCat Record")</f>
        <v>WorldCat Record</v>
      </c>
      <c r="AW769" s="2" t="s">
        <v>9609</v>
      </c>
      <c r="AX769" s="2" t="s">
        <v>9610</v>
      </c>
      <c r="AY769" s="2" t="s">
        <v>9611</v>
      </c>
      <c r="AZ769" s="2" t="s">
        <v>9611</v>
      </c>
      <c r="BA769" s="2" t="s">
        <v>9612</v>
      </c>
      <c r="BB769" s="2" t="s">
        <v>20</v>
      </c>
      <c r="BE769" s="2" t="s">
        <v>9613</v>
      </c>
      <c r="BF769" s="2" t="s">
        <v>9614</v>
      </c>
    </row>
    <row r="770" spans="1:58" ht="39.75" customHeight="1" x14ac:dyDescent="0.25">
      <c r="A770" s="7" t="s">
        <v>5</v>
      </c>
      <c r="B770" s="1" t="s">
        <v>0</v>
      </c>
      <c r="C770" s="1" t="s">
        <v>1</v>
      </c>
      <c r="D770" s="1" t="s">
        <v>9615</v>
      </c>
      <c r="E770" s="1" t="s">
        <v>9616</v>
      </c>
      <c r="F770" s="1" t="s">
        <v>9617</v>
      </c>
      <c r="H770" s="2" t="s">
        <v>5</v>
      </c>
      <c r="I770" s="2" t="s">
        <v>6</v>
      </c>
      <c r="J770" s="2" t="s">
        <v>5</v>
      </c>
      <c r="K770" s="2" t="s">
        <v>5</v>
      </c>
      <c r="L770" s="2" t="s">
        <v>7</v>
      </c>
      <c r="N770" s="1" t="s">
        <v>9618</v>
      </c>
      <c r="O770" s="2" t="s">
        <v>1273</v>
      </c>
      <c r="P770" s="1" t="s">
        <v>5911</v>
      </c>
      <c r="Q770" s="2" t="s">
        <v>1151</v>
      </c>
      <c r="R770" s="2" t="s">
        <v>1152</v>
      </c>
      <c r="S770" s="1" t="s">
        <v>9619</v>
      </c>
      <c r="T770" s="2" t="s">
        <v>13</v>
      </c>
      <c r="U770" s="3">
        <v>2</v>
      </c>
      <c r="V770" s="3">
        <v>2</v>
      </c>
      <c r="W770" s="4" t="s">
        <v>3793</v>
      </c>
      <c r="X770" s="4" t="s">
        <v>3793</v>
      </c>
      <c r="Y770" s="4" t="s">
        <v>5361</v>
      </c>
      <c r="Z770" s="4" t="s">
        <v>5361</v>
      </c>
      <c r="AA770" s="3">
        <v>224</v>
      </c>
      <c r="AB770" s="3">
        <v>159</v>
      </c>
      <c r="AC770" s="3">
        <v>166</v>
      </c>
      <c r="AD770" s="3">
        <v>1</v>
      </c>
      <c r="AE770" s="9">
        <v>1</v>
      </c>
      <c r="AF770" s="9">
        <v>11</v>
      </c>
      <c r="AG770" s="9">
        <v>11</v>
      </c>
      <c r="AH770" s="3">
        <v>3</v>
      </c>
      <c r="AI770" s="3">
        <v>3</v>
      </c>
      <c r="AJ770" s="3">
        <v>5</v>
      </c>
      <c r="AK770" s="3">
        <v>5</v>
      </c>
      <c r="AL770" s="3">
        <v>6</v>
      </c>
      <c r="AM770" s="3">
        <v>6</v>
      </c>
      <c r="AN770" s="3">
        <v>0</v>
      </c>
      <c r="AO770" s="3">
        <v>0</v>
      </c>
      <c r="AP770" s="3">
        <v>0</v>
      </c>
      <c r="AQ770" s="3">
        <v>0</v>
      </c>
      <c r="AR770" s="2" t="s">
        <v>5</v>
      </c>
      <c r="AS770" s="2" t="s">
        <v>46</v>
      </c>
      <c r="AT770" s="5" t="str">
        <f>HYPERLINK("http://catalog.hathitrust.org/Record/000869351","HathiTrust Record")</f>
        <v>HathiTrust Record</v>
      </c>
      <c r="AU770" s="5" t="str">
        <f>HYPERLINK("https://creighton-primo.hosted.exlibrisgroup.com/primo-explore/search?tab=default_tab&amp;search_scope=EVERYTHING&amp;vid=01CRU&amp;lang=en_US&amp;offset=0&amp;query=any,contains,991001127879702656","Catalog Record")</f>
        <v>Catalog Record</v>
      </c>
      <c r="AV770" s="5" t="str">
        <f>HYPERLINK("http://www.worldcat.org/oclc/16665396","WorldCat Record")</f>
        <v>WorldCat Record</v>
      </c>
      <c r="AW770" s="2" t="s">
        <v>9620</v>
      </c>
      <c r="AX770" s="2" t="s">
        <v>9621</v>
      </c>
      <c r="AY770" s="2" t="s">
        <v>9622</v>
      </c>
      <c r="AZ770" s="2" t="s">
        <v>9622</v>
      </c>
      <c r="BA770" s="2" t="s">
        <v>9623</v>
      </c>
      <c r="BB770" s="2" t="s">
        <v>20</v>
      </c>
      <c r="BD770" s="2" t="s">
        <v>9624</v>
      </c>
      <c r="BE770" s="2" t="s">
        <v>9625</v>
      </c>
      <c r="BF770" s="2" t="s">
        <v>9626</v>
      </c>
    </row>
    <row r="771" spans="1:58" ht="39.75" customHeight="1" x14ac:dyDescent="0.25">
      <c r="A771" s="7" t="s">
        <v>5</v>
      </c>
      <c r="B771" s="1" t="s">
        <v>0</v>
      </c>
      <c r="C771" s="1" t="s">
        <v>1</v>
      </c>
      <c r="D771" s="1" t="s">
        <v>9627</v>
      </c>
      <c r="E771" s="1" t="s">
        <v>9628</v>
      </c>
      <c r="F771" s="1" t="s">
        <v>9629</v>
      </c>
      <c r="H771" s="2" t="s">
        <v>5</v>
      </c>
      <c r="I771" s="2" t="s">
        <v>6</v>
      </c>
      <c r="J771" s="2" t="s">
        <v>5</v>
      </c>
      <c r="K771" s="2" t="s">
        <v>5</v>
      </c>
      <c r="L771" s="2" t="s">
        <v>7</v>
      </c>
      <c r="M771" s="1" t="s">
        <v>9630</v>
      </c>
      <c r="N771" s="1" t="s">
        <v>9631</v>
      </c>
      <c r="O771" s="2" t="s">
        <v>995</v>
      </c>
      <c r="P771" s="1" t="s">
        <v>7656</v>
      </c>
      <c r="Q771" s="2" t="s">
        <v>1151</v>
      </c>
      <c r="R771" s="2" t="s">
        <v>5403</v>
      </c>
      <c r="S771" s="1" t="s">
        <v>9632</v>
      </c>
      <c r="T771" s="2" t="s">
        <v>13</v>
      </c>
      <c r="U771" s="3">
        <v>2</v>
      </c>
      <c r="V771" s="3">
        <v>2</v>
      </c>
      <c r="W771" s="4" t="s">
        <v>3793</v>
      </c>
      <c r="X771" s="4" t="s">
        <v>3793</v>
      </c>
      <c r="Y771" s="4" t="s">
        <v>5361</v>
      </c>
      <c r="Z771" s="4" t="s">
        <v>5361</v>
      </c>
      <c r="AA771" s="3">
        <v>27</v>
      </c>
      <c r="AB771" s="3">
        <v>20</v>
      </c>
      <c r="AC771" s="3">
        <v>261</v>
      </c>
      <c r="AD771" s="3">
        <v>2</v>
      </c>
      <c r="AE771" s="9">
        <v>4</v>
      </c>
      <c r="AF771" s="9">
        <v>1</v>
      </c>
      <c r="AG771" s="9">
        <v>14</v>
      </c>
      <c r="AH771" s="3">
        <v>0</v>
      </c>
      <c r="AI771" s="3">
        <v>2</v>
      </c>
      <c r="AJ771" s="3">
        <v>0</v>
      </c>
      <c r="AK771" s="3">
        <v>5</v>
      </c>
      <c r="AL771" s="3">
        <v>0</v>
      </c>
      <c r="AM771" s="3">
        <v>7</v>
      </c>
      <c r="AN771" s="3">
        <v>1</v>
      </c>
      <c r="AO771" s="3">
        <v>3</v>
      </c>
      <c r="AP771" s="3">
        <v>0</v>
      </c>
      <c r="AQ771" s="3">
        <v>0</v>
      </c>
      <c r="AR771" s="2" t="s">
        <v>5</v>
      </c>
      <c r="AS771" s="2" t="s">
        <v>46</v>
      </c>
      <c r="AT771" s="5" t="str">
        <f>HYPERLINK("http://catalog.hathitrust.org/Record/007103884","HathiTrust Record")</f>
        <v>HathiTrust Record</v>
      </c>
      <c r="AU771" s="5" t="str">
        <f>HYPERLINK("https://creighton-primo.hosted.exlibrisgroup.com/primo-explore/search?tab=default_tab&amp;search_scope=EVERYTHING&amp;vid=01CRU&amp;lang=en_US&amp;offset=0&amp;query=any,contains,991000193789702656","Catalog Record")</f>
        <v>Catalog Record</v>
      </c>
      <c r="AV771" s="5" t="str">
        <f>HYPERLINK("http://www.worldcat.org/oclc/9427040","WorldCat Record")</f>
        <v>WorldCat Record</v>
      </c>
      <c r="AW771" s="2" t="s">
        <v>9633</v>
      </c>
      <c r="AX771" s="2" t="s">
        <v>9634</v>
      </c>
      <c r="AY771" s="2" t="s">
        <v>9635</v>
      </c>
      <c r="AZ771" s="2" t="s">
        <v>9635</v>
      </c>
      <c r="BA771" s="2" t="s">
        <v>9636</v>
      </c>
      <c r="BB771" s="2" t="s">
        <v>20</v>
      </c>
      <c r="BD771" s="2" t="s">
        <v>9637</v>
      </c>
      <c r="BE771" s="2" t="s">
        <v>9638</v>
      </c>
      <c r="BF771" s="2" t="s">
        <v>9639</v>
      </c>
    </row>
    <row r="772" spans="1:58" ht="39.75" customHeight="1" x14ac:dyDescent="0.25">
      <c r="A772" s="7" t="s">
        <v>5</v>
      </c>
      <c r="B772" s="1" t="s">
        <v>0</v>
      </c>
      <c r="C772" s="1" t="s">
        <v>1</v>
      </c>
      <c r="D772" s="1" t="s">
        <v>9640</v>
      </c>
      <c r="E772" s="1" t="s">
        <v>9641</v>
      </c>
      <c r="F772" s="1" t="s">
        <v>9642</v>
      </c>
      <c r="H772" s="2" t="s">
        <v>5</v>
      </c>
      <c r="I772" s="2" t="s">
        <v>6</v>
      </c>
      <c r="J772" s="2" t="s">
        <v>5</v>
      </c>
      <c r="K772" s="2" t="s">
        <v>5</v>
      </c>
      <c r="L772" s="2" t="s">
        <v>7</v>
      </c>
      <c r="M772" s="1" t="s">
        <v>9630</v>
      </c>
      <c r="N772" s="1" t="s">
        <v>9643</v>
      </c>
      <c r="O772" s="2" t="s">
        <v>1390</v>
      </c>
      <c r="P772" s="1" t="s">
        <v>5373</v>
      </c>
      <c r="Q772" s="2" t="s">
        <v>1151</v>
      </c>
      <c r="R772" s="2" t="s">
        <v>5403</v>
      </c>
      <c r="S772" s="1" t="s">
        <v>9644</v>
      </c>
      <c r="T772" s="2" t="s">
        <v>13</v>
      </c>
      <c r="U772" s="3">
        <v>2</v>
      </c>
      <c r="V772" s="3">
        <v>2</v>
      </c>
      <c r="W772" s="4" t="s">
        <v>3793</v>
      </c>
      <c r="X772" s="4" t="s">
        <v>3793</v>
      </c>
      <c r="Y772" s="4" t="s">
        <v>5361</v>
      </c>
      <c r="Z772" s="4" t="s">
        <v>5361</v>
      </c>
      <c r="AA772" s="3">
        <v>73</v>
      </c>
      <c r="AB772" s="3">
        <v>63</v>
      </c>
      <c r="AC772" s="3">
        <v>193</v>
      </c>
      <c r="AD772" s="3">
        <v>2</v>
      </c>
      <c r="AE772" s="9">
        <v>2</v>
      </c>
      <c r="AF772" s="9">
        <v>4</v>
      </c>
      <c r="AG772" s="9">
        <v>11</v>
      </c>
      <c r="AH772" s="3">
        <v>1</v>
      </c>
      <c r="AI772" s="3">
        <v>2</v>
      </c>
      <c r="AJ772" s="3">
        <v>2</v>
      </c>
      <c r="AK772" s="3">
        <v>5</v>
      </c>
      <c r="AL772" s="3">
        <v>1</v>
      </c>
      <c r="AM772" s="3">
        <v>5</v>
      </c>
      <c r="AN772" s="3">
        <v>1</v>
      </c>
      <c r="AO772" s="3">
        <v>1</v>
      </c>
      <c r="AP772" s="3">
        <v>0</v>
      </c>
      <c r="AQ772" s="3">
        <v>0</v>
      </c>
      <c r="AR772" s="2" t="s">
        <v>5</v>
      </c>
      <c r="AS772" s="2" t="s">
        <v>46</v>
      </c>
      <c r="AT772" s="5" t="str">
        <f>HYPERLINK("http://catalog.hathitrust.org/Record/000127935","HathiTrust Record")</f>
        <v>HathiTrust Record</v>
      </c>
      <c r="AU772" s="5" t="str">
        <f>HYPERLINK("https://creighton-primo.hosted.exlibrisgroup.com/primo-explore/search?tab=default_tab&amp;search_scope=EVERYTHING&amp;vid=01CRU&amp;lang=en_US&amp;offset=0&amp;query=any,contains,991005071579702656","Catalog Record")</f>
        <v>Catalog Record</v>
      </c>
      <c r="AV772" s="5" t="str">
        <f>HYPERLINK("http://www.worldcat.org/oclc/7032928","WorldCat Record")</f>
        <v>WorldCat Record</v>
      </c>
      <c r="AW772" s="2" t="s">
        <v>9645</v>
      </c>
      <c r="AX772" s="2" t="s">
        <v>9646</v>
      </c>
      <c r="AY772" s="2" t="s">
        <v>9647</v>
      </c>
      <c r="AZ772" s="2" t="s">
        <v>9647</v>
      </c>
      <c r="BA772" s="2" t="s">
        <v>9648</v>
      </c>
      <c r="BB772" s="2" t="s">
        <v>20</v>
      </c>
      <c r="BD772" s="2" t="s">
        <v>9649</v>
      </c>
      <c r="BE772" s="2" t="s">
        <v>9650</v>
      </c>
      <c r="BF772" s="2" t="s">
        <v>9651</v>
      </c>
    </row>
    <row r="773" spans="1:58" ht="39.75" customHeight="1" x14ac:dyDescent="0.25">
      <c r="A773" s="7" t="s">
        <v>5</v>
      </c>
      <c r="B773" s="1" t="s">
        <v>0</v>
      </c>
      <c r="C773" s="1" t="s">
        <v>1</v>
      </c>
      <c r="D773" s="1" t="s">
        <v>9652</v>
      </c>
      <c r="E773" s="1" t="s">
        <v>9653</v>
      </c>
      <c r="F773" s="1" t="s">
        <v>9654</v>
      </c>
      <c r="H773" s="2" t="s">
        <v>5</v>
      </c>
      <c r="I773" s="2" t="s">
        <v>6</v>
      </c>
      <c r="J773" s="2" t="s">
        <v>5</v>
      </c>
      <c r="K773" s="2" t="s">
        <v>5</v>
      </c>
      <c r="L773" s="2" t="s">
        <v>7</v>
      </c>
      <c r="M773" s="1" t="s">
        <v>9655</v>
      </c>
      <c r="N773" s="1" t="s">
        <v>9656</v>
      </c>
      <c r="O773" s="2" t="s">
        <v>1273</v>
      </c>
      <c r="P773" s="1" t="s">
        <v>5911</v>
      </c>
      <c r="Q773" s="2" t="s">
        <v>1151</v>
      </c>
      <c r="R773" s="2" t="s">
        <v>5403</v>
      </c>
      <c r="S773" s="1" t="s">
        <v>9657</v>
      </c>
      <c r="T773" s="2" t="s">
        <v>13</v>
      </c>
      <c r="U773" s="3">
        <v>2</v>
      </c>
      <c r="V773" s="3">
        <v>2</v>
      </c>
      <c r="W773" s="4" t="s">
        <v>9658</v>
      </c>
      <c r="X773" s="4" t="s">
        <v>9658</v>
      </c>
      <c r="Y773" s="4" t="s">
        <v>9659</v>
      </c>
      <c r="Z773" s="4" t="s">
        <v>9659</v>
      </c>
      <c r="AA773" s="3">
        <v>191</v>
      </c>
      <c r="AB773" s="3">
        <v>175</v>
      </c>
      <c r="AC773" s="3">
        <v>177</v>
      </c>
      <c r="AD773" s="3">
        <v>2</v>
      </c>
      <c r="AE773" s="9">
        <v>2</v>
      </c>
      <c r="AF773" s="9">
        <v>15</v>
      </c>
      <c r="AG773" s="9">
        <v>15</v>
      </c>
      <c r="AH773" s="3">
        <v>4</v>
      </c>
      <c r="AI773" s="3">
        <v>4</v>
      </c>
      <c r="AJ773" s="3">
        <v>5</v>
      </c>
      <c r="AK773" s="3">
        <v>5</v>
      </c>
      <c r="AL773" s="3">
        <v>9</v>
      </c>
      <c r="AM773" s="3">
        <v>9</v>
      </c>
      <c r="AN773" s="3">
        <v>1</v>
      </c>
      <c r="AO773" s="3">
        <v>1</v>
      </c>
      <c r="AP773" s="3">
        <v>0</v>
      </c>
      <c r="AQ773" s="3">
        <v>0</v>
      </c>
      <c r="AR773" s="2" t="s">
        <v>5</v>
      </c>
      <c r="AS773" s="2" t="s">
        <v>46</v>
      </c>
      <c r="AT773" s="5" t="str">
        <f>HYPERLINK("http://catalog.hathitrust.org/Record/000855579","HathiTrust Record")</f>
        <v>HathiTrust Record</v>
      </c>
      <c r="AU773" s="5" t="str">
        <f>HYPERLINK("https://creighton-primo.hosted.exlibrisgroup.com/primo-explore/search?tab=default_tab&amp;search_scope=EVERYTHING&amp;vid=01CRU&amp;lang=en_US&amp;offset=0&amp;query=any,contains,991001005869702656","Catalog Record")</f>
        <v>Catalog Record</v>
      </c>
      <c r="AV773" s="5" t="str">
        <f>HYPERLINK("http://www.worldcat.org/oclc/15238761","WorldCat Record")</f>
        <v>WorldCat Record</v>
      </c>
      <c r="AW773" s="2" t="s">
        <v>9660</v>
      </c>
      <c r="AX773" s="2" t="s">
        <v>9661</v>
      </c>
      <c r="AY773" s="2" t="s">
        <v>9662</v>
      </c>
      <c r="AZ773" s="2" t="s">
        <v>9662</v>
      </c>
      <c r="BA773" s="2" t="s">
        <v>9663</v>
      </c>
      <c r="BB773" s="2" t="s">
        <v>20</v>
      </c>
      <c r="BD773" s="2" t="s">
        <v>9664</v>
      </c>
      <c r="BE773" s="2" t="s">
        <v>9665</v>
      </c>
      <c r="BF773" s="2" t="s">
        <v>9666</v>
      </c>
    </row>
    <row r="774" spans="1:58" ht="39.75" customHeight="1" x14ac:dyDescent="0.25">
      <c r="A774" s="7" t="s">
        <v>5</v>
      </c>
      <c r="B774" s="1" t="s">
        <v>0</v>
      </c>
      <c r="C774" s="1" t="s">
        <v>1</v>
      </c>
      <c r="D774" s="1" t="s">
        <v>9667</v>
      </c>
      <c r="E774" s="1" t="s">
        <v>9668</v>
      </c>
      <c r="F774" s="1" t="s">
        <v>9669</v>
      </c>
      <c r="G774" s="2" t="s">
        <v>2083</v>
      </c>
      <c r="H774" s="2" t="s">
        <v>46</v>
      </c>
      <c r="I774" s="2" t="s">
        <v>6</v>
      </c>
      <c r="J774" s="2" t="s">
        <v>5</v>
      </c>
      <c r="K774" s="2" t="s">
        <v>5</v>
      </c>
      <c r="L774" s="2" t="s">
        <v>7</v>
      </c>
      <c r="N774" s="1" t="s">
        <v>9670</v>
      </c>
      <c r="O774" s="2" t="s">
        <v>736</v>
      </c>
      <c r="Q774" s="2" t="s">
        <v>1151</v>
      </c>
      <c r="R774" s="2" t="s">
        <v>1152</v>
      </c>
      <c r="T774" s="2" t="s">
        <v>13</v>
      </c>
      <c r="U774" s="3">
        <v>1</v>
      </c>
      <c r="V774" s="3">
        <v>2</v>
      </c>
      <c r="W774" s="4" t="s">
        <v>9671</v>
      </c>
      <c r="X774" s="4" t="s">
        <v>9672</v>
      </c>
      <c r="Y774" s="4" t="s">
        <v>9673</v>
      </c>
      <c r="Z774" s="4" t="s">
        <v>9674</v>
      </c>
      <c r="AA774" s="3">
        <v>193</v>
      </c>
      <c r="AB774" s="3">
        <v>152</v>
      </c>
      <c r="AC774" s="3">
        <v>155</v>
      </c>
      <c r="AD774" s="3">
        <v>2</v>
      </c>
      <c r="AE774" s="9">
        <v>2</v>
      </c>
      <c r="AF774" s="9">
        <v>10</v>
      </c>
      <c r="AG774" s="9">
        <v>10</v>
      </c>
      <c r="AH774" s="3">
        <v>1</v>
      </c>
      <c r="AI774" s="3">
        <v>1</v>
      </c>
      <c r="AJ774" s="3">
        <v>4</v>
      </c>
      <c r="AK774" s="3">
        <v>4</v>
      </c>
      <c r="AL774" s="3">
        <v>7</v>
      </c>
      <c r="AM774" s="3">
        <v>7</v>
      </c>
      <c r="AN774" s="3">
        <v>1</v>
      </c>
      <c r="AO774" s="3">
        <v>1</v>
      </c>
      <c r="AP774" s="3">
        <v>0</v>
      </c>
      <c r="AQ774" s="3">
        <v>0</v>
      </c>
      <c r="AR774" s="2" t="s">
        <v>5</v>
      </c>
      <c r="AS774" s="2" t="s">
        <v>46</v>
      </c>
      <c r="AT774" s="5" t="str">
        <f>HYPERLINK("http://catalog.hathitrust.org/Record/002700686","HathiTrust Record")</f>
        <v>HathiTrust Record</v>
      </c>
      <c r="AU774" s="5" t="str">
        <f>HYPERLINK("https://creighton-primo.hosted.exlibrisgroup.com/primo-explore/search?tab=default_tab&amp;search_scope=EVERYTHING&amp;vid=01CRU&amp;lang=en_US&amp;offset=0&amp;query=any,contains,991002095189702656","Catalog Record")</f>
        <v>Catalog Record</v>
      </c>
      <c r="AV774" s="5" t="str">
        <f>HYPERLINK("http://www.worldcat.org/oclc/26857766","WorldCat Record")</f>
        <v>WorldCat Record</v>
      </c>
      <c r="AW774" s="2" t="s">
        <v>9675</v>
      </c>
      <c r="AX774" s="2" t="s">
        <v>9676</v>
      </c>
      <c r="AY774" s="2" t="s">
        <v>9677</v>
      </c>
      <c r="AZ774" s="2" t="s">
        <v>9677</v>
      </c>
      <c r="BA774" s="2" t="s">
        <v>9678</v>
      </c>
      <c r="BB774" s="2" t="s">
        <v>20</v>
      </c>
      <c r="BD774" s="2" t="s">
        <v>9679</v>
      </c>
      <c r="BE774" s="2" t="s">
        <v>9680</v>
      </c>
      <c r="BF774" s="2" t="s">
        <v>9681</v>
      </c>
    </row>
    <row r="775" spans="1:58" ht="39.75" customHeight="1" x14ac:dyDescent="0.25">
      <c r="A775" s="7" t="s">
        <v>5</v>
      </c>
      <c r="B775" s="1" t="s">
        <v>0</v>
      </c>
      <c r="C775" s="1" t="s">
        <v>1</v>
      </c>
      <c r="D775" s="1" t="s">
        <v>9667</v>
      </c>
      <c r="E775" s="1" t="s">
        <v>9668</v>
      </c>
      <c r="F775" s="1" t="s">
        <v>9669</v>
      </c>
      <c r="H775" s="2" t="s">
        <v>46</v>
      </c>
      <c r="I775" s="2" t="s">
        <v>6</v>
      </c>
      <c r="J775" s="2" t="s">
        <v>46</v>
      </c>
      <c r="K775" s="2" t="s">
        <v>5</v>
      </c>
      <c r="L775" s="2" t="s">
        <v>7</v>
      </c>
      <c r="N775" s="1" t="s">
        <v>9670</v>
      </c>
      <c r="O775" s="2" t="s">
        <v>736</v>
      </c>
      <c r="Q775" s="2" t="s">
        <v>1151</v>
      </c>
      <c r="R775" s="2" t="s">
        <v>1152</v>
      </c>
      <c r="T775" s="2" t="s">
        <v>13</v>
      </c>
      <c r="U775" s="3">
        <v>0</v>
      </c>
      <c r="V775" s="3">
        <v>2</v>
      </c>
      <c r="X775" s="4" t="s">
        <v>9672</v>
      </c>
      <c r="Y775" s="4" t="s">
        <v>9682</v>
      </c>
      <c r="Z775" s="4" t="s">
        <v>9674</v>
      </c>
      <c r="AA775" s="3">
        <v>193</v>
      </c>
      <c r="AB775" s="3">
        <v>152</v>
      </c>
      <c r="AC775" s="3">
        <v>155</v>
      </c>
      <c r="AD775" s="3">
        <v>2</v>
      </c>
      <c r="AE775" s="9">
        <v>2</v>
      </c>
      <c r="AF775" s="9">
        <v>10</v>
      </c>
      <c r="AG775" s="9">
        <v>10</v>
      </c>
      <c r="AH775" s="3">
        <v>1</v>
      </c>
      <c r="AI775" s="3">
        <v>1</v>
      </c>
      <c r="AJ775" s="3">
        <v>4</v>
      </c>
      <c r="AK775" s="3">
        <v>4</v>
      </c>
      <c r="AL775" s="3">
        <v>7</v>
      </c>
      <c r="AM775" s="3">
        <v>7</v>
      </c>
      <c r="AN775" s="3">
        <v>1</v>
      </c>
      <c r="AO775" s="3">
        <v>1</v>
      </c>
      <c r="AP775" s="3">
        <v>0</v>
      </c>
      <c r="AQ775" s="3">
        <v>0</v>
      </c>
      <c r="AR775" s="2" t="s">
        <v>5</v>
      </c>
      <c r="AS775" s="2" t="s">
        <v>46</v>
      </c>
      <c r="AT775" s="5" t="str">
        <f>HYPERLINK("http://catalog.hathitrust.org/Record/002700686","HathiTrust Record")</f>
        <v>HathiTrust Record</v>
      </c>
      <c r="AU775" s="5" t="str">
        <f>HYPERLINK("https://creighton-primo.hosted.exlibrisgroup.com/primo-explore/search?tab=default_tab&amp;search_scope=EVERYTHING&amp;vid=01CRU&amp;lang=en_US&amp;offset=0&amp;query=any,contains,991002095189702656","Catalog Record")</f>
        <v>Catalog Record</v>
      </c>
      <c r="AV775" s="5" t="str">
        <f>HYPERLINK("http://www.worldcat.org/oclc/26857766","WorldCat Record")</f>
        <v>WorldCat Record</v>
      </c>
      <c r="AW775" s="2" t="s">
        <v>9675</v>
      </c>
      <c r="AX775" s="2" t="s">
        <v>9676</v>
      </c>
      <c r="AY775" s="2" t="s">
        <v>9677</v>
      </c>
      <c r="AZ775" s="2" t="s">
        <v>9677</v>
      </c>
      <c r="BA775" s="2" t="s">
        <v>9678</v>
      </c>
      <c r="BB775" s="2" t="s">
        <v>20</v>
      </c>
      <c r="BD775" s="2" t="s">
        <v>9679</v>
      </c>
      <c r="BE775" s="2" t="s">
        <v>9683</v>
      </c>
      <c r="BF775" s="2" t="s">
        <v>9684</v>
      </c>
    </row>
    <row r="776" spans="1:58" ht="39.75" customHeight="1" x14ac:dyDescent="0.25">
      <c r="A776" s="7" t="s">
        <v>5</v>
      </c>
      <c r="B776" s="1" t="s">
        <v>0</v>
      </c>
      <c r="C776" s="1" t="s">
        <v>1</v>
      </c>
      <c r="D776" s="1" t="s">
        <v>9667</v>
      </c>
      <c r="E776" s="1" t="s">
        <v>9668</v>
      </c>
      <c r="F776" s="1" t="s">
        <v>9669</v>
      </c>
      <c r="G776" s="2" t="s">
        <v>2107</v>
      </c>
      <c r="H776" s="2" t="s">
        <v>46</v>
      </c>
      <c r="I776" s="2" t="s">
        <v>6</v>
      </c>
      <c r="J776" s="2" t="s">
        <v>5</v>
      </c>
      <c r="K776" s="2" t="s">
        <v>5</v>
      </c>
      <c r="L776" s="2" t="s">
        <v>7</v>
      </c>
      <c r="N776" s="1" t="s">
        <v>9670</v>
      </c>
      <c r="O776" s="2" t="s">
        <v>736</v>
      </c>
      <c r="Q776" s="2" t="s">
        <v>1151</v>
      </c>
      <c r="R776" s="2" t="s">
        <v>1152</v>
      </c>
      <c r="T776" s="2" t="s">
        <v>13</v>
      </c>
      <c r="U776" s="3">
        <v>0</v>
      </c>
      <c r="V776" s="3">
        <v>2</v>
      </c>
      <c r="X776" s="4" t="s">
        <v>9672</v>
      </c>
      <c r="Y776" s="4" t="s">
        <v>9673</v>
      </c>
      <c r="Z776" s="4" t="s">
        <v>9674</v>
      </c>
      <c r="AA776" s="3">
        <v>193</v>
      </c>
      <c r="AB776" s="3">
        <v>152</v>
      </c>
      <c r="AC776" s="3">
        <v>155</v>
      </c>
      <c r="AD776" s="3">
        <v>2</v>
      </c>
      <c r="AE776" s="9">
        <v>2</v>
      </c>
      <c r="AF776" s="9">
        <v>10</v>
      </c>
      <c r="AG776" s="9">
        <v>10</v>
      </c>
      <c r="AH776" s="3">
        <v>1</v>
      </c>
      <c r="AI776" s="3">
        <v>1</v>
      </c>
      <c r="AJ776" s="3">
        <v>4</v>
      </c>
      <c r="AK776" s="3">
        <v>4</v>
      </c>
      <c r="AL776" s="3">
        <v>7</v>
      </c>
      <c r="AM776" s="3">
        <v>7</v>
      </c>
      <c r="AN776" s="3">
        <v>1</v>
      </c>
      <c r="AO776" s="3">
        <v>1</v>
      </c>
      <c r="AP776" s="3">
        <v>0</v>
      </c>
      <c r="AQ776" s="3">
        <v>0</v>
      </c>
      <c r="AR776" s="2" t="s">
        <v>5</v>
      </c>
      <c r="AS776" s="2" t="s">
        <v>46</v>
      </c>
      <c r="AT776" s="5" t="str">
        <f>HYPERLINK("http://catalog.hathitrust.org/Record/002700686","HathiTrust Record")</f>
        <v>HathiTrust Record</v>
      </c>
      <c r="AU776" s="5" t="str">
        <f>HYPERLINK("https://creighton-primo.hosted.exlibrisgroup.com/primo-explore/search?tab=default_tab&amp;search_scope=EVERYTHING&amp;vid=01CRU&amp;lang=en_US&amp;offset=0&amp;query=any,contains,991002095189702656","Catalog Record")</f>
        <v>Catalog Record</v>
      </c>
      <c r="AV776" s="5" t="str">
        <f>HYPERLINK("http://www.worldcat.org/oclc/26857766","WorldCat Record")</f>
        <v>WorldCat Record</v>
      </c>
      <c r="AW776" s="2" t="s">
        <v>9675</v>
      </c>
      <c r="AX776" s="2" t="s">
        <v>9676</v>
      </c>
      <c r="AY776" s="2" t="s">
        <v>9677</v>
      </c>
      <c r="AZ776" s="2" t="s">
        <v>9677</v>
      </c>
      <c r="BA776" s="2" t="s">
        <v>9678</v>
      </c>
      <c r="BB776" s="2" t="s">
        <v>20</v>
      </c>
      <c r="BD776" s="2" t="s">
        <v>9679</v>
      </c>
      <c r="BE776" s="2" t="s">
        <v>9685</v>
      </c>
      <c r="BF776" s="2" t="s">
        <v>9686</v>
      </c>
    </row>
    <row r="777" spans="1:58" ht="39.75" customHeight="1" x14ac:dyDescent="0.25">
      <c r="A777" s="7" t="s">
        <v>5</v>
      </c>
      <c r="B777" s="1" t="s">
        <v>0</v>
      </c>
      <c r="C777" s="1" t="s">
        <v>1</v>
      </c>
      <c r="D777" s="1" t="s">
        <v>9667</v>
      </c>
      <c r="E777" s="1" t="s">
        <v>9668</v>
      </c>
      <c r="F777" s="1" t="s">
        <v>9669</v>
      </c>
      <c r="G777" s="2" t="s">
        <v>5110</v>
      </c>
      <c r="H777" s="2" t="s">
        <v>46</v>
      </c>
      <c r="I777" s="2" t="s">
        <v>6</v>
      </c>
      <c r="J777" s="2" t="s">
        <v>5</v>
      </c>
      <c r="K777" s="2" t="s">
        <v>5</v>
      </c>
      <c r="L777" s="2" t="s">
        <v>7</v>
      </c>
      <c r="N777" s="1" t="s">
        <v>9670</v>
      </c>
      <c r="O777" s="2" t="s">
        <v>736</v>
      </c>
      <c r="Q777" s="2" t="s">
        <v>1151</v>
      </c>
      <c r="R777" s="2" t="s">
        <v>1152</v>
      </c>
      <c r="T777" s="2" t="s">
        <v>13</v>
      </c>
      <c r="U777" s="3">
        <v>1</v>
      </c>
      <c r="V777" s="3">
        <v>2</v>
      </c>
      <c r="W777" s="4" t="s">
        <v>9672</v>
      </c>
      <c r="X777" s="4" t="s">
        <v>9672</v>
      </c>
      <c r="Y777" s="4" t="s">
        <v>9672</v>
      </c>
      <c r="Z777" s="4" t="s">
        <v>9674</v>
      </c>
      <c r="AA777" s="3">
        <v>193</v>
      </c>
      <c r="AB777" s="3">
        <v>152</v>
      </c>
      <c r="AC777" s="3">
        <v>155</v>
      </c>
      <c r="AD777" s="3">
        <v>2</v>
      </c>
      <c r="AE777" s="9">
        <v>2</v>
      </c>
      <c r="AF777" s="9">
        <v>10</v>
      </c>
      <c r="AG777" s="9">
        <v>10</v>
      </c>
      <c r="AH777" s="3">
        <v>1</v>
      </c>
      <c r="AI777" s="3">
        <v>1</v>
      </c>
      <c r="AJ777" s="3">
        <v>4</v>
      </c>
      <c r="AK777" s="3">
        <v>4</v>
      </c>
      <c r="AL777" s="3">
        <v>7</v>
      </c>
      <c r="AM777" s="3">
        <v>7</v>
      </c>
      <c r="AN777" s="3">
        <v>1</v>
      </c>
      <c r="AO777" s="3">
        <v>1</v>
      </c>
      <c r="AP777" s="3">
        <v>0</v>
      </c>
      <c r="AQ777" s="3">
        <v>0</v>
      </c>
      <c r="AR777" s="2" t="s">
        <v>5</v>
      </c>
      <c r="AS777" s="2" t="s">
        <v>46</v>
      </c>
      <c r="AT777" s="5" t="str">
        <f>HYPERLINK("http://catalog.hathitrust.org/Record/002700686","HathiTrust Record")</f>
        <v>HathiTrust Record</v>
      </c>
      <c r="AU777" s="5" t="str">
        <f>HYPERLINK("https://creighton-primo.hosted.exlibrisgroup.com/primo-explore/search?tab=default_tab&amp;search_scope=EVERYTHING&amp;vid=01CRU&amp;lang=en_US&amp;offset=0&amp;query=any,contains,991002095189702656","Catalog Record")</f>
        <v>Catalog Record</v>
      </c>
      <c r="AV777" s="5" t="str">
        <f>HYPERLINK("http://www.worldcat.org/oclc/26857766","WorldCat Record")</f>
        <v>WorldCat Record</v>
      </c>
      <c r="AW777" s="2" t="s">
        <v>9675</v>
      </c>
      <c r="AX777" s="2" t="s">
        <v>9676</v>
      </c>
      <c r="AY777" s="2" t="s">
        <v>9677</v>
      </c>
      <c r="AZ777" s="2" t="s">
        <v>9677</v>
      </c>
      <c r="BA777" s="2" t="s">
        <v>9678</v>
      </c>
      <c r="BB777" s="2" t="s">
        <v>20</v>
      </c>
      <c r="BD777" s="2" t="s">
        <v>9679</v>
      </c>
      <c r="BE777" s="2" t="s">
        <v>9687</v>
      </c>
      <c r="BF777" s="2" t="s">
        <v>9688</v>
      </c>
    </row>
    <row r="778" spans="1:58" ht="39.75" customHeight="1" x14ac:dyDescent="0.25">
      <c r="A778" s="7" t="s">
        <v>5</v>
      </c>
      <c r="B778" s="1" t="s">
        <v>0</v>
      </c>
      <c r="C778" s="1" t="s">
        <v>1</v>
      </c>
      <c r="D778" s="1" t="s">
        <v>9667</v>
      </c>
      <c r="E778" s="1" t="s">
        <v>9668</v>
      </c>
      <c r="F778" s="1" t="s">
        <v>9669</v>
      </c>
      <c r="G778" s="2" t="s">
        <v>5126</v>
      </c>
      <c r="H778" s="2" t="s">
        <v>46</v>
      </c>
      <c r="I778" s="2" t="s">
        <v>6</v>
      </c>
      <c r="J778" s="2" t="s">
        <v>5</v>
      </c>
      <c r="K778" s="2" t="s">
        <v>5</v>
      </c>
      <c r="L778" s="2" t="s">
        <v>7</v>
      </c>
      <c r="N778" s="1" t="s">
        <v>9670</v>
      </c>
      <c r="O778" s="2" t="s">
        <v>736</v>
      </c>
      <c r="Q778" s="2" t="s">
        <v>1151</v>
      </c>
      <c r="R778" s="2" t="s">
        <v>1152</v>
      </c>
      <c r="T778" s="2" t="s">
        <v>13</v>
      </c>
      <c r="U778" s="3">
        <v>0</v>
      </c>
      <c r="V778" s="3">
        <v>2</v>
      </c>
      <c r="X778" s="4" t="s">
        <v>9672</v>
      </c>
      <c r="Y778" s="4" t="s">
        <v>9674</v>
      </c>
      <c r="Z778" s="4" t="s">
        <v>9674</v>
      </c>
      <c r="AA778" s="3">
        <v>193</v>
      </c>
      <c r="AB778" s="3">
        <v>152</v>
      </c>
      <c r="AC778" s="3">
        <v>155</v>
      </c>
      <c r="AD778" s="3">
        <v>2</v>
      </c>
      <c r="AE778" s="9">
        <v>2</v>
      </c>
      <c r="AF778" s="9">
        <v>10</v>
      </c>
      <c r="AG778" s="9">
        <v>10</v>
      </c>
      <c r="AH778" s="3">
        <v>1</v>
      </c>
      <c r="AI778" s="3">
        <v>1</v>
      </c>
      <c r="AJ778" s="3">
        <v>4</v>
      </c>
      <c r="AK778" s="3">
        <v>4</v>
      </c>
      <c r="AL778" s="3">
        <v>7</v>
      </c>
      <c r="AM778" s="3">
        <v>7</v>
      </c>
      <c r="AN778" s="3">
        <v>1</v>
      </c>
      <c r="AO778" s="3">
        <v>1</v>
      </c>
      <c r="AP778" s="3">
        <v>0</v>
      </c>
      <c r="AQ778" s="3">
        <v>0</v>
      </c>
      <c r="AR778" s="2" t="s">
        <v>5</v>
      </c>
      <c r="AS778" s="2" t="s">
        <v>46</v>
      </c>
      <c r="AT778" s="5" t="str">
        <f>HYPERLINK("http://catalog.hathitrust.org/Record/002700686","HathiTrust Record")</f>
        <v>HathiTrust Record</v>
      </c>
      <c r="AU778" s="5" t="str">
        <f>HYPERLINK("https://creighton-primo.hosted.exlibrisgroup.com/primo-explore/search?tab=default_tab&amp;search_scope=EVERYTHING&amp;vid=01CRU&amp;lang=en_US&amp;offset=0&amp;query=any,contains,991002095189702656","Catalog Record")</f>
        <v>Catalog Record</v>
      </c>
      <c r="AV778" s="5" t="str">
        <f>HYPERLINK("http://www.worldcat.org/oclc/26857766","WorldCat Record")</f>
        <v>WorldCat Record</v>
      </c>
      <c r="AW778" s="2" t="s">
        <v>9675</v>
      </c>
      <c r="AX778" s="2" t="s">
        <v>9676</v>
      </c>
      <c r="AY778" s="2" t="s">
        <v>9677</v>
      </c>
      <c r="AZ778" s="2" t="s">
        <v>9677</v>
      </c>
      <c r="BA778" s="2" t="s">
        <v>9678</v>
      </c>
      <c r="BB778" s="2" t="s">
        <v>20</v>
      </c>
      <c r="BD778" s="2" t="s">
        <v>9679</v>
      </c>
      <c r="BE778" s="2" t="s">
        <v>9689</v>
      </c>
      <c r="BF778" s="2" t="s">
        <v>9690</v>
      </c>
    </row>
    <row r="779" spans="1:58" ht="39.75" customHeight="1" x14ac:dyDescent="0.25">
      <c r="A779" s="7" t="s">
        <v>5</v>
      </c>
      <c r="B779" s="1" t="s">
        <v>0</v>
      </c>
      <c r="C779" s="1" t="s">
        <v>1</v>
      </c>
      <c r="D779" s="1" t="s">
        <v>9691</v>
      </c>
      <c r="E779" s="1" t="s">
        <v>9692</v>
      </c>
      <c r="F779" s="1" t="s">
        <v>9693</v>
      </c>
      <c r="H779" s="2" t="s">
        <v>5</v>
      </c>
      <c r="I779" s="2" t="s">
        <v>6</v>
      </c>
      <c r="J779" s="2" t="s">
        <v>5</v>
      </c>
      <c r="K779" s="2" t="s">
        <v>5</v>
      </c>
      <c r="L779" s="2" t="s">
        <v>7</v>
      </c>
      <c r="M779" s="1" t="s">
        <v>9694</v>
      </c>
      <c r="N779" s="1" t="s">
        <v>9695</v>
      </c>
      <c r="O779" s="2" t="s">
        <v>736</v>
      </c>
      <c r="P779" s="1" t="s">
        <v>2908</v>
      </c>
      <c r="Q779" s="2" t="s">
        <v>1151</v>
      </c>
      <c r="R779" s="2" t="s">
        <v>5863</v>
      </c>
      <c r="S779" s="1" t="s">
        <v>6389</v>
      </c>
      <c r="T779" s="2" t="s">
        <v>13</v>
      </c>
      <c r="U779" s="3">
        <v>2</v>
      </c>
      <c r="V779" s="3">
        <v>2</v>
      </c>
      <c r="W779" s="4" t="s">
        <v>3793</v>
      </c>
      <c r="X779" s="4" t="s">
        <v>3793</v>
      </c>
      <c r="Y779" s="4" t="s">
        <v>5361</v>
      </c>
      <c r="Z779" s="4" t="s">
        <v>5361</v>
      </c>
      <c r="AA779" s="3">
        <v>58</v>
      </c>
      <c r="AB779" s="3">
        <v>45</v>
      </c>
      <c r="AC779" s="3">
        <v>47</v>
      </c>
      <c r="AD779" s="3">
        <v>1</v>
      </c>
      <c r="AE779" s="9">
        <v>1</v>
      </c>
      <c r="AF779" s="9">
        <v>2</v>
      </c>
      <c r="AG779" s="9">
        <v>2</v>
      </c>
      <c r="AH779" s="3">
        <v>1</v>
      </c>
      <c r="AI779" s="3">
        <v>1</v>
      </c>
      <c r="AJ779" s="3">
        <v>1</v>
      </c>
      <c r="AK779" s="3">
        <v>1</v>
      </c>
      <c r="AL779" s="3">
        <v>1</v>
      </c>
      <c r="AM779" s="3">
        <v>1</v>
      </c>
      <c r="AN779" s="3">
        <v>0</v>
      </c>
      <c r="AO779" s="3">
        <v>0</v>
      </c>
      <c r="AP779" s="3">
        <v>0</v>
      </c>
      <c r="AQ779" s="3">
        <v>0</v>
      </c>
      <c r="AR779" s="2" t="s">
        <v>5</v>
      </c>
      <c r="AS779" s="2" t="s">
        <v>46</v>
      </c>
      <c r="AT779" s="5" t="str">
        <f>HYPERLINK("http://catalog.hathitrust.org/Record/101095765","HathiTrust Record")</f>
        <v>HathiTrust Record</v>
      </c>
      <c r="AU779" s="5" t="str">
        <f>HYPERLINK("https://creighton-primo.hosted.exlibrisgroup.com/primo-explore/search?tab=default_tab&amp;search_scope=EVERYTHING&amp;vid=01CRU&amp;lang=en_US&amp;offset=0&amp;query=any,contains,991002110719702656","Catalog Record")</f>
        <v>Catalog Record</v>
      </c>
      <c r="AV779" s="5" t="str">
        <f>HYPERLINK("http://www.worldcat.org/oclc/27052120","WorldCat Record")</f>
        <v>WorldCat Record</v>
      </c>
      <c r="AW779" s="2" t="s">
        <v>9696</v>
      </c>
      <c r="AX779" s="2" t="s">
        <v>9697</v>
      </c>
      <c r="AY779" s="2" t="s">
        <v>9698</v>
      </c>
      <c r="AZ779" s="2" t="s">
        <v>9698</v>
      </c>
      <c r="BA779" s="2" t="s">
        <v>9699</v>
      </c>
      <c r="BB779" s="2" t="s">
        <v>20</v>
      </c>
      <c r="BD779" s="2" t="s">
        <v>9700</v>
      </c>
      <c r="BE779" s="2" t="s">
        <v>9701</v>
      </c>
      <c r="BF779" s="2" t="s">
        <v>9702</v>
      </c>
    </row>
    <row r="780" spans="1:58" ht="39.75" customHeight="1" x14ac:dyDescent="0.25">
      <c r="A780" s="7" t="s">
        <v>5</v>
      </c>
      <c r="B780" s="1" t="s">
        <v>0</v>
      </c>
      <c r="C780" s="1" t="s">
        <v>1</v>
      </c>
      <c r="D780" s="1" t="s">
        <v>9703</v>
      </c>
      <c r="E780" s="1" t="s">
        <v>9704</v>
      </c>
      <c r="F780" s="1" t="s">
        <v>9705</v>
      </c>
      <c r="H780" s="2" t="s">
        <v>5</v>
      </c>
      <c r="I780" s="2" t="s">
        <v>6</v>
      </c>
      <c r="J780" s="2" t="s">
        <v>5</v>
      </c>
      <c r="K780" s="2" t="s">
        <v>5</v>
      </c>
      <c r="L780" s="2" t="s">
        <v>7</v>
      </c>
      <c r="M780" s="1" t="s">
        <v>5750</v>
      </c>
      <c r="N780" s="1" t="s">
        <v>9706</v>
      </c>
      <c r="O780" s="2" t="s">
        <v>1390</v>
      </c>
      <c r="Q780" s="2" t="s">
        <v>1151</v>
      </c>
      <c r="R780" s="2" t="s">
        <v>4146</v>
      </c>
      <c r="S780" s="1" t="s">
        <v>9707</v>
      </c>
      <c r="T780" s="2" t="s">
        <v>13</v>
      </c>
      <c r="U780" s="3">
        <v>1</v>
      </c>
      <c r="V780" s="3">
        <v>1</v>
      </c>
      <c r="W780" s="4" t="s">
        <v>6036</v>
      </c>
      <c r="X780" s="4" t="s">
        <v>6036</v>
      </c>
      <c r="Y780" s="4" t="s">
        <v>6036</v>
      </c>
      <c r="Z780" s="4" t="s">
        <v>6036</v>
      </c>
      <c r="AA780" s="3">
        <v>53</v>
      </c>
      <c r="AB780" s="3">
        <v>42</v>
      </c>
      <c r="AC780" s="3">
        <v>48</v>
      </c>
      <c r="AD780" s="3">
        <v>1</v>
      </c>
      <c r="AE780" s="9">
        <v>1</v>
      </c>
      <c r="AF780" s="9">
        <v>2</v>
      </c>
      <c r="AG780" s="9">
        <v>2</v>
      </c>
      <c r="AH780" s="3">
        <v>0</v>
      </c>
      <c r="AI780" s="3">
        <v>0</v>
      </c>
      <c r="AJ780" s="3">
        <v>2</v>
      </c>
      <c r="AK780" s="3">
        <v>2</v>
      </c>
      <c r="AL780" s="3">
        <v>1</v>
      </c>
      <c r="AM780" s="3">
        <v>1</v>
      </c>
      <c r="AN780" s="3">
        <v>0</v>
      </c>
      <c r="AO780" s="3">
        <v>0</v>
      </c>
      <c r="AP780" s="3">
        <v>0</v>
      </c>
      <c r="AQ780" s="3">
        <v>0</v>
      </c>
      <c r="AR780" s="2" t="s">
        <v>5</v>
      </c>
      <c r="AS780" s="2" t="s">
        <v>46</v>
      </c>
      <c r="AT780" s="5" t="str">
        <f>HYPERLINK("http://catalog.hathitrust.org/Record/101095785","HathiTrust Record")</f>
        <v>HathiTrust Record</v>
      </c>
      <c r="AU780" s="5" t="str">
        <f>HYPERLINK("https://creighton-primo.hosted.exlibrisgroup.com/primo-explore/search?tab=default_tab&amp;search_scope=EVERYTHING&amp;vid=01CRU&amp;lang=en_US&amp;offset=0&amp;query=any,contains,991004335529702656","Catalog Record")</f>
        <v>Catalog Record</v>
      </c>
      <c r="AV780" s="5" t="str">
        <f>HYPERLINK("http://www.worldcat.org/oclc/6090724","WorldCat Record")</f>
        <v>WorldCat Record</v>
      </c>
      <c r="AW780" s="2" t="s">
        <v>9708</v>
      </c>
      <c r="AX780" s="2" t="s">
        <v>9709</v>
      </c>
      <c r="AY780" s="2" t="s">
        <v>9710</v>
      </c>
      <c r="AZ780" s="2" t="s">
        <v>9710</v>
      </c>
      <c r="BA780" s="2" t="s">
        <v>9711</v>
      </c>
      <c r="BB780" s="2" t="s">
        <v>20</v>
      </c>
      <c r="BE780" s="2" t="s">
        <v>9712</v>
      </c>
      <c r="BF780" s="2" t="s">
        <v>9713</v>
      </c>
    </row>
    <row r="781" spans="1:58" ht="39.75" customHeight="1" x14ac:dyDescent="0.25">
      <c r="A781" s="7" t="s">
        <v>5</v>
      </c>
      <c r="B781" s="1" t="s">
        <v>0</v>
      </c>
      <c r="C781" s="1" t="s">
        <v>1</v>
      </c>
      <c r="D781" s="1" t="s">
        <v>9714</v>
      </c>
      <c r="E781" s="1" t="s">
        <v>9715</v>
      </c>
      <c r="F781" s="1" t="s">
        <v>9716</v>
      </c>
      <c r="H781" s="2" t="s">
        <v>5</v>
      </c>
      <c r="I781" s="2" t="s">
        <v>6</v>
      </c>
      <c r="J781" s="2" t="s">
        <v>5</v>
      </c>
      <c r="K781" s="2" t="s">
        <v>5</v>
      </c>
      <c r="L781" s="2" t="s">
        <v>7</v>
      </c>
      <c r="M781" s="1" t="s">
        <v>9717</v>
      </c>
      <c r="N781" s="1" t="s">
        <v>9718</v>
      </c>
      <c r="O781" s="2" t="s">
        <v>452</v>
      </c>
      <c r="P781" s="1" t="s">
        <v>2908</v>
      </c>
      <c r="Q781" s="2" t="s">
        <v>1151</v>
      </c>
      <c r="R781" s="2" t="s">
        <v>5403</v>
      </c>
      <c r="S781" s="1" t="s">
        <v>9719</v>
      </c>
      <c r="T781" s="2" t="s">
        <v>13</v>
      </c>
      <c r="U781" s="3">
        <v>2</v>
      </c>
      <c r="V781" s="3">
        <v>2</v>
      </c>
      <c r="W781" s="4" t="s">
        <v>9720</v>
      </c>
      <c r="X781" s="4" t="s">
        <v>9720</v>
      </c>
      <c r="Y781" s="4" t="s">
        <v>9721</v>
      </c>
      <c r="Z781" s="4" t="s">
        <v>9721</v>
      </c>
      <c r="AA781" s="3">
        <v>95</v>
      </c>
      <c r="AB781" s="3">
        <v>81</v>
      </c>
      <c r="AC781" s="3">
        <v>88</v>
      </c>
      <c r="AD781" s="3">
        <v>1</v>
      </c>
      <c r="AE781" s="9">
        <v>1</v>
      </c>
      <c r="AF781" s="9">
        <v>2</v>
      </c>
      <c r="AG781" s="9">
        <v>2</v>
      </c>
      <c r="AH781" s="3">
        <v>0</v>
      </c>
      <c r="AI781" s="3">
        <v>0</v>
      </c>
      <c r="AJ781" s="3">
        <v>1</v>
      </c>
      <c r="AK781" s="3">
        <v>1</v>
      </c>
      <c r="AL781" s="3">
        <v>2</v>
      </c>
      <c r="AM781" s="3">
        <v>2</v>
      </c>
      <c r="AN781" s="3">
        <v>0</v>
      </c>
      <c r="AO781" s="3">
        <v>0</v>
      </c>
      <c r="AP781" s="3">
        <v>0</v>
      </c>
      <c r="AQ781" s="3">
        <v>0</v>
      </c>
      <c r="AR781" s="2" t="s">
        <v>5</v>
      </c>
      <c r="AS781" s="2" t="s">
        <v>46</v>
      </c>
      <c r="AT781" s="5" t="str">
        <f>HYPERLINK("http://catalog.hathitrust.org/Record/003970104","HathiTrust Record")</f>
        <v>HathiTrust Record</v>
      </c>
      <c r="AU781" s="5" t="str">
        <f>HYPERLINK("https://creighton-primo.hosted.exlibrisgroup.com/primo-explore/search?tab=default_tab&amp;search_scope=EVERYTHING&amp;vid=01CRU&amp;lang=en_US&amp;offset=0&amp;query=any,contains,991002814899702656","Catalog Record")</f>
        <v>Catalog Record</v>
      </c>
      <c r="AV781" s="5" t="str">
        <f>HYPERLINK("http://www.worldcat.org/oclc/36972587","WorldCat Record")</f>
        <v>WorldCat Record</v>
      </c>
      <c r="AW781" s="2" t="s">
        <v>9722</v>
      </c>
      <c r="AX781" s="2" t="s">
        <v>9723</v>
      </c>
      <c r="AY781" s="2" t="s">
        <v>9724</v>
      </c>
      <c r="AZ781" s="2" t="s">
        <v>9724</v>
      </c>
      <c r="BA781" s="2" t="s">
        <v>9725</v>
      </c>
      <c r="BB781" s="2" t="s">
        <v>20</v>
      </c>
      <c r="BD781" s="2" t="s">
        <v>9726</v>
      </c>
      <c r="BE781" s="2" t="s">
        <v>9727</v>
      </c>
      <c r="BF781" s="2" t="s">
        <v>9728</v>
      </c>
    </row>
    <row r="782" spans="1:58" ht="39.75" customHeight="1" x14ac:dyDescent="0.25">
      <c r="A782" s="7" t="s">
        <v>5</v>
      </c>
      <c r="B782" s="1" t="s">
        <v>0</v>
      </c>
      <c r="C782" s="1" t="s">
        <v>1</v>
      </c>
      <c r="D782" s="1" t="s">
        <v>9729</v>
      </c>
      <c r="E782" s="1" t="s">
        <v>9730</v>
      </c>
      <c r="F782" s="1" t="s">
        <v>9731</v>
      </c>
      <c r="H782" s="2" t="s">
        <v>5</v>
      </c>
      <c r="I782" s="2" t="s">
        <v>6</v>
      </c>
      <c r="J782" s="2" t="s">
        <v>5</v>
      </c>
      <c r="K782" s="2" t="s">
        <v>5</v>
      </c>
      <c r="L782" s="2" t="s">
        <v>7</v>
      </c>
      <c r="M782" s="1" t="s">
        <v>9732</v>
      </c>
      <c r="N782" s="1" t="s">
        <v>9733</v>
      </c>
      <c r="O782" s="2" t="s">
        <v>276</v>
      </c>
      <c r="Q782" s="2" t="s">
        <v>1151</v>
      </c>
      <c r="R782" s="2" t="s">
        <v>1152</v>
      </c>
      <c r="S782" s="1" t="s">
        <v>9734</v>
      </c>
      <c r="T782" s="2" t="s">
        <v>13</v>
      </c>
      <c r="U782" s="3">
        <v>2</v>
      </c>
      <c r="V782" s="3">
        <v>2</v>
      </c>
      <c r="W782" s="4" t="s">
        <v>3793</v>
      </c>
      <c r="X782" s="4" t="s">
        <v>3793</v>
      </c>
      <c r="Y782" s="4" t="s">
        <v>5361</v>
      </c>
      <c r="Z782" s="4" t="s">
        <v>5361</v>
      </c>
      <c r="AA782" s="3">
        <v>224</v>
      </c>
      <c r="AB782" s="3">
        <v>168</v>
      </c>
      <c r="AC782" s="3">
        <v>175</v>
      </c>
      <c r="AD782" s="3">
        <v>1</v>
      </c>
      <c r="AE782" s="9">
        <v>1</v>
      </c>
      <c r="AF782" s="9">
        <v>7</v>
      </c>
      <c r="AG782" s="9">
        <v>7</v>
      </c>
      <c r="AH782" s="3">
        <v>1</v>
      </c>
      <c r="AI782" s="3">
        <v>1</v>
      </c>
      <c r="AJ782" s="3">
        <v>4</v>
      </c>
      <c r="AK782" s="3">
        <v>4</v>
      </c>
      <c r="AL782" s="3">
        <v>3</v>
      </c>
      <c r="AM782" s="3">
        <v>3</v>
      </c>
      <c r="AN782" s="3">
        <v>0</v>
      </c>
      <c r="AO782" s="3">
        <v>0</v>
      </c>
      <c r="AP782" s="3">
        <v>0</v>
      </c>
      <c r="AQ782" s="3">
        <v>0</v>
      </c>
      <c r="AR782" s="2" t="s">
        <v>5</v>
      </c>
      <c r="AS782" s="2" t="s">
        <v>46</v>
      </c>
      <c r="AT782" s="5" t="str">
        <f>HYPERLINK("http://catalog.hathitrust.org/Record/000724967","HathiTrust Record")</f>
        <v>HathiTrust Record</v>
      </c>
      <c r="AU782" s="5" t="str">
        <f>HYPERLINK("https://creighton-primo.hosted.exlibrisgroup.com/primo-explore/search?tab=default_tab&amp;search_scope=EVERYTHING&amp;vid=01CRU&amp;lang=en_US&amp;offset=0&amp;query=any,contains,991004121069702656","Catalog Record")</f>
        <v>Catalog Record</v>
      </c>
      <c r="AV782" s="5" t="str">
        <f>HYPERLINK("http://www.worldcat.org/oclc/2425489","WorldCat Record")</f>
        <v>WorldCat Record</v>
      </c>
      <c r="AW782" s="2" t="s">
        <v>9735</v>
      </c>
      <c r="AX782" s="2" t="s">
        <v>9736</v>
      </c>
      <c r="AY782" s="2" t="s">
        <v>9737</v>
      </c>
      <c r="AZ782" s="2" t="s">
        <v>9737</v>
      </c>
      <c r="BA782" s="2" t="s">
        <v>9738</v>
      </c>
      <c r="BB782" s="2" t="s">
        <v>20</v>
      </c>
      <c r="BD782" s="2" t="s">
        <v>9739</v>
      </c>
      <c r="BE782" s="2" t="s">
        <v>9740</v>
      </c>
      <c r="BF782" s="2" t="s">
        <v>9741</v>
      </c>
    </row>
    <row r="783" spans="1:58" ht="39.75" customHeight="1" x14ac:dyDescent="0.25">
      <c r="A783" s="7" t="s">
        <v>5</v>
      </c>
      <c r="B783" s="1" t="s">
        <v>0</v>
      </c>
      <c r="C783" s="1" t="s">
        <v>1</v>
      </c>
      <c r="D783" s="1" t="s">
        <v>9742</v>
      </c>
      <c r="E783" s="1" t="s">
        <v>9743</v>
      </c>
      <c r="F783" s="1" t="s">
        <v>9744</v>
      </c>
      <c r="H783" s="2" t="s">
        <v>5</v>
      </c>
      <c r="I783" s="2" t="s">
        <v>6</v>
      </c>
      <c r="J783" s="2" t="s">
        <v>5</v>
      </c>
      <c r="K783" s="2" t="s">
        <v>5</v>
      </c>
      <c r="L783" s="2" t="s">
        <v>7</v>
      </c>
      <c r="M783" s="1" t="s">
        <v>9745</v>
      </c>
      <c r="N783" s="1" t="s">
        <v>9746</v>
      </c>
      <c r="O783" s="2" t="s">
        <v>1515</v>
      </c>
      <c r="P783" s="1" t="s">
        <v>9747</v>
      </c>
      <c r="Q783" s="2" t="s">
        <v>1151</v>
      </c>
      <c r="R783" s="2" t="s">
        <v>5403</v>
      </c>
      <c r="S783" s="1" t="s">
        <v>9748</v>
      </c>
      <c r="T783" s="2" t="s">
        <v>13</v>
      </c>
      <c r="U783" s="3">
        <v>1</v>
      </c>
      <c r="V783" s="3">
        <v>1</v>
      </c>
      <c r="W783" s="4" t="s">
        <v>8667</v>
      </c>
      <c r="X783" s="4" t="s">
        <v>8667</v>
      </c>
      <c r="Y783" s="4" t="s">
        <v>8667</v>
      </c>
      <c r="Z783" s="4" t="s">
        <v>8667</v>
      </c>
      <c r="AA783" s="3">
        <v>41</v>
      </c>
      <c r="AB783" s="3">
        <v>37</v>
      </c>
      <c r="AC783" s="3">
        <v>173</v>
      </c>
      <c r="AD783" s="3">
        <v>2</v>
      </c>
      <c r="AE783" s="9">
        <v>2</v>
      </c>
      <c r="AF783" s="9">
        <v>2</v>
      </c>
      <c r="AG783" s="9">
        <v>8</v>
      </c>
      <c r="AH783" s="3">
        <v>0</v>
      </c>
      <c r="AI783" s="3">
        <v>1</v>
      </c>
      <c r="AJ783" s="3">
        <v>0</v>
      </c>
      <c r="AK783" s="3">
        <v>2</v>
      </c>
      <c r="AL783" s="3">
        <v>1</v>
      </c>
      <c r="AM783" s="3">
        <v>5</v>
      </c>
      <c r="AN783" s="3">
        <v>1</v>
      </c>
      <c r="AO783" s="3">
        <v>1</v>
      </c>
      <c r="AP783" s="3">
        <v>0</v>
      </c>
      <c r="AQ783" s="3">
        <v>0</v>
      </c>
      <c r="AR783" s="2" t="s">
        <v>5</v>
      </c>
      <c r="AS783" s="2" t="s">
        <v>5</v>
      </c>
      <c r="AU783" s="5" t="str">
        <f>HYPERLINK("https://creighton-primo.hosted.exlibrisgroup.com/primo-explore/search?tab=default_tab&amp;search_scope=EVERYTHING&amp;vid=01CRU&amp;lang=en_US&amp;offset=0&amp;query=any,contains,991004341489702656","Catalog Record")</f>
        <v>Catalog Record</v>
      </c>
      <c r="AV783" s="5" t="str">
        <f>HYPERLINK("http://www.worldcat.org/oclc/8706551","WorldCat Record")</f>
        <v>WorldCat Record</v>
      </c>
      <c r="AW783" s="2" t="s">
        <v>9749</v>
      </c>
      <c r="AX783" s="2" t="s">
        <v>9750</v>
      </c>
      <c r="AY783" s="2" t="s">
        <v>9751</v>
      </c>
      <c r="AZ783" s="2" t="s">
        <v>9751</v>
      </c>
      <c r="BA783" s="2" t="s">
        <v>9752</v>
      </c>
      <c r="BB783" s="2" t="s">
        <v>20</v>
      </c>
      <c r="BD783" s="2" t="s">
        <v>9753</v>
      </c>
      <c r="BE783" s="2" t="s">
        <v>9754</v>
      </c>
      <c r="BF783" s="2" t="s">
        <v>9755</v>
      </c>
    </row>
    <row r="784" spans="1:58" ht="39.75" customHeight="1" x14ac:dyDescent="0.25">
      <c r="A784" s="7" t="s">
        <v>5</v>
      </c>
      <c r="B784" s="1" t="s">
        <v>0</v>
      </c>
      <c r="C784" s="1" t="s">
        <v>1</v>
      </c>
      <c r="D784" s="1" t="s">
        <v>9756</v>
      </c>
      <c r="E784" s="1" t="s">
        <v>9757</v>
      </c>
      <c r="F784" s="1" t="s">
        <v>9758</v>
      </c>
      <c r="H784" s="2" t="s">
        <v>5</v>
      </c>
      <c r="I784" s="2" t="s">
        <v>6</v>
      </c>
      <c r="J784" s="2" t="s">
        <v>5</v>
      </c>
      <c r="K784" s="2" t="s">
        <v>5</v>
      </c>
      <c r="L784" s="2" t="s">
        <v>7</v>
      </c>
      <c r="M784" s="1" t="s">
        <v>9759</v>
      </c>
      <c r="N784" s="1" t="s">
        <v>9760</v>
      </c>
      <c r="O784" s="2" t="s">
        <v>91</v>
      </c>
      <c r="Q784" s="2" t="s">
        <v>1151</v>
      </c>
      <c r="R784" s="2" t="s">
        <v>4146</v>
      </c>
      <c r="S784" s="1" t="s">
        <v>9761</v>
      </c>
      <c r="T784" s="2" t="s">
        <v>13</v>
      </c>
      <c r="U784" s="3">
        <v>1</v>
      </c>
      <c r="V784" s="3">
        <v>1</v>
      </c>
      <c r="W784" s="4" t="s">
        <v>5389</v>
      </c>
      <c r="X784" s="4" t="s">
        <v>5389</v>
      </c>
      <c r="Y784" s="4" t="s">
        <v>5390</v>
      </c>
      <c r="Z784" s="4" t="s">
        <v>5390</v>
      </c>
      <c r="AA784" s="3">
        <v>3</v>
      </c>
      <c r="AB784" s="3">
        <v>3</v>
      </c>
      <c r="AC784" s="3">
        <v>3</v>
      </c>
      <c r="AD784" s="3">
        <v>1</v>
      </c>
      <c r="AE784" s="9">
        <v>1</v>
      </c>
      <c r="AF784" s="9">
        <v>0</v>
      </c>
      <c r="AG784" s="9">
        <v>0</v>
      </c>
      <c r="AH784" s="3">
        <v>0</v>
      </c>
      <c r="AI784" s="3">
        <v>0</v>
      </c>
      <c r="AJ784" s="3">
        <v>0</v>
      </c>
      <c r="AK784" s="3">
        <v>0</v>
      </c>
      <c r="AL784" s="3">
        <v>0</v>
      </c>
      <c r="AM784" s="3">
        <v>0</v>
      </c>
      <c r="AN784" s="3">
        <v>0</v>
      </c>
      <c r="AO784" s="3">
        <v>0</v>
      </c>
      <c r="AP784" s="3">
        <v>0</v>
      </c>
      <c r="AQ784" s="3">
        <v>0</v>
      </c>
      <c r="AR784" s="2" t="s">
        <v>5</v>
      </c>
      <c r="AS784" s="2" t="s">
        <v>5</v>
      </c>
      <c r="AU784" s="5" t="str">
        <f>HYPERLINK("https://creighton-primo.hosted.exlibrisgroup.com/primo-explore/search?tab=default_tab&amp;search_scope=EVERYTHING&amp;vid=01CRU&amp;lang=en_US&amp;offset=0&amp;query=any,contains,991003765269702656","Catalog Record")</f>
        <v>Catalog Record</v>
      </c>
      <c r="AV784" s="5" t="str">
        <f>HYPERLINK("http://www.worldcat.org/oclc/32645052","WorldCat Record")</f>
        <v>WorldCat Record</v>
      </c>
      <c r="AW784" s="2" t="s">
        <v>9762</v>
      </c>
      <c r="AX784" s="2" t="s">
        <v>9763</v>
      </c>
      <c r="AY784" s="2" t="s">
        <v>9764</v>
      </c>
      <c r="AZ784" s="2" t="s">
        <v>9764</v>
      </c>
      <c r="BA784" s="2" t="s">
        <v>9765</v>
      </c>
      <c r="BB784" s="2" t="s">
        <v>20</v>
      </c>
      <c r="BE784" s="2" t="s">
        <v>9766</v>
      </c>
      <c r="BF784" s="2" t="s">
        <v>9767</v>
      </c>
    </row>
    <row r="785" spans="1:58" ht="39.75" customHeight="1" x14ac:dyDescent="0.25">
      <c r="A785" s="7" t="s">
        <v>5</v>
      </c>
      <c r="B785" s="1" t="s">
        <v>0</v>
      </c>
      <c r="C785" s="1" t="s">
        <v>1</v>
      </c>
      <c r="D785" s="1" t="s">
        <v>9768</v>
      </c>
      <c r="E785" s="1" t="s">
        <v>9769</v>
      </c>
      <c r="F785" s="1" t="s">
        <v>9770</v>
      </c>
      <c r="H785" s="2" t="s">
        <v>5</v>
      </c>
      <c r="I785" s="2" t="s">
        <v>6</v>
      </c>
      <c r="J785" s="2" t="s">
        <v>5</v>
      </c>
      <c r="K785" s="2" t="s">
        <v>5</v>
      </c>
      <c r="L785" s="2" t="s">
        <v>7</v>
      </c>
      <c r="M785" s="1" t="s">
        <v>9771</v>
      </c>
      <c r="N785" s="1" t="s">
        <v>9772</v>
      </c>
      <c r="O785" s="2" t="s">
        <v>322</v>
      </c>
      <c r="P785" s="1" t="s">
        <v>2908</v>
      </c>
      <c r="Q785" s="2" t="s">
        <v>1151</v>
      </c>
      <c r="R785" s="2" t="s">
        <v>4146</v>
      </c>
      <c r="S785" s="1" t="s">
        <v>9773</v>
      </c>
      <c r="T785" s="2" t="s">
        <v>13</v>
      </c>
      <c r="U785" s="3">
        <v>1</v>
      </c>
      <c r="V785" s="3">
        <v>1</v>
      </c>
      <c r="W785" s="4" t="s">
        <v>8639</v>
      </c>
      <c r="X785" s="4" t="s">
        <v>8639</v>
      </c>
      <c r="Y785" s="4" t="s">
        <v>8639</v>
      </c>
      <c r="Z785" s="4" t="s">
        <v>8639</v>
      </c>
      <c r="AA785" s="3">
        <v>42</v>
      </c>
      <c r="AB785" s="3">
        <v>34</v>
      </c>
      <c r="AC785" s="3">
        <v>36</v>
      </c>
      <c r="AD785" s="3">
        <v>1</v>
      </c>
      <c r="AE785" s="9">
        <v>1</v>
      </c>
      <c r="AF785" s="9">
        <v>2</v>
      </c>
      <c r="AG785" s="9">
        <v>2</v>
      </c>
      <c r="AH785" s="3">
        <v>1</v>
      </c>
      <c r="AI785" s="3">
        <v>1</v>
      </c>
      <c r="AJ785" s="3">
        <v>1</v>
      </c>
      <c r="AK785" s="3">
        <v>1</v>
      </c>
      <c r="AL785" s="3">
        <v>1</v>
      </c>
      <c r="AM785" s="3">
        <v>1</v>
      </c>
      <c r="AN785" s="3">
        <v>0</v>
      </c>
      <c r="AO785" s="3">
        <v>0</v>
      </c>
      <c r="AP785" s="3">
        <v>0</v>
      </c>
      <c r="AQ785" s="3">
        <v>0</v>
      </c>
      <c r="AR785" s="2" t="s">
        <v>5</v>
      </c>
      <c r="AS785" s="2" t="s">
        <v>46</v>
      </c>
      <c r="AT785" s="5" t="str">
        <f>HYPERLINK("http://catalog.hathitrust.org/Record/101009644","HathiTrust Record")</f>
        <v>HathiTrust Record</v>
      </c>
      <c r="AU785" s="5" t="str">
        <f>HYPERLINK("https://creighton-primo.hosted.exlibrisgroup.com/primo-explore/search?tab=default_tab&amp;search_scope=EVERYTHING&amp;vid=01CRU&amp;lang=en_US&amp;offset=0&amp;query=any,contains,991004332839702656","Catalog Record")</f>
        <v>Catalog Record</v>
      </c>
      <c r="AV785" s="5" t="str">
        <f>HYPERLINK("http://www.worldcat.org/oclc/30016336","WorldCat Record")</f>
        <v>WorldCat Record</v>
      </c>
      <c r="AW785" s="2" t="s">
        <v>9774</v>
      </c>
      <c r="AX785" s="2" t="s">
        <v>9775</v>
      </c>
      <c r="AY785" s="2" t="s">
        <v>9776</v>
      </c>
      <c r="AZ785" s="2" t="s">
        <v>9776</v>
      </c>
      <c r="BA785" s="2" t="s">
        <v>9777</v>
      </c>
      <c r="BB785" s="2" t="s">
        <v>20</v>
      </c>
      <c r="BD785" s="2" t="s">
        <v>9778</v>
      </c>
      <c r="BE785" s="2" t="s">
        <v>9779</v>
      </c>
      <c r="BF785" s="2" t="s">
        <v>9780</v>
      </c>
    </row>
    <row r="786" spans="1:58" ht="39.75" customHeight="1" x14ac:dyDescent="0.25">
      <c r="A786" s="7" t="s">
        <v>5</v>
      </c>
      <c r="B786" s="1" t="s">
        <v>0</v>
      </c>
      <c r="C786" s="1" t="s">
        <v>1</v>
      </c>
      <c r="D786" s="1" t="s">
        <v>9781</v>
      </c>
      <c r="E786" s="1" t="s">
        <v>9782</v>
      </c>
      <c r="F786" s="1" t="s">
        <v>9783</v>
      </c>
      <c r="H786" s="2" t="s">
        <v>5</v>
      </c>
      <c r="I786" s="2" t="s">
        <v>6</v>
      </c>
      <c r="J786" s="2" t="s">
        <v>5</v>
      </c>
      <c r="K786" s="2" t="s">
        <v>5</v>
      </c>
      <c r="L786" s="2" t="s">
        <v>7</v>
      </c>
      <c r="M786" s="1" t="s">
        <v>9784</v>
      </c>
      <c r="N786" s="1" t="s">
        <v>9785</v>
      </c>
      <c r="O786" s="2" t="s">
        <v>6611</v>
      </c>
      <c r="Q786" s="2" t="s">
        <v>1151</v>
      </c>
      <c r="R786" s="2" t="s">
        <v>4146</v>
      </c>
      <c r="T786" s="2" t="s">
        <v>13</v>
      </c>
      <c r="U786" s="3">
        <v>1</v>
      </c>
      <c r="V786" s="3">
        <v>1</v>
      </c>
      <c r="W786" s="4" t="s">
        <v>9786</v>
      </c>
      <c r="X786" s="4" t="s">
        <v>9786</v>
      </c>
      <c r="Y786" s="4" t="s">
        <v>9787</v>
      </c>
      <c r="Z786" s="4" t="s">
        <v>9787</v>
      </c>
      <c r="AA786" s="3">
        <v>10</v>
      </c>
      <c r="AB786" s="3">
        <v>9</v>
      </c>
      <c r="AC786" s="3">
        <v>9</v>
      </c>
      <c r="AD786" s="3">
        <v>1</v>
      </c>
      <c r="AE786" s="9">
        <v>1</v>
      </c>
      <c r="AF786" s="9">
        <v>1</v>
      </c>
      <c r="AG786" s="9">
        <v>1</v>
      </c>
      <c r="AH786" s="3">
        <v>0</v>
      </c>
      <c r="AI786" s="3">
        <v>0</v>
      </c>
      <c r="AJ786" s="3">
        <v>1</v>
      </c>
      <c r="AK786" s="3">
        <v>1</v>
      </c>
      <c r="AL786" s="3">
        <v>1</v>
      </c>
      <c r="AM786" s="3">
        <v>1</v>
      </c>
      <c r="AN786" s="3">
        <v>0</v>
      </c>
      <c r="AO786" s="3">
        <v>0</v>
      </c>
      <c r="AP786" s="3">
        <v>0</v>
      </c>
      <c r="AQ786" s="3">
        <v>0</v>
      </c>
      <c r="AR786" s="2" t="s">
        <v>5</v>
      </c>
      <c r="AS786" s="2" t="s">
        <v>5</v>
      </c>
      <c r="AU786" s="5" t="str">
        <f>HYPERLINK("https://creighton-primo.hosted.exlibrisgroup.com/primo-explore/search?tab=default_tab&amp;search_scope=EVERYTHING&amp;vid=01CRU&amp;lang=en_US&amp;offset=0&amp;query=any,contains,991003834949702656","Catalog Record")</f>
        <v>Catalog Record</v>
      </c>
      <c r="AV786" s="5" t="str">
        <f>HYPERLINK("http://www.worldcat.org/oclc/37277497","WorldCat Record")</f>
        <v>WorldCat Record</v>
      </c>
      <c r="AW786" s="2" t="s">
        <v>9788</v>
      </c>
      <c r="AX786" s="2" t="s">
        <v>9789</v>
      </c>
      <c r="AY786" s="2" t="s">
        <v>9790</v>
      </c>
      <c r="AZ786" s="2" t="s">
        <v>9790</v>
      </c>
      <c r="BA786" s="2" t="s">
        <v>9791</v>
      </c>
      <c r="BB786" s="2" t="s">
        <v>20</v>
      </c>
      <c r="BD786" s="2" t="s">
        <v>9792</v>
      </c>
      <c r="BE786" s="2" t="s">
        <v>9793</v>
      </c>
      <c r="BF786" s="2" t="s">
        <v>9794</v>
      </c>
    </row>
    <row r="787" spans="1:58" ht="39.75" customHeight="1" x14ac:dyDescent="0.25">
      <c r="A787" s="7" t="s">
        <v>5</v>
      </c>
      <c r="B787" s="1" t="s">
        <v>0</v>
      </c>
      <c r="C787" s="1" t="s">
        <v>1</v>
      </c>
      <c r="D787" s="1" t="s">
        <v>9795</v>
      </c>
      <c r="E787" s="1" t="s">
        <v>9796</v>
      </c>
      <c r="F787" s="1" t="s">
        <v>9797</v>
      </c>
      <c r="H787" s="2" t="s">
        <v>5</v>
      </c>
      <c r="I787" s="2" t="s">
        <v>6</v>
      </c>
      <c r="J787" s="2" t="s">
        <v>5</v>
      </c>
      <c r="K787" s="2" t="s">
        <v>5</v>
      </c>
      <c r="L787" s="2" t="s">
        <v>7</v>
      </c>
      <c r="M787" s="1" t="s">
        <v>9798</v>
      </c>
      <c r="N787" s="1" t="s">
        <v>9799</v>
      </c>
      <c r="O787" s="2" t="s">
        <v>1418</v>
      </c>
      <c r="Q787" s="2" t="s">
        <v>1151</v>
      </c>
      <c r="R787" s="2" t="s">
        <v>4146</v>
      </c>
      <c r="S787" s="1" t="s">
        <v>9800</v>
      </c>
      <c r="T787" s="2" t="s">
        <v>13</v>
      </c>
      <c r="U787" s="3">
        <v>1</v>
      </c>
      <c r="V787" s="3">
        <v>1</v>
      </c>
      <c r="W787" s="4" t="s">
        <v>9786</v>
      </c>
      <c r="X787" s="4" t="s">
        <v>9786</v>
      </c>
      <c r="Y787" s="4" t="s">
        <v>9787</v>
      </c>
      <c r="Z787" s="4" t="s">
        <v>9787</v>
      </c>
      <c r="AA787" s="3">
        <v>310</v>
      </c>
      <c r="AB787" s="3">
        <v>273</v>
      </c>
      <c r="AC787" s="3">
        <v>324</v>
      </c>
      <c r="AD787" s="3">
        <v>3</v>
      </c>
      <c r="AE787" s="9">
        <v>3</v>
      </c>
      <c r="AF787" s="9">
        <v>10</v>
      </c>
      <c r="AG787" s="9">
        <v>12</v>
      </c>
      <c r="AH787" s="3">
        <v>2</v>
      </c>
      <c r="AI787" s="3">
        <v>3</v>
      </c>
      <c r="AJ787" s="3">
        <v>3</v>
      </c>
      <c r="AK787" s="3">
        <v>4</v>
      </c>
      <c r="AL787" s="3">
        <v>6</v>
      </c>
      <c r="AM787" s="3">
        <v>7</v>
      </c>
      <c r="AN787" s="3">
        <v>2</v>
      </c>
      <c r="AO787" s="3">
        <v>2</v>
      </c>
      <c r="AP787" s="3">
        <v>0</v>
      </c>
      <c r="AQ787" s="3">
        <v>0</v>
      </c>
      <c r="AR787" s="2" t="s">
        <v>5</v>
      </c>
      <c r="AS787" s="2" t="s">
        <v>46</v>
      </c>
      <c r="AT787" s="5" t="str">
        <f>HYPERLINK("http://catalog.hathitrust.org/Record/001049069","HathiTrust Record")</f>
        <v>HathiTrust Record</v>
      </c>
      <c r="AU787" s="5" t="str">
        <f>HYPERLINK("https://creighton-primo.hosted.exlibrisgroup.com/primo-explore/search?tab=default_tab&amp;search_scope=EVERYTHING&amp;vid=01CRU&amp;lang=en_US&amp;offset=0&amp;query=any,contains,991003834629702656","Catalog Record")</f>
        <v>Catalog Record</v>
      </c>
      <c r="AV787" s="5" t="str">
        <f>HYPERLINK("http://www.worldcat.org/oclc/399345","WorldCat Record")</f>
        <v>WorldCat Record</v>
      </c>
      <c r="AW787" s="2" t="s">
        <v>9801</v>
      </c>
      <c r="AX787" s="2" t="s">
        <v>9802</v>
      </c>
      <c r="AY787" s="2" t="s">
        <v>9803</v>
      </c>
      <c r="AZ787" s="2" t="s">
        <v>9803</v>
      </c>
      <c r="BA787" s="2" t="s">
        <v>9804</v>
      </c>
      <c r="BB787" s="2" t="s">
        <v>20</v>
      </c>
      <c r="BE787" s="2" t="s">
        <v>9805</v>
      </c>
      <c r="BF787" s="2" t="s">
        <v>9806</v>
      </c>
    </row>
    <row r="788" spans="1:58" ht="39.75" customHeight="1" x14ac:dyDescent="0.25">
      <c r="A788" s="7" t="s">
        <v>5</v>
      </c>
      <c r="B788" s="1" t="s">
        <v>0</v>
      </c>
      <c r="C788" s="1" t="s">
        <v>1</v>
      </c>
      <c r="D788" s="1" t="s">
        <v>9807</v>
      </c>
      <c r="E788" s="1" t="s">
        <v>9808</v>
      </c>
      <c r="F788" s="1" t="s">
        <v>9809</v>
      </c>
      <c r="H788" s="2" t="s">
        <v>5</v>
      </c>
      <c r="I788" s="2" t="s">
        <v>6</v>
      </c>
      <c r="J788" s="2" t="s">
        <v>5</v>
      </c>
      <c r="K788" s="2" t="s">
        <v>5</v>
      </c>
      <c r="L788" s="2" t="s">
        <v>7</v>
      </c>
      <c r="M788" s="1" t="s">
        <v>9810</v>
      </c>
      <c r="N788" s="1" t="s">
        <v>9811</v>
      </c>
      <c r="O788" s="2" t="s">
        <v>1418</v>
      </c>
      <c r="P788" s="1" t="s">
        <v>5373</v>
      </c>
      <c r="Q788" s="2" t="s">
        <v>1151</v>
      </c>
      <c r="R788" s="2" t="s">
        <v>5403</v>
      </c>
      <c r="T788" s="2" t="s">
        <v>13</v>
      </c>
      <c r="U788" s="3">
        <v>1</v>
      </c>
      <c r="V788" s="3">
        <v>1</v>
      </c>
      <c r="W788" s="4" t="s">
        <v>5071</v>
      </c>
      <c r="X788" s="4" t="s">
        <v>5071</v>
      </c>
      <c r="Y788" s="4" t="s">
        <v>5071</v>
      </c>
      <c r="Z788" s="4" t="s">
        <v>5071</v>
      </c>
      <c r="AA788" s="3">
        <v>224</v>
      </c>
      <c r="AB788" s="3">
        <v>189</v>
      </c>
      <c r="AC788" s="3">
        <v>351</v>
      </c>
      <c r="AD788" s="3">
        <v>3</v>
      </c>
      <c r="AE788" s="9">
        <v>4</v>
      </c>
      <c r="AF788" s="9">
        <v>12</v>
      </c>
      <c r="AG788" s="9">
        <v>17</v>
      </c>
      <c r="AH788" s="3">
        <v>3</v>
      </c>
      <c r="AI788" s="3">
        <v>6</v>
      </c>
      <c r="AJ788" s="3">
        <v>2</v>
      </c>
      <c r="AK788" s="3">
        <v>3</v>
      </c>
      <c r="AL788" s="3">
        <v>8</v>
      </c>
      <c r="AM788" s="3">
        <v>8</v>
      </c>
      <c r="AN788" s="3">
        <v>2</v>
      </c>
      <c r="AO788" s="3">
        <v>3</v>
      </c>
      <c r="AP788" s="3">
        <v>0</v>
      </c>
      <c r="AQ788" s="3">
        <v>0</v>
      </c>
      <c r="AR788" s="2" t="s">
        <v>5</v>
      </c>
      <c r="AS788" s="2" t="s">
        <v>46</v>
      </c>
      <c r="AT788" s="5" t="str">
        <f>HYPERLINK("http://catalog.hathitrust.org/Record/001049102","HathiTrust Record")</f>
        <v>HathiTrust Record</v>
      </c>
      <c r="AU788" s="5" t="str">
        <f>HYPERLINK("https://creighton-primo.hosted.exlibrisgroup.com/primo-explore/search?tab=default_tab&amp;search_scope=EVERYTHING&amp;vid=01CRU&amp;lang=en_US&amp;offset=0&amp;query=any,contains,991004335959702656","Catalog Record")</f>
        <v>Catalog Record</v>
      </c>
      <c r="AV788" s="5" t="str">
        <f>HYPERLINK("http://www.worldcat.org/oclc/425178","WorldCat Record")</f>
        <v>WorldCat Record</v>
      </c>
      <c r="AW788" s="2" t="s">
        <v>9812</v>
      </c>
      <c r="AX788" s="2" t="s">
        <v>9813</v>
      </c>
      <c r="AY788" s="2" t="s">
        <v>9814</v>
      </c>
      <c r="AZ788" s="2" t="s">
        <v>9814</v>
      </c>
      <c r="BA788" s="2" t="s">
        <v>9815</v>
      </c>
      <c r="BB788" s="2" t="s">
        <v>20</v>
      </c>
      <c r="BE788" s="2" t="s">
        <v>9816</v>
      </c>
      <c r="BF788" s="2" t="s">
        <v>9817</v>
      </c>
    </row>
    <row r="789" spans="1:58" ht="39.75" customHeight="1" x14ac:dyDescent="0.25">
      <c r="A789" s="7" t="s">
        <v>5</v>
      </c>
      <c r="B789" s="1" t="s">
        <v>0</v>
      </c>
      <c r="C789" s="1" t="s">
        <v>1</v>
      </c>
      <c r="D789" s="1" t="s">
        <v>9818</v>
      </c>
      <c r="E789" s="1" t="s">
        <v>9819</v>
      </c>
      <c r="F789" s="1" t="s">
        <v>9820</v>
      </c>
      <c r="H789" s="2" t="s">
        <v>5</v>
      </c>
      <c r="I789" s="2" t="s">
        <v>6</v>
      </c>
      <c r="J789" s="2" t="s">
        <v>5</v>
      </c>
      <c r="K789" s="2" t="s">
        <v>5</v>
      </c>
      <c r="L789" s="2" t="s">
        <v>7</v>
      </c>
      <c r="M789" s="1" t="s">
        <v>9821</v>
      </c>
      <c r="N789" s="1" t="s">
        <v>9822</v>
      </c>
      <c r="O789" s="2" t="s">
        <v>421</v>
      </c>
      <c r="Q789" s="2" t="s">
        <v>1151</v>
      </c>
      <c r="R789" s="2" t="s">
        <v>4146</v>
      </c>
      <c r="S789" s="1" t="s">
        <v>9823</v>
      </c>
      <c r="T789" s="2" t="s">
        <v>13</v>
      </c>
      <c r="U789" s="3">
        <v>1</v>
      </c>
      <c r="V789" s="3">
        <v>1</v>
      </c>
      <c r="W789" s="4" t="s">
        <v>8667</v>
      </c>
      <c r="X789" s="4" t="s">
        <v>8667</v>
      </c>
      <c r="Y789" s="4" t="s">
        <v>8667</v>
      </c>
      <c r="Z789" s="4" t="s">
        <v>8667</v>
      </c>
      <c r="AA789" s="3">
        <v>33</v>
      </c>
      <c r="AB789" s="3">
        <v>27</v>
      </c>
      <c r="AC789" s="3">
        <v>29</v>
      </c>
      <c r="AD789" s="3">
        <v>1</v>
      </c>
      <c r="AE789" s="9">
        <v>1</v>
      </c>
      <c r="AF789" s="9">
        <v>2</v>
      </c>
      <c r="AG789" s="9">
        <v>2</v>
      </c>
      <c r="AH789" s="3">
        <v>0</v>
      </c>
      <c r="AI789" s="3">
        <v>0</v>
      </c>
      <c r="AJ789" s="3">
        <v>2</v>
      </c>
      <c r="AK789" s="3">
        <v>2</v>
      </c>
      <c r="AL789" s="3">
        <v>1</v>
      </c>
      <c r="AM789" s="3">
        <v>1</v>
      </c>
      <c r="AN789" s="3">
        <v>0</v>
      </c>
      <c r="AO789" s="3">
        <v>0</v>
      </c>
      <c r="AP789" s="3">
        <v>0</v>
      </c>
      <c r="AQ789" s="3">
        <v>0</v>
      </c>
      <c r="AR789" s="2" t="s">
        <v>5</v>
      </c>
      <c r="AS789" s="2" t="s">
        <v>46</v>
      </c>
      <c r="AT789" s="5" t="str">
        <f>HYPERLINK("http://catalog.hathitrust.org/Record/006712061","HathiTrust Record")</f>
        <v>HathiTrust Record</v>
      </c>
      <c r="AU789" s="5" t="str">
        <f>HYPERLINK("https://creighton-primo.hosted.exlibrisgroup.com/primo-explore/search?tab=default_tab&amp;search_scope=EVERYTHING&amp;vid=01CRU&amp;lang=en_US&amp;offset=0&amp;query=any,contains,991004340179702656","Catalog Record")</f>
        <v>Catalog Record</v>
      </c>
      <c r="AV789" s="5" t="str">
        <f>HYPERLINK("http://www.worldcat.org/oclc/14698472","WorldCat Record")</f>
        <v>WorldCat Record</v>
      </c>
      <c r="AW789" s="2" t="s">
        <v>9824</v>
      </c>
      <c r="AX789" s="2" t="s">
        <v>9825</v>
      </c>
      <c r="AY789" s="2" t="s">
        <v>9826</v>
      </c>
      <c r="AZ789" s="2" t="s">
        <v>9826</v>
      </c>
      <c r="BA789" s="2" t="s">
        <v>9827</v>
      </c>
      <c r="BB789" s="2" t="s">
        <v>20</v>
      </c>
      <c r="BE789" s="2" t="s">
        <v>9828</v>
      </c>
      <c r="BF789" s="2" t="s">
        <v>9829</v>
      </c>
    </row>
    <row r="790" spans="1:58" ht="39.75" customHeight="1" x14ac:dyDescent="0.25">
      <c r="A790" s="7" t="s">
        <v>5</v>
      </c>
      <c r="B790" s="1" t="s">
        <v>0</v>
      </c>
      <c r="C790" s="1" t="s">
        <v>1</v>
      </c>
      <c r="D790" s="1" t="s">
        <v>9830</v>
      </c>
      <c r="E790" s="1" t="s">
        <v>9831</v>
      </c>
      <c r="F790" s="1" t="s">
        <v>9832</v>
      </c>
      <c r="H790" s="2" t="s">
        <v>5</v>
      </c>
      <c r="I790" s="2" t="s">
        <v>6</v>
      </c>
      <c r="J790" s="2" t="s">
        <v>5</v>
      </c>
      <c r="K790" s="2" t="s">
        <v>5</v>
      </c>
      <c r="L790" s="2" t="s">
        <v>7</v>
      </c>
      <c r="M790" s="1" t="s">
        <v>9833</v>
      </c>
      <c r="N790" s="1" t="s">
        <v>9834</v>
      </c>
      <c r="O790" s="2" t="s">
        <v>524</v>
      </c>
      <c r="Q790" s="2" t="s">
        <v>1151</v>
      </c>
      <c r="R790" s="2" t="s">
        <v>4146</v>
      </c>
      <c r="T790" s="2" t="s">
        <v>13</v>
      </c>
      <c r="U790" s="3">
        <v>1</v>
      </c>
      <c r="V790" s="3">
        <v>1</v>
      </c>
      <c r="W790" s="4" t="s">
        <v>6036</v>
      </c>
      <c r="X790" s="4" t="s">
        <v>6036</v>
      </c>
      <c r="Y790" s="4" t="s">
        <v>6036</v>
      </c>
      <c r="Z790" s="4" t="s">
        <v>6036</v>
      </c>
      <c r="AA790" s="3">
        <v>29</v>
      </c>
      <c r="AB790" s="3">
        <v>25</v>
      </c>
      <c r="AC790" s="3">
        <v>27</v>
      </c>
      <c r="AD790" s="3">
        <v>1</v>
      </c>
      <c r="AE790" s="9">
        <v>1</v>
      </c>
      <c r="AF790" s="9">
        <v>0</v>
      </c>
      <c r="AG790" s="9">
        <v>0</v>
      </c>
      <c r="AH790" s="3">
        <v>0</v>
      </c>
      <c r="AI790" s="3">
        <v>0</v>
      </c>
      <c r="AJ790" s="3">
        <v>0</v>
      </c>
      <c r="AK790" s="3">
        <v>0</v>
      </c>
      <c r="AL790" s="3">
        <v>0</v>
      </c>
      <c r="AM790" s="3">
        <v>0</v>
      </c>
      <c r="AN790" s="3">
        <v>0</v>
      </c>
      <c r="AO790" s="3">
        <v>0</v>
      </c>
      <c r="AP790" s="3">
        <v>0</v>
      </c>
      <c r="AQ790" s="3">
        <v>0</v>
      </c>
      <c r="AR790" s="2" t="s">
        <v>5</v>
      </c>
      <c r="AS790" s="2" t="s">
        <v>46</v>
      </c>
      <c r="AT790" s="5" t="str">
        <f>HYPERLINK("http://catalog.hathitrust.org/Record/006712062","HathiTrust Record")</f>
        <v>HathiTrust Record</v>
      </c>
      <c r="AU790" s="5" t="str">
        <f>HYPERLINK("https://creighton-primo.hosted.exlibrisgroup.com/primo-explore/search?tab=default_tab&amp;search_scope=EVERYTHING&amp;vid=01CRU&amp;lang=en_US&amp;offset=0&amp;query=any,contains,991004334699702656","Catalog Record")</f>
        <v>Catalog Record</v>
      </c>
      <c r="AV790" s="5" t="str">
        <f>HYPERLINK("http://www.worldcat.org/oclc/2470136","WorldCat Record")</f>
        <v>WorldCat Record</v>
      </c>
      <c r="AW790" s="2" t="s">
        <v>9835</v>
      </c>
      <c r="AX790" s="2" t="s">
        <v>9836</v>
      </c>
      <c r="AY790" s="2" t="s">
        <v>9837</v>
      </c>
      <c r="AZ790" s="2" t="s">
        <v>9837</v>
      </c>
      <c r="BA790" s="2" t="s">
        <v>9838</v>
      </c>
      <c r="BB790" s="2" t="s">
        <v>20</v>
      </c>
      <c r="BE790" s="2" t="s">
        <v>9839</v>
      </c>
      <c r="BF790" s="2" t="s">
        <v>9840</v>
      </c>
    </row>
    <row r="791" spans="1:58" ht="39.75" customHeight="1" x14ac:dyDescent="0.25">
      <c r="A791" s="7" t="s">
        <v>5</v>
      </c>
      <c r="B791" s="1" t="s">
        <v>0</v>
      </c>
      <c r="C791" s="1" t="s">
        <v>1</v>
      </c>
      <c r="D791" s="1" t="s">
        <v>9841</v>
      </c>
      <c r="E791" s="1" t="s">
        <v>9842</v>
      </c>
      <c r="F791" s="1" t="s">
        <v>9843</v>
      </c>
      <c r="H791" s="2" t="s">
        <v>5</v>
      </c>
      <c r="I791" s="2" t="s">
        <v>6</v>
      </c>
      <c r="J791" s="2" t="s">
        <v>5</v>
      </c>
      <c r="K791" s="2" t="s">
        <v>5</v>
      </c>
      <c r="L791" s="2" t="s">
        <v>7</v>
      </c>
      <c r="M791" s="1" t="s">
        <v>9844</v>
      </c>
      <c r="N791" s="1" t="s">
        <v>9845</v>
      </c>
      <c r="O791" s="2" t="s">
        <v>969</v>
      </c>
      <c r="Q791" s="2" t="s">
        <v>60</v>
      </c>
      <c r="R791" s="2" t="s">
        <v>61</v>
      </c>
      <c r="T791" s="2" t="s">
        <v>13</v>
      </c>
      <c r="U791" s="3">
        <v>3</v>
      </c>
      <c r="V791" s="3">
        <v>3</v>
      </c>
      <c r="W791" s="4" t="s">
        <v>9846</v>
      </c>
      <c r="X791" s="4" t="s">
        <v>9846</v>
      </c>
      <c r="Y791" s="4" t="s">
        <v>9847</v>
      </c>
      <c r="Z791" s="4" t="s">
        <v>9847</v>
      </c>
      <c r="AA791" s="3">
        <v>513</v>
      </c>
      <c r="AB791" s="3">
        <v>494</v>
      </c>
      <c r="AC791" s="3">
        <v>1196</v>
      </c>
      <c r="AD791" s="3">
        <v>5</v>
      </c>
      <c r="AE791" s="9">
        <v>8</v>
      </c>
      <c r="AF791" s="9">
        <v>21</v>
      </c>
      <c r="AG791" s="9">
        <v>50</v>
      </c>
      <c r="AH791" s="3">
        <v>7</v>
      </c>
      <c r="AI791" s="3">
        <v>23</v>
      </c>
      <c r="AJ791" s="3">
        <v>5</v>
      </c>
      <c r="AK791" s="3">
        <v>10</v>
      </c>
      <c r="AL791" s="3">
        <v>9</v>
      </c>
      <c r="AM791" s="3">
        <v>23</v>
      </c>
      <c r="AN791" s="3">
        <v>4</v>
      </c>
      <c r="AO791" s="3">
        <v>7</v>
      </c>
      <c r="AP791" s="3">
        <v>0</v>
      </c>
      <c r="AQ791" s="3">
        <v>0</v>
      </c>
      <c r="AR791" s="2" t="s">
        <v>5</v>
      </c>
      <c r="AS791" s="2" t="s">
        <v>46</v>
      </c>
      <c r="AT791" s="5" t="str">
        <f>HYPERLINK("http://catalog.hathitrust.org/Record/001049127","HathiTrust Record")</f>
        <v>HathiTrust Record</v>
      </c>
      <c r="AU791" s="5" t="str">
        <f>HYPERLINK("https://creighton-primo.hosted.exlibrisgroup.com/primo-explore/search?tab=default_tab&amp;search_scope=EVERYTHING&amp;vid=01CRU&amp;lang=en_US&amp;offset=0&amp;query=any,contains,991004159639702656","Catalog Record")</f>
        <v>Catalog Record</v>
      </c>
      <c r="AV791" s="5" t="str">
        <f>HYPERLINK("http://www.worldcat.org/oclc/2546377","WorldCat Record")</f>
        <v>WorldCat Record</v>
      </c>
      <c r="AW791" s="2" t="s">
        <v>9848</v>
      </c>
      <c r="AX791" s="2" t="s">
        <v>9849</v>
      </c>
      <c r="AY791" s="2" t="s">
        <v>9850</v>
      </c>
      <c r="AZ791" s="2" t="s">
        <v>9850</v>
      </c>
      <c r="BA791" s="2" t="s">
        <v>9851</v>
      </c>
      <c r="BB791" s="2" t="s">
        <v>20</v>
      </c>
      <c r="BE791" s="2" t="s">
        <v>9852</v>
      </c>
      <c r="BF791" s="2" t="s">
        <v>9853</v>
      </c>
    </row>
    <row r="792" spans="1:58" ht="39.75" customHeight="1" x14ac:dyDescent="0.25">
      <c r="A792" s="7" t="s">
        <v>5</v>
      </c>
      <c r="B792" s="1" t="s">
        <v>0</v>
      </c>
      <c r="C792" s="1" t="s">
        <v>1</v>
      </c>
      <c r="D792" s="1" t="s">
        <v>9854</v>
      </c>
      <c r="E792" s="1" t="s">
        <v>9855</v>
      </c>
      <c r="F792" s="1" t="s">
        <v>9856</v>
      </c>
      <c r="H792" s="2" t="s">
        <v>5</v>
      </c>
      <c r="I792" s="2" t="s">
        <v>6</v>
      </c>
      <c r="J792" s="2" t="s">
        <v>5</v>
      </c>
      <c r="K792" s="2" t="s">
        <v>5</v>
      </c>
      <c r="L792" s="2" t="s">
        <v>7</v>
      </c>
      <c r="M792" s="1" t="s">
        <v>7070</v>
      </c>
      <c r="N792" s="1" t="s">
        <v>9857</v>
      </c>
      <c r="O792" s="2" t="s">
        <v>121</v>
      </c>
      <c r="P792" s="1" t="s">
        <v>9858</v>
      </c>
      <c r="Q792" s="2" t="s">
        <v>60</v>
      </c>
      <c r="R792" s="2" t="s">
        <v>1152</v>
      </c>
      <c r="T792" s="2" t="s">
        <v>13</v>
      </c>
      <c r="U792" s="3">
        <v>1</v>
      </c>
      <c r="V792" s="3">
        <v>1</v>
      </c>
      <c r="W792" s="4" t="s">
        <v>9859</v>
      </c>
      <c r="X792" s="4" t="s">
        <v>9859</v>
      </c>
      <c r="Y792" s="4" t="s">
        <v>9859</v>
      </c>
      <c r="Z792" s="4" t="s">
        <v>9859</v>
      </c>
      <c r="AA792" s="3">
        <v>57</v>
      </c>
      <c r="AB792" s="3">
        <v>50</v>
      </c>
      <c r="AC792" s="3">
        <v>52</v>
      </c>
      <c r="AD792" s="3">
        <v>1</v>
      </c>
      <c r="AE792" s="9">
        <v>1</v>
      </c>
      <c r="AF792" s="9">
        <v>0</v>
      </c>
      <c r="AG792" s="9">
        <v>0</v>
      </c>
      <c r="AH792" s="3">
        <v>0</v>
      </c>
      <c r="AI792" s="3">
        <v>0</v>
      </c>
      <c r="AJ792" s="3">
        <v>0</v>
      </c>
      <c r="AK792" s="3">
        <v>0</v>
      </c>
      <c r="AL792" s="3">
        <v>0</v>
      </c>
      <c r="AM792" s="3">
        <v>0</v>
      </c>
      <c r="AN792" s="3">
        <v>0</v>
      </c>
      <c r="AO792" s="3">
        <v>0</v>
      </c>
      <c r="AP792" s="3">
        <v>0</v>
      </c>
      <c r="AQ792" s="3">
        <v>0</v>
      </c>
      <c r="AR792" s="2" t="s">
        <v>5</v>
      </c>
      <c r="AS792" s="2" t="s">
        <v>46</v>
      </c>
      <c r="AT792" s="5" t="str">
        <f>HYPERLINK("http://catalog.hathitrust.org/Record/009918303","HathiTrust Record")</f>
        <v>HathiTrust Record</v>
      </c>
      <c r="AU792" s="5" t="str">
        <f>HYPERLINK("https://creighton-primo.hosted.exlibrisgroup.com/primo-explore/search?tab=default_tab&amp;search_scope=EVERYTHING&amp;vid=01CRU&amp;lang=en_US&amp;offset=0&amp;query=any,contains,991003693639702656","Catalog Record")</f>
        <v>Catalog Record</v>
      </c>
      <c r="AV792" s="5" t="str">
        <f>HYPERLINK("http://www.worldcat.org/oclc/500763","WorldCat Record")</f>
        <v>WorldCat Record</v>
      </c>
      <c r="AW792" s="2" t="s">
        <v>9860</v>
      </c>
      <c r="AX792" s="2" t="s">
        <v>9861</v>
      </c>
      <c r="AY792" s="2" t="s">
        <v>9862</v>
      </c>
      <c r="AZ792" s="2" t="s">
        <v>9862</v>
      </c>
      <c r="BA792" s="2" t="s">
        <v>9863</v>
      </c>
      <c r="BB792" s="2" t="s">
        <v>20</v>
      </c>
      <c r="BE792" s="2" t="s">
        <v>9864</v>
      </c>
      <c r="BF792" s="2" t="s">
        <v>9865</v>
      </c>
    </row>
    <row r="793" spans="1:58" ht="39.75" customHeight="1" x14ac:dyDescent="0.25">
      <c r="A793" s="7" t="s">
        <v>5</v>
      </c>
      <c r="B793" s="1" t="s">
        <v>0</v>
      </c>
      <c r="C793" s="1" t="s">
        <v>1</v>
      </c>
      <c r="D793" s="1" t="s">
        <v>9866</v>
      </c>
      <c r="E793" s="1" t="s">
        <v>9867</v>
      </c>
      <c r="F793" s="1" t="s">
        <v>9868</v>
      </c>
      <c r="H793" s="2" t="s">
        <v>5</v>
      </c>
      <c r="I793" s="2" t="s">
        <v>6</v>
      </c>
      <c r="J793" s="2" t="s">
        <v>5</v>
      </c>
      <c r="K793" s="2" t="s">
        <v>5</v>
      </c>
      <c r="L793" s="2" t="s">
        <v>7</v>
      </c>
      <c r="N793" s="1" t="s">
        <v>9869</v>
      </c>
      <c r="O793" s="2" t="s">
        <v>322</v>
      </c>
      <c r="P793" s="1" t="s">
        <v>5359</v>
      </c>
      <c r="Q793" s="2" t="s">
        <v>1151</v>
      </c>
      <c r="R793" s="2" t="s">
        <v>4146</v>
      </c>
      <c r="S793" s="1" t="s">
        <v>9870</v>
      </c>
      <c r="T793" s="2" t="s">
        <v>13</v>
      </c>
      <c r="U793" s="3">
        <v>2</v>
      </c>
      <c r="V793" s="3">
        <v>2</v>
      </c>
      <c r="W793" s="4" t="s">
        <v>6996</v>
      </c>
      <c r="X793" s="4" t="s">
        <v>6996</v>
      </c>
      <c r="Y793" s="4" t="s">
        <v>9871</v>
      </c>
      <c r="Z793" s="4" t="s">
        <v>9871</v>
      </c>
      <c r="AA793" s="3">
        <v>55</v>
      </c>
      <c r="AB793" s="3">
        <v>45</v>
      </c>
      <c r="AC793" s="3">
        <v>52</v>
      </c>
      <c r="AD793" s="3">
        <v>1</v>
      </c>
      <c r="AE793" s="9">
        <v>1</v>
      </c>
      <c r="AF793" s="9">
        <v>1</v>
      </c>
      <c r="AG793" s="9">
        <v>1</v>
      </c>
      <c r="AH793" s="3">
        <v>0</v>
      </c>
      <c r="AI793" s="3">
        <v>0</v>
      </c>
      <c r="AJ793" s="3">
        <v>1</v>
      </c>
      <c r="AK793" s="3">
        <v>1</v>
      </c>
      <c r="AL793" s="3">
        <v>0</v>
      </c>
      <c r="AM793" s="3">
        <v>0</v>
      </c>
      <c r="AN793" s="3">
        <v>0</v>
      </c>
      <c r="AO793" s="3">
        <v>0</v>
      </c>
      <c r="AP793" s="3">
        <v>0</v>
      </c>
      <c r="AQ793" s="3">
        <v>0</v>
      </c>
      <c r="AR793" s="2" t="s">
        <v>5</v>
      </c>
      <c r="AS793" s="2" t="s">
        <v>46</v>
      </c>
      <c r="AT793" s="5" t="str">
        <f>HYPERLINK("http://catalog.hathitrust.org/Record/101095522","HathiTrust Record")</f>
        <v>HathiTrust Record</v>
      </c>
      <c r="AU793" s="5" t="str">
        <f>HYPERLINK("https://creighton-primo.hosted.exlibrisgroup.com/primo-explore/search?tab=default_tab&amp;search_scope=EVERYTHING&amp;vid=01CRU&amp;lang=en_US&amp;offset=0&amp;query=any,contains,991003811039702656","Catalog Record")</f>
        <v>Catalog Record</v>
      </c>
      <c r="AV793" s="5" t="str">
        <f>HYPERLINK("http://www.worldcat.org/oclc/32394903","WorldCat Record")</f>
        <v>WorldCat Record</v>
      </c>
      <c r="AW793" s="2" t="s">
        <v>9872</v>
      </c>
      <c r="AX793" s="2" t="s">
        <v>9873</v>
      </c>
      <c r="AY793" s="2" t="s">
        <v>9874</v>
      </c>
      <c r="AZ793" s="2" t="s">
        <v>9874</v>
      </c>
      <c r="BA793" s="2" t="s">
        <v>9875</v>
      </c>
      <c r="BB793" s="2" t="s">
        <v>20</v>
      </c>
      <c r="BD793" s="2" t="s">
        <v>9876</v>
      </c>
      <c r="BE793" s="2" t="s">
        <v>9877</v>
      </c>
      <c r="BF793" s="2" t="s">
        <v>9878</v>
      </c>
    </row>
    <row r="794" spans="1:58" ht="39.75" customHeight="1" x14ac:dyDescent="0.25">
      <c r="A794" s="7" t="s">
        <v>5</v>
      </c>
      <c r="B794" s="1" t="s">
        <v>0</v>
      </c>
      <c r="C794" s="1" t="s">
        <v>1</v>
      </c>
      <c r="D794" s="1" t="s">
        <v>9879</v>
      </c>
      <c r="E794" s="1" t="s">
        <v>9880</v>
      </c>
      <c r="F794" s="1" t="s">
        <v>9881</v>
      </c>
      <c r="H794" s="2" t="s">
        <v>5</v>
      </c>
      <c r="I794" s="2" t="s">
        <v>6</v>
      </c>
      <c r="J794" s="2" t="s">
        <v>5</v>
      </c>
      <c r="K794" s="2" t="s">
        <v>5</v>
      </c>
      <c r="L794" s="2" t="s">
        <v>7</v>
      </c>
      <c r="N794" s="1" t="s">
        <v>9882</v>
      </c>
      <c r="O794" s="2" t="s">
        <v>708</v>
      </c>
      <c r="Q794" s="2" t="s">
        <v>60</v>
      </c>
      <c r="R794" s="2" t="s">
        <v>5056</v>
      </c>
      <c r="T794" s="2" t="s">
        <v>13</v>
      </c>
      <c r="U794" s="3">
        <v>1</v>
      </c>
      <c r="V794" s="3">
        <v>1</v>
      </c>
      <c r="W794" s="4" t="s">
        <v>9883</v>
      </c>
      <c r="X794" s="4" t="s">
        <v>9883</v>
      </c>
      <c r="Y794" s="4" t="s">
        <v>9883</v>
      </c>
      <c r="Z794" s="4" t="s">
        <v>9883</v>
      </c>
      <c r="AA794" s="3">
        <v>163</v>
      </c>
      <c r="AB794" s="3">
        <v>136</v>
      </c>
      <c r="AC794" s="3">
        <v>143</v>
      </c>
      <c r="AD794" s="3">
        <v>1</v>
      </c>
      <c r="AE794" s="9">
        <v>1</v>
      </c>
      <c r="AF794" s="9">
        <v>4</v>
      </c>
      <c r="AG794" s="9">
        <v>4</v>
      </c>
      <c r="AH794" s="3">
        <v>2</v>
      </c>
      <c r="AI794" s="3">
        <v>2</v>
      </c>
      <c r="AJ794" s="3">
        <v>0</v>
      </c>
      <c r="AK794" s="3">
        <v>0</v>
      </c>
      <c r="AL794" s="3">
        <v>2</v>
      </c>
      <c r="AM794" s="3">
        <v>2</v>
      </c>
      <c r="AN794" s="3">
        <v>0</v>
      </c>
      <c r="AO794" s="3">
        <v>0</v>
      </c>
      <c r="AP794" s="3">
        <v>0</v>
      </c>
      <c r="AQ794" s="3">
        <v>0</v>
      </c>
      <c r="AR794" s="2" t="s">
        <v>5</v>
      </c>
      <c r="AS794" s="2" t="s">
        <v>46</v>
      </c>
      <c r="AT794" s="5" t="str">
        <f>HYPERLINK("http://catalog.hathitrust.org/Record/101095551","HathiTrust Record")</f>
        <v>HathiTrust Record</v>
      </c>
      <c r="AU794" s="5" t="str">
        <f>HYPERLINK("https://creighton-primo.hosted.exlibrisgroup.com/primo-explore/search?tab=default_tab&amp;search_scope=EVERYTHING&amp;vid=01CRU&amp;lang=en_US&amp;offset=0&amp;query=any,contains,991004027819702656","Catalog Record")</f>
        <v>Catalog Record</v>
      </c>
      <c r="AV794" s="5" t="str">
        <f>HYPERLINK("http://www.worldcat.org/oclc/16828368","WorldCat Record")</f>
        <v>WorldCat Record</v>
      </c>
      <c r="AW794" s="2" t="s">
        <v>9884</v>
      </c>
      <c r="AX794" s="2" t="s">
        <v>9885</v>
      </c>
      <c r="AY794" s="2" t="s">
        <v>9886</v>
      </c>
      <c r="AZ794" s="2" t="s">
        <v>9886</v>
      </c>
      <c r="BA794" s="2" t="s">
        <v>9887</v>
      </c>
      <c r="BB794" s="2" t="s">
        <v>20</v>
      </c>
      <c r="BD794" s="2" t="s">
        <v>9888</v>
      </c>
      <c r="BE794" s="2" t="s">
        <v>9889</v>
      </c>
      <c r="BF794" s="2" t="s">
        <v>9890</v>
      </c>
    </row>
    <row r="795" spans="1:58" ht="39.75" customHeight="1" x14ac:dyDescent="0.25">
      <c r="A795" s="7" t="s">
        <v>5</v>
      </c>
      <c r="B795" s="1" t="s">
        <v>0</v>
      </c>
      <c r="C795" s="1" t="s">
        <v>1</v>
      </c>
      <c r="D795" s="1" t="s">
        <v>9891</v>
      </c>
      <c r="E795" s="1" t="s">
        <v>9892</v>
      </c>
      <c r="F795" s="1" t="s">
        <v>9893</v>
      </c>
      <c r="G795" s="2" t="s">
        <v>101</v>
      </c>
      <c r="H795" s="2" t="s">
        <v>5</v>
      </c>
      <c r="I795" s="2" t="s">
        <v>6</v>
      </c>
      <c r="J795" s="2" t="s">
        <v>5</v>
      </c>
      <c r="K795" s="2" t="s">
        <v>5</v>
      </c>
      <c r="L795" s="2" t="s">
        <v>7</v>
      </c>
      <c r="M795" s="1" t="s">
        <v>9894</v>
      </c>
      <c r="N795" s="1" t="s">
        <v>9895</v>
      </c>
      <c r="O795" s="2" t="s">
        <v>2610</v>
      </c>
      <c r="P795" s="1" t="s">
        <v>2908</v>
      </c>
      <c r="Q795" s="2" t="s">
        <v>1151</v>
      </c>
      <c r="R795" s="2" t="s">
        <v>61</v>
      </c>
      <c r="S795" s="1" t="s">
        <v>9896</v>
      </c>
      <c r="T795" s="2" t="s">
        <v>13</v>
      </c>
      <c r="U795" s="3">
        <v>8</v>
      </c>
      <c r="V795" s="3">
        <v>8</v>
      </c>
      <c r="W795" s="4" t="s">
        <v>2157</v>
      </c>
      <c r="X795" s="4" t="s">
        <v>2157</v>
      </c>
      <c r="Y795" s="4" t="s">
        <v>9404</v>
      </c>
      <c r="Z795" s="4" t="s">
        <v>9404</v>
      </c>
      <c r="AA795" s="3">
        <v>218</v>
      </c>
      <c r="AB795" s="3">
        <v>190</v>
      </c>
      <c r="AC795" s="3">
        <v>201</v>
      </c>
      <c r="AD795" s="3">
        <v>1</v>
      </c>
      <c r="AE795" s="9">
        <v>1</v>
      </c>
      <c r="AF795" s="9">
        <v>8</v>
      </c>
      <c r="AG795" s="9">
        <v>8</v>
      </c>
      <c r="AH795" s="3">
        <v>2</v>
      </c>
      <c r="AI795" s="3">
        <v>2</v>
      </c>
      <c r="AJ795" s="3">
        <v>2</v>
      </c>
      <c r="AK795" s="3">
        <v>2</v>
      </c>
      <c r="AL795" s="3">
        <v>6</v>
      </c>
      <c r="AM795" s="3">
        <v>6</v>
      </c>
      <c r="AN795" s="3">
        <v>0</v>
      </c>
      <c r="AO795" s="3">
        <v>0</v>
      </c>
      <c r="AP795" s="3">
        <v>0</v>
      </c>
      <c r="AQ795" s="3">
        <v>0</v>
      </c>
      <c r="AR795" s="2" t="s">
        <v>5</v>
      </c>
      <c r="AS795" s="2" t="s">
        <v>46</v>
      </c>
      <c r="AT795" s="5" t="str">
        <f>HYPERLINK("http://catalog.hathitrust.org/Record/002168794","HathiTrust Record")</f>
        <v>HathiTrust Record</v>
      </c>
      <c r="AU795" s="5" t="str">
        <f>HYPERLINK("https://creighton-primo.hosted.exlibrisgroup.com/primo-explore/search?tab=default_tab&amp;search_scope=EVERYTHING&amp;vid=01CRU&amp;lang=en_US&amp;offset=0&amp;query=any,contains,991002078029702656","Catalog Record")</f>
        <v>Catalog Record</v>
      </c>
      <c r="AV795" s="5" t="str">
        <f>HYPERLINK("http://www.worldcat.org/oclc/20289697","WorldCat Record")</f>
        <v>WorldCat Record</v>
      </c>
      <c r="AW795" s="2" t="s">
        <v>9897</v>
      </c>
      <c r="AX795" s="2" t="s">
        <v>9898</v>
      </c>
      <c r="AY795" s="2" t="s">
        <v>9899</v>
      </c>
      <c r="AZ795" s="2" t="s">
        <v>9899</v>
      </c>
      <c r="BA795" s="2" t="s">
        <v>9900</v>
      </c>
      <c r="BB795" s="2" t="s">
        <v>20</v>
      </c>
      <c r="BD795" s="2" t="s">
        <v>9901</v>
      </c>
      <c r="BE795" s="2" t="s">
        <v>9902</v>
      </c>
      <c r="BF795" s="2" t="s">
        <v>9903</v>
      </c>
    </row>
    <row r="796" spans="1:58" ht="39.75" customHeight="1" x14ac:dyDescent="0.25">
      <c r="A796" s="7" t="s">
        <v>5</v>
      </c>
      <c r="B796" s="1" t="s">
        <v>0</v>
      </c>
      <c r="C796" s="1" t="s">
        <v>1</v>
      </c>
      <c r="D796" s="1" t="s">
        <v>9904</v>
      </c>
      <c r="E796" s="1" t="s">
        <v>9905</v>
      </c>
      <c r="F796" s="1" t="s">
        <v>9906</v>
      </c>
      <c r="H796" s="2" t="s">
        <v>5</v>
      </c>
      <c r="I796" s="2" t="s">
        <v>6</v>
      </c>
      <c r="J796" s="2" t="s">
        <v>5</v>
      </c>
      <c r="K796" s="2" t="s">
        <v>5</v>
      </c>
      <c r="L796" s="2" t="s">
        <v>7</v>
      </c>
      <c r="N796" s="1" t="s">
        <v>9907</v>
      </c>
      <c r="O796" s="2" t="s">
        <v>291</v>
      </c>
      <c r="P796" s="1" t="s">
        <v>2908</v>
      </c>
      <c r="Q796" s="2" t="s">
        <v>1151</v>
      </c>
      <c r="R796" s="2" t="s">
        <v>1152</v>
      </c>
      <c r="S796" s="1" t="s">
        <v>9908</v>
      </c>
      <c r="T796" s="2" t="s">
        <v>13</v>
      </c>
      <c r="U796" s="3">
        <v>2</v>
      </c>
      <c r="V796" s="3">
        <v>2</v>
      </c>
      <c r="W796" s="4" t="s">
        <v>8667</v>
      </c>
      <c r="X796" s="4" t="s">
        <v>8667</v>
      </c>
      <c r="Y796" s="4" t="s">
        <v>8667</v>
      </c>
      <c r="Z796" s="4" t="s">
        <v>8667</v>
      </c>
      <c r="AA796" s="3">
        <v>198</v>
      </c>
      <c r="AB796" s="3">
        <v>140</v>
      </c>
      <c r="AC796" s="3">
        <v>141</v>
      </c>
      <c r="AD796" s="3">
        <v>3</v>
      </c>
      <c r="AE796" s="9">
        <v>3</v>
      </c>
      <c r="AF796" s="9">
        <v>8</v>
      </c>
      <c r="AG796" s="9">
        <v>8</v>
      </c>
      <c r="AH796" s="3">
        <v>2</v>
      </c>
      <c r="AI796" s="3">
        <v>2</v>
      </c>
      <c r="AJ796" s="3">
        <v>2</v>
      </c>
      <c r="AK796" s="3">
        <v>2</v>
      </c>
      <c r="AL796" s="3">
        <v>3</v>
      </c>
      <c r="AM796" s="3">
        <v>3</v>
      </c>
      <c r="AN796" s="3">
        <v>2</v>
      </c>
      <c r="AO796" s="3">
        <v>2</v>
      </c>
      <c r="AP796" s="3">
        <v>0</v>
      </c>
      <c r="AQ796" s="3">
        <v>0</v>
      </c>
      <c r="AR796" s="2" t="s">
        <v>5</v>
      </c>
      <c r="AS796" s="2" t="s">
        <v>5</v>
      </c>
      <c r="AU796" s="5" t="str">
        <f>HYPERLINK("https://creighton-primo.hosted.exlibrisgroup.com/primo-explore/search?tab=default_tab&amp;search_scope=EVERYTHING&amp;vid=01CRU&amp;lang=en_US&amp;offset=0&amp;query=any,contains,991004340019702656","Catalog Record")</f>
        <v>Catalog Record</v>
      </c>
      <c r="AV796" s="5" t="str">
        <f>HYPERLINK("http://www.worldcat.org/oclc/3604663","WorldCat Record")</f>
        <v>WorldCat Record</v>
      </c>
      <c r="AW796" s="2" t="s">
        <v>9909</v>
      </c>
      <c r="AX796" s="2" t="s">
        <v>9910</v>
      </c>
      <c r="AY796" s="2" t="s">
        <v>9911</v>
      </c>
      <c r="AZ796" s="2" t="s">
        <v>9911</v>
      </c>
      <c r="BA796" s="2" t="s">
        <v>9912</v>
      </c>
      <c r="BB796" s="2" t="s">
        <v>20</v>
      </c>
      <c r="BD796" s="2" t="s">
        <v>9913</v>
      </c>
      <c r="BE796" s="2" t="s">
        <v>9914</v>
      </c>
      <c r="BF796" s="2" t="s">
        <v>9915</v>
      </c>
    </row>
    <row r="797" spans="1:58" ht="39.75" customHeight="1" x14ac:dyDescent="0.25">
      <c r="A797" s="7" t="s">
        <v>5</v>
      </c>
      <c r="B797" s="1" t="s">
        <v>0</v>
      </c>
      <c r="C797" s="1" t="s">
        <v>1</v>
      </c>
      <c r="D797" s="1" t="s">
        <v>9916</v>
      </c>
      <c r="E797" s="1" t="s">
        <v>9917</v>
      </c>
      <c r="F797" s="1" t="s">
        <v>9918</v>
      </c>
      <c r="H797" s="2" t="s">
        <v>5</v>
      </c>
      <c r="I797" s="2" t="s">
        <v>6</v>
      </c>
      <c r="J797" s="2" t="s">
        <v>5</v>
      </c>
      <c r="K797" s="2" t="s">
        <v>5</v>
      </c>
      <c r="L797" s="2" t="s">
        <v>7</v>
      </c>
      <c r="M797" s="1" t="s">
        <v>9919</v>
      </c>
      <c r="N797" s="1" t="s">
        <v>9920</v>
      </c>
      <c r="O797" s="2" t="s">
        <v>322</v>
      </c>
      <c r="P797" s="1" t="s">
        <v>5911</v>
      </c>
      <c r="Q797" s="2" t="s">
        <v>1151</v>
      </c>
      <c r="R797" s="2" t="s">
        <v>9921</v>
      </c>
      <c r="S797" s="1" t="s">
        <v>9922</v>
      </c>
      <c r="T797" s="2" t="s">
        <v>13</v>
      </c>
      <c r="U797" s="3">
        <v>1</v>
      </c>
      <c r="V797" s="3">
        <v>1</v>
      </c>
      <c r="W797" s="4" t="s">
        <v>9923</v>
      </c>
      <c r="X797" s="4" t="s">
        <v>9923</v>
      </c>
      <c r="Y797" s="4" t="s">
        <v>9923</v>
      </c>
      <c r="Z797" s="4" t="s">
        <v>9923</v>
      </c>
      <c r="AA797" s="3">
        <v>89</v>
      </c>
      <c r="AB797" s="3">
        <v>74</v>
      </c>
      <c r="AC797" s="3">
        <v>75</v>
      </c>
      <c r="AD797" s="3">
        <v>1</v>
      </c>
      <c r="AE797" s="9">
        <v>1</v>
      </c>
      <c r="AF797" s="9">
        <v>2</v>
      </c>
      <c r="AG797" s="9">
        <v>2</v>
      </c>
      <c r="AH797" s="3">
        <v>1</v>
      </c>
      <c r="AI797" s="3">
        <v>1</v>
      </c>
      <c r="AJ797" s="3">
        <v>1</v>
      </c>
      <c r="AK797" s="3">
        <v>1</v>
      </c>
      <c r="AL797" s="3">
        <v>1</v>
      </c>
      <c r="AM797" s="3">
        <v>1</v>
      </c>
      <c r="AN797" s="3">
        <v>0</v>
      </c>
      <c r="AO797" s="3">
        <v>0</v>
      </c>
      <c r="AP797" s="3">
        <v>0</v>
      </c>
      <c r="AQ797" s="3">
        <v>0</v>
      </c>
      <c r="AR797" s="2" t="s">
        <v>5</v>
      </c>
      <c r="AS797" s="2" t="s">
        <v>46</v>
      </c>
      <c r="AT797" s="5" t="str">
        <f>HYPERLINK("http://catalog.hathitrust.org/Record/007390938","HathiTrust Record")</f>
        <v>HathiTrust Record</v>
      </c>
      <c r="AU797" s="5" t="str">
        <f>HYPERLINK("https://creighton-primo.hosted.exlibrisgroup.com/primo-explore/search?tab=default_tab&amp;search_scope=EVERYTHING&amp;vid=01CRU&amp;lang=en_US&amp;offset=0&amp;query=any,contains,991004264469702656","Catalog Record")</f>
        <v>Catalog Record</v>
      </c>
      <c r="AV797" s="5" t="str">
        <f>HYPERLINK("http://www.worldcat.org/oclc/28582150","WorldCat Record")</f>
        <v>WorldCat Record</v>
      </c>
      <c r="AW797" s="2" t="s">
        <v>9924</v>
      </c>
      <c r="AX797" s="2" t="s">
        <v>9925</v>
      </c>
      <c r="AY797" s="2" t="s">
        <v>9926</v>
      </c>
      <c r="AZ797" s="2" t="s">
        <v>9926</v>
      </c>
      <c r="BA797" s="2" t="s">
        <v>9927</v>
      </c>
      <c r="BB797" s="2" t="s">
        <v>20</v>
      </c>
      <c r="BD797" s="2" t="s">
        <v>9928</v>
      </c>
      <c r="BE797" s="2" t="s">
        <v>9929</v>
      </c>
      <c r="BF797" s="2" t="s">
        <v>9930</v>
      </c>
    </row>
    <row r="798" spans="1:58" ht="39.75" customHeight="1" x14ac:dyDescent="0.25">
      <c r="A798" s="7" t="s">
        <v>5</v>
      </c>
      <c r="B798" s="1" t="s">
        <v>0</v>
      </c>
      <c r="C798" s="1" t="s">
        <v>1</v>
      </c>
      <c r="D798" s="1" t="s">
        <v>9931</v>
      </c>
      <c r="E798" s="1" t="s">
        <v>9932</v>
      </c>
      <c r="F798" s="1" t="s">
        <v>9933</v>
      </c>
      <c r="H798" s="2" t="s">
        <v>5</v>
      </c>
      <c r="I798" s="2" t="s">
        <v>6</v>
      </c>
      <c r="J798" s="2" t="s">
        <v>5</v>
      </c>
      <c r="K798" s="2" t="s">
        <v>5</v>
      </c>
      <c r="L798" s="2" t="s">
        <v>7</v>
      </c>
      <c r="M798" s="1" t="s">
        <v>9934</v>
      </c>
      <c r="N798" s="1" t="s">
        <v>9935</v>
      </c>
      <c r="O798" s="2" t="s">
        <v>392</v>
      </c>
      <c r="Q798" s="2" t="s">
        <v>1151</v>
      </c>
      <c r="R798" s="2" t="s">
        <v>5403</v>
      </c>
      <c r="S798" s="1" t="s">
        <v>9936</v>
      </c>
      <c r="T798" s="2" t="s">
        <v>13</v>
      </c>
      <c r="U798" s="3">
        <v>1</v>
      </c>
      <c r="V798" s="3">
        <v>1</v>
      </c>
      <c r="W798" s="4" t="s">
        <v>5086</v>
      </c>
      <c r="X798" s="4" t="s">
        <v>5086</v>
      </c>
      <c r="Y798" s="4" t="s">
        <v>5086</v>
      </c>
      <c r="Z798" s="4" t="s">
        <v>5086</v>
      </c>
      <c r="AA798" s="3">
        <v>220</v>
      </c>
      <c r="AB798" s="3">
        <v>181</v>
      </c>
      <c r="AC798" s="3">
        <v>189</v>
      </c>
      <c r="AD798" s="3">
        <v>2</v>
      </c>
      <c r="AE798" s="9">
        <v>2</v>
      </c>
      <c r="AF798" s="9">
        <v>5</v>
      </c>
      <c r="AG798" s="9">
        <v>5</v>
      </c>
      <c r="AH798" s="3">
        <v>1</v>
      </c>
      <c r="AI798" s="3">
        <v>1</v>
      </c>
      <c r="AJ798" s="3">
        <v>2</v>
      </c>
      <c r="AK798" s="3">
        <v>2</v>
      </c>
      <c r="AL798" s="3">
        <v>3</v>
      </c>
      <c r="AM798" s="3">
        <v>3</v>
      </c>
      <c r="AN798" s="3">
        <v>1</v>
      </c>
      <c r="AO798" s="3">
        <v>1</v>
      </c>
      <c r="AP798" s="3">
        <v>0</v>
      </c>
      <c r="AQ798" s="3">
        <v>0</v>
      </c>
      <c r="AR798" s="2" t="s">
        <v>5</v>
      </c>
      <c r="AS798" s="2" t="s">
        <v>46</v>
      </c>
      <c r="AT798" s="5" t="str">
        <f>HYPERLINK("http://catalog.hathitrust.org/Record/101095923","HathiTrust Record")</f>
        <v>HathiTrust Record</v>
      </c>
      <c r="AU798" s="5" t="str">
        <f>HYPERLINK("https://creighton-primo.hosted.exlibrisgroup.com/primo-explore/search?tab=default_tab&amp;search_scope=EVERYTHING&amp;vid=01CRU&amp;lang=en_US&amp;offset=0&amp;query=any,contains,991004523499702656","Catalog Record")</f>
        <v>Catalog Record</v>
      </c>
      <c r="AV798" s="5" t="str">
        <f>HYPERLINK("http://www.worldcat.org/oclc/863619","WorldCat Record")</f>
        <v>WorldCat Record</v>
      </c>
      <c r="AW798" s="2" t="s">
        <v>9937</v>
      </c>
      <c r="AX798" s="2" t="s">
        <v>9938</v>
      </c>
      <c r="AY798" s="2" t="s">
        <v>9939</v>
      </c>
      <c r="AZ798" s="2" t="s">
        <v>9939</v>
      </c>
      <c r="BA798" s="2" t="s">
        <v>9940</v>
      </c>
      <c r="BB798" s="2" t="s">
        <v>20</v>
      </c>
      <c r="BE798" s="2" t="s">
        <v>9941</v>
      </c>
      <c r="BF798" s="2" t="s">
        <v>9942</v>
      </c>
    </row>
    <row r="799" spans="1:58" ht="39.75" customHeight="1" x14ac:dyDescent="0.25">
      <c r="A799" s="7" t="s">
        <v>5</v>
      </c>
      <c r="B799" s="1" t="s">
        <v>0</v>
      </c>
      <c r="C799" s="1" t="s">
        <v>1</v>
      </c>
      <c r="D799" s="1" t="s">
        <v>9943</v>
      </c>
      <c r="E799" s="1" t="s">
        <v>9944</v>
      </c>
      <c r="F799" s="1" t="s">
        <v>9945</v>
      </c>
      <c r="H799" s="2" t="s">
        <v>5</v>
      </c>
      <c r="I799" s="2" t="s">
        <v>6</v>
      </c>
      <c r="J799" s="2" t="s">
        <v>5</v>
      </c>
      <c r="K799" s="2" t="s">
        <v>5</v>
      </c>
      <c r="L799" s="2" t="s">
        <v>7</v>
      </c>
      <c r="M799" s="1" t="s">
        <v>9946</v>
      </c>
      <c r="N799" s="1" t="s">
        <v>9947</v>
      </c>
      <c r="O799" s="2" t="s">
        <v>42</v>
      </c>
      <c r="Q799" s="2" t="s">
        <v>1151</v>
      </c>
      <c r="R799" s="2" t="s">
        <v>1152</v>
      </c>
      <c r="S799" s="1" t="s">
        <v>9948</v>
      </c>
      <c r="T799" s="2" t="s">
        <v>13</v>
      </c>
      <c r="U799" s="3">
        <v>1</v>
      </c>
      <c r="V799" s="3">
        <v>1</v>
      </c>
      <c r="W799" s="4" t="s">
        <v>5071</v>
      </c>
      <c r="X799" s="4" t="s">
        <v>5071</v>
      </c>
      <c r="Y799" s="4" t="s">
        <v>5071</v>
      </c>
      <c r="Z799" s="4" t="s">
        <v>5071</v>
      </c>
      <c r="AA799" s="3">
        <v>112</v>
      </c>
      <c r="AB799" s="3">
        <v>78</v>
      </c>
      <c r="AC799" s="3">
        <v>79</v>
      </c>
      <c r="AD799" s="3">
        <v>1</v>
      </c>
      <c r="AE799" s="9">
        <v>1</v>
      </c>
      <c r="AF799" s="9">
        <v>3</v>
      </c>
      <c r="AG799" s="9">
        <v>3</v>
      </c>
      <c r="AH799" s="3">
        <v>0</v>
      </c>
      <c r="AI799" s="3">
        <v>0</v>
      </c>
      <c r="AJ799" s="3">
        <v>3</v>
      </c>
      <c r="AK799" s="3">
        <v>3</v>
      </c>
      <c r="AL799" s="3">
        <v>2</v>
      </c>
      <c r="AM799" s="3">
        <v>2</v>
      </c>
      <c r="AN799" s="3">
        <v>0</v>
      </c>
      <c r="AO799" s="3">
        <v>0</v>
      </c>
      <c r="AP799" s="3">
        <v>0</v>
      </c>
      <c r="AQ799" s="3">
        <v>0</v>
      </c>
      <c r="AR799" s="2" t="s">
        <v>5</v>
      </c>
      <c r="AS799" s="2" t="s">
        <v>46</v>
      </c>
      <c r="AT799" s="5" t="str">
        <f>HYPERLINK("http://catalog.hathitrust.org/Record/002450503","HathiTrust Record")</f>
        <v>HathiTrust Record</v>
      </c>
      <c r="AU799" s="5" t="str">
        <f>HYPERLINK("https://creighton-primo.hosted.exlibrisgroup.com/primo-explore/search?tab=default_tab&amp;search_scope=EVERYTHING&amp;vid=01CRU&amp;lang=en_US&amp;offset=0&amp;query=any,contains,991004336109702656","Catalog Record")</f>
        <v>Catalog Record</v>
      </c>
      <c r="AV799" s="5" t="str">
        <f>HYPERLINK("http://www.worldcat.org/oclc/23720841","WorldCat Record")</f>
        <v>WorldCat Record</v>
      </c>
      <c r="AW799" s="2" t="s">
        <v>9949</v>
      </c>
      <c r="AX799" s="2" t="s">
        <v>9950</v>
      </c>
      <c r="AY799" s="2" t="s">
        <v>9951</v>
      </c>
      <c r="AZ799" s="2" t="s">
        <v>9951</v>
      </c>
      <c r="BA799" s="2" t="s">
        <v>9952</v>
      </c>
      <c r="BB799" s="2" t="s">
        <v>20</v>
      </c>
      <c r="BD799" s="2" t="s">
        <v>9953</v>
      </c>
      <c r="BE799" s="2" t="s">
        <v>9954</v>
      </c>
      <c r="BF799" s="2" t="s">
        <v>9955</v>
      </c>
    </row>
    <row r="800" spans="1:58" ht="39.75" customHeight="1" x14ac:dyDescent="0.25">
      <c r="A800" s="7" t="s">
        <v>5</v>
      </c>
      <c r="B800" s="1" t="s">
        <v>0</v>
      </c>
      <c r="C800" s="1" t="s">
        <v>1</v>
      </c>
      <c r="D800" s="1" t="s">
        <v>9956</v>
      </c>
      <c r="E800" s="1" t="s">
        <v>9957</v>
      </c>
      <c r="F800" s="1" t="s">
        <v>9958</v>
      </c>
      <c r="H800" s="2" t="s">
        <v>5</v>
      </c>
      <c r="I800" s="2" t="s">
        <v>6</v>
      </c>
      <c r="J800" s="2" t="s">
        <v>5</v>
      </c>
      <c r="K800" s="2" t="s">
        <v>5</v>
      </c>
      <c r="L800" s="2" t="s">
        <v>7</v>
      </c>
      <c r="M800" s="1" t="s">
        <v>9959</v>
      </c>
      <c r="N800" s="1" t="s">
        <v>9960</v>
      </c>
      <c r="O800" s="2" t="s">
        <v>736</v>
      </c>
      <c r="Q800" s="2" t="s">
        <v>1151</v>
      </c>
      <c r="R800" s="2" t="s">
        <v>1152</v>
      </c>
      <c r="S800" s="1" t="s">
        <v>9961</v>
      </c>
      <c r="T800" s="2" t="s">
        <v>13</v>
      </c>
      <c r="U800" s="3">
        <v>1</v>
      </c>
      <c r="V800" s="3">
        <v>1</v>
      </c>
      <c r="W800" s="4" t="s">
        <v>8667</v>
      </c>
      <c r="X800" s="4" t="s">
        <v>8667</v>
      </c>
      <c r="Y800" s="4" t="s">
        <v>8667</v>
      </c>
      <c r="Z800" s="4" t="s">
        <v>8667</v>
      </c>
      <c r="AA800" s="3">
        <v>64</v>
      </c>
      <c r="AB800" s="3">
        <v>38</v>
      </c>
      <c r="AC800" s="3">
        <v>104</v>
      </c>
      <c r="AD800" s="3">
        <v>1</v>
      </c>
      <c r="AE800" s="9">
        <v>1</v>
      </c>
      <c r="AF800" s="9">
        <v>0</v>
      </c>
      <c r="AG800" s="9">
        <v>4</v>
      </c>
      <c r="AH800" s="3">
        <v>0</v>
      </c>
      <c r="AI800" s="3">
        <v>0</v>
      </c>
      <c r="AJ800" s="3">
        <v>0</v>
      </c>
      <c r="AK800" s="3">
        <v>3</v>
      </c>
      <c r="AL800" s="3">
        <v>0</v>
      </c>
      <c r="AM800" s="3">
        <v>3</v>
      </c>
      <c r="AN800" s="3">
        <v>0</v>
      </c>
      <c r="AO800" s="3">
        <v>0</v>
      </c>
      <c r="AP800" s="3">
        <v>0</v>
      </c>
      <c r="AQ800" s="3">
        <v>0</v>
      </c>
      <c r="AR800" s="2" t="s">
        <v>5</v>
      </c>
      <c r="AS800" s="2" t="s">
        <v>5</v>
      </c>
      <c r="AU800" s="5" t="str">
        <f>HYPERLINK("https://creighton-primo.hosted.exlibrisgroup.com/primo-explore/search?tab=default_tab&amp;search_scope=EVERYTHING&amp;vid=01CRU&amp;lang=en_US&amp;offset=0&amp;query=any,contains,991004339989702656","Catalog Record")</f>
        <v>Catalog Record</v>
      </c>
      <c r="AV800" s="5" t="str">
        <f>HYPERLINK("http://www.worldcat.org/oclc/24620660","WorldCat Record")</f>
        <v>WorldCat Record</v>
      </c>
      <c r="AW800" s="2" t="s">
        <v>9962</v>
      </c>
      <c r="AX800" s="2" t="s">
        <v>9963</v>
      </c>
      <c r="AY800" s="2" t="s">
        <v>9964</v>
      </c>
      <c r="AZ800" s="2" t="s">
        <v>9964</v>
      </c>
      <c r="BA800" s="2" t="s">
        <v>9965</v>
      </c>
      <c r="BB800" s="2" t="s">
        <v>20</v>
      </c>
      <c r="BD800" s="2" t="s">
        <v>9966</v>
      </c>
      <c r="BE800" s="2" t="s">
        <v>9967</v>
      </c>
      <c r="BF800" s="2" t="s">
        <v>9968</v>
      </c>
    </row>
    <row r="801" spans="1:58" ht="39.75" customHeight="1" x14ac:dyDescent="0.25">
      <c r="A801" s="7" t="s">
        <v>5</v>
      </c>
      <c r="B801" s="1" t="s">
        <v>0</v>
      </c>
      <c r="C801" s="1" t="s">
        <v>1</v>
      </c>
      <c r="D801" s="1" t="s">
        <v>9969</v>
      </c>
      <c r="E801" s="1" t="s">
        <v>9970</v>
      </c>
      <c r="F801" s="1" t="s">
        <v>9971</v>
      </c>
      <c r="H801" s="2" t="s">
        <v>5</v>
      </c>
      <c r="I801" s="2" t="s">
        <v>6</v>
      </c>
      <c r="J801" s="2" t="s">
        <v>5</v>
      </c>
      <c r="K801" s="2" t="s">
        <v>5</v>
      </c>
      <c r="L801" s="2" t="s">
        <v>7</v>
      </c>
      <c r="M801" s="1" t="s">
        <v>9972</v>
      </c>
      <c r="N801" s="1" t="s">
        <v>9973</v>
      </c>
      <c r="O801" s="2" t="s">
        <v>76</v>
      </c>
      <c r="P801" s="1" t="s">
        <v>9974</v>
      </c>
      <c r="Q801" s="2" t="s">
        <v>1151</v>
      </c>
      <c r="R801" s="2" t="s">
        <v>5403</v>
      </c>
      <c r="S801" s="1" t="s">
        <v>9975</v>
      </c>
      <c r="T801" s="2" t="s">
        <v>13</v>
      </c>
      <c r="U801" s="3">
        <v>1</v>
      </c>
      <c r="V801" s="3">
        <v>1</v>
      </c>
      <c r="W801" s="4" t="s">
        <v>5086</v>
      </c>
      <c r="X801" s="4" t="s">
        <v>5086</v>
      </c>
      <c r="Y801" s="4" t="s">
        <v>5086</v>
      </c>
      <c r="Z801" s="4" t="s">
        <v>5086</v>
      </c>
      <c r="AA801" s="3">
        <v>138</v>
      </c>
      <c r="AB801" s="3">
        <v>114</v>
      </c>
      <c r="AC801" s="3">
        <v>500</v>
      </c>
      <c r="AD801" s="3">
        <v>2</v>
      </c>
      <c r="AE801" s="9">
        <v>5</v>
      </c>
      <c r="AF801" s="9">
        <v>8</v>
      </c>
      <c r="AG801" s="9">
        <v>26</v>
      </c>
      <c r="AH801" s="3">
        <v>0</v>
      </c>
      <c r="AI801" s="3">
        <v>6</v>
      </c>
      <c r="AJ801" s="3">
        <v>4</v>
      </c>
      <c r="AK801" s="3">
        <v>8</v>
      </c>
      <c r="AL801" s="3">
        <v>5</v>
      </c>
      <c r="AM801" s="3">
        <v>15</v>
      </c>
      <c r="AN801" s="3">
        <v>1</v>
      </c>
      <c r="AO801" s="3">
        <v>4</v>
      </c>
      <c r="AP801" s="3">
        <v>0</v>
      </c>
      <c r="AQ801" s="3">
        <v>0</v>
      </c>
      <c r="AR801" s="2" t="s">
        <v>5</v>
      </c>
      <c r="AS801" s="2" t="s">
        <v>46</v>
      </c>
      <c r="AT801" s="5" t="str">
        <f>HYPERLINK("http://catalog.hathitrust.org/Record/101389753","HathiTrust Record")</f>
        <v>HathiTrust Record</v>
      </c>
      <c r="AU801" s="5" t="str">
        <f>HYPERLINK("https://creighton-primo.hosted.exlibrisgroup.com/primo-explore/search?tab=default_tab&amp;search_scope=EVERYTHING&amp;vid=01CRU&amp;lang=en_US&amp;offset=0&amp;query=any,contains,991004523079702656","Catalog Record")</f>
        <v>Catalog Record</v>
      </c>
      <c r="AV801" s="5" t="str">
        <f>HYPERLINK("http://www.worldcat.org/oclc/2468543","WorldCat Record")</f>
        <v>WorldCat Record</v>
      </c>
      <c r="AW801" s="2" t="s">
        <v>9976</v>
      </c>
      <c r="AX801" s="2" t="s">
        <v>9977</v>
      </c>
      <c r="AY801" s="2" t="s">
        <v>9978</v>
      </c>
      <c r="AZ801" s="2" t="s">
        <v>9978</v>
      </c>
      <c r="BA801" s="2" t="s">
        <v>9979</v>
      </c>
      <c r="BB801" s="2" t="s">
        <v>20</v>
      </c>
      <c r="BE801" s="2" t="s">
        <v>9980</v>
      </c>
      <c r="BF801" s="2" t="s">
        <v>9981</v>
      </c>
    </row>
    <row r="802" spans="1:58" ht="39.75" customHeight="1" x14ac:dyDescent="0.25">
      <c r="A802" s="7" t="s">
        <v>5</v>
      </c>
      <c r="B802" s="1" t="s">
        <v>0</v>
      </c>
      <c r="C802" s="1" t="s">
        <v>1</v>
      </c>
      <c r="D802" s="1" t="s">
        <v>9982</v>
      </c>
      <c r="E802" s="1" t="s">
        <v>9983</v>
      </c>
      <c r="F802" s="1" t="s">
        <v>9984</v>
      </c>
      <c r="H802" s="2" t="s">
        <v>5</v>
      </c>
      <c r="I802" s="2" t="s">
        <v>6</v>
      </c>
      <c r="J802" s="2" t="s">
        <v>5</v>
      </c>
      <c r="K802" s="2" t="s">
        <v>5</v>
      </c>
      <c r="L802" s="2" t="s">
        <v>7</v>
      </c>
      <c r="M802" s="1" t="s">
        <v>9985</v>
      </c>
      <c r="N802" s="1" t="s">
        <v>9986</v>
      </c>
      <c r="O802" s="2" t="s">
        <v>91</v>
      </c>
      <c r="Q802" s="2" t="s">
        <v>1151</v>
      </c>
      <c r="R802" s="2" t="s">
        <v>4146</v>
      </c>
      <c r="T802" s="2" t="s">
        <v>13</v>
      </c>
      <c r="U802" s="3">
        <v>1</v>
      </c>
      <c r="V802" s="3">
        <v>1</v>
      </c>
      <c r="W802" s="4" t="s">
        <v>8639</v>
      </c>
      <c r="X802" s="4" t="s">
        <v>8639</v>
      </c>
      <c r="Y802" s="4" t="s">
        <v>8639</v>
      </c>
      <c r="Z802" s="4" t="s">
        <v>8639</v>
      </c>
      <c r="AA802" s="3">
        <v>64</v>
      </c>
      <c r="AB802" s="3">
        <v>56</v>
      </c>
      <c r="AC802" s="3">
        <v>59</v>
      </c>
      <c r="AD802" s="3">
        <v>1</v>
      </c>
      <c r="AE802" s="9">
        <v>1</v>
      </c>
      <c r="AF802" s="9">
        <v>1</v>
      </c>
      <c r="AG802" s="9">
        <v>1</v>
      </c>
      <c r="AH802" s="3">
        <v>0</v>
      </c>
      <c r="AI802" s="3">
        <v>0</v>
      </c>
      <c r="AJ802" s="3">
        <v>1</v>
      </c>
      <c r="AK802" s="3">
        <v>1</v>
      </c>
      <c r="AL802" s="3">
        <v>0</v>
      </c>
      <c r="AM802" s="3">
        <v>0</v>
      </c>
      <c r="AN802" s="3">
        <v>0</v>
      </c>
      <c r="AO802" s="3">
        <v>0</v>
      </c>
      <c r="AP802" s="3">
        <v>0</v>
      </c>
      <c r="AQ802" s="3">
        <v>0</v>
      </c>
      <c r="AR802" s="2" t="s">
        <v>5</v>
      </c>
      <c r="AS802" s="2" t="s">
        <v>46</v>
      </c>
      <c r="AT802" s="5" t="str">
        <f>HYPERLINK("http://catalog.hathitrust.org/Record/101095940","HathiTrust Record")</f>
        <v>HathiTrust Record</v>
      </c>
      <c r="AU802" s="5" t="str">
        <f>HYPERLINK("https://creighton-primo.hosted.exlibrisgroup.com/primo-explore/search?tab=default_tab&amp;search_scope=EVERYTHING&amp;vid=01CRU&amp;lang=en_US&amp;offset=0&amp;query=any,contains,991004333079702656","Catalog Record")</f>
        <v>Catalog Record</v>
      </c>
      <c r="AV802" s="5" t="str">
        <f>HYPERLINK("http://www.worldcat.org/oclc/33234146","WorldCat Record")</f>
        <v>WorldCat Record</v>
      </c>
      <c r="AW802" s="2" t="s">
        <v>9987</v>
      </c>
      <c r="AX802" s="2" t="s">
        <v>9988</v>
      </c>
      <c r="AY802" s="2" t="s">
        <v>9989</v>
      </c>
      <c r="AZ802" s="2" t="s">
        <v>9989</v>
      </c>
      <c r="BA802" s="2" t="s">
        <v>9990</v>
      </c>
      <c r="BB802" s="2" t="s">
        <v>20</v>
      </c>
      <c r="BD802" s="2" t="s">
        <v>9991</v>
      </c>
      <c r="BE802" s="2" t="s">
        <v>9992</v>
      </c>
      <c r="BF802" s="2" t="s">
        <v>9993</v>
      </c>
    </row>
    <row r="803" spans="1:58" ht="39.75" customHeight="1" x14ac:dyDescent="0.25">
      <c r="A803" s="7" t="s">
        <v>5</v>
      </c>
      <c r="B803" s="1" t="s">
        <v>0</v>
      </c>
      <c r="C803" s="1" t="s">
        <v>1</v>
      </c>
      <c r="D803" s="1" t="s">
        <v>9994</v>
      </c>
      <c r="E803" s="1" t="s">
        <v>9995</v>
      </c>
      <c r="F803" s="1" t="s">
        <v>9996</v>
      </c>
      <c r="H803" s="2" t="s">
        <v>5</v>
      </c>
      <c r="I803" s="2" t="s">
        <v>6</v>
      </c>
      <c r="J803" s="2" t="s">
        <v>5</v>
      </c>
      <c r="K803" s="2" t="s">
        <v>5</v>
      </c>
      <c r="L803" s="2" t="s">
        <v>7</v>
      </c>
      <c r="M803" s="1" t="s">
        <v>9997</v>
      </c>
      <c r="O803" s="2" t="s">
        <v>1566</v>
      </c>
      <c r="Q803" s="2" t="s">
        <v>1151</v>
      </c>
      <c r="R803" s="2" t="s">
        <v>234</v>
      </c>
      <c r="T803" s="2" t="s">
        <v>13</v>
      </c>
      <c r="U803" s="3">
        <v>3</v>
      </c>
      <c r="V803" s="3">
        <v>3</v>
      </c>
      <c r="W803" s="4" t="s">
        <v>9558</v>
      </c>
      <c r="X803" s="4" t="s">
        <v>9558</v>
      </c>
      <c r="Y803" s="4" t="s">
        <v>8825</v>
      </c>
      <c r="Z803" s="4" t="s">
        <v>8825</v>
      </c>
      <c r="AA803" s="3">
        <v>183</v>
      </c>
      <c r="AB803" s="3">
        <v>163</v>
      </c>
      <c r="AC803" s="3">
        <v>167</v>
      </c>
      <c r="AD803" s="3">
        <v>2</v>
      </c>
      <c r="AE803" s="9">
        <v>2</v>
      </c>
      <c r="AF803" s="9">
        <v>7</v>
      </c>
      <c r="AG803" s="9">
        <v>7</v>
      </c>
      <c r="AH803" s="3">
        <v>1</v>
      </c>
      <c r="AI803" s="3">
        <v>1</v>
      </c>
      <c r="AJ803" s="3">
        <v>3</v>
      </c>
      <c r="AK803" s="3">
        <v>3</v>
      </c>
      <c r="AL803" s="3">
        <v>5</v>
      </c>
      <c r="AM803" s="3">
        <v>5</v>
      </c>
      <c r="AN803" s="3">
        <v>1</v>
      </c>
      <c r="AO803" s="3">
        <v>1</v>
      </c>
      <c r="AP803" s="3">
        <v>0</v>
      </c>
      <c r="AQ803" s="3">
        <v>0</v>
      </c>
      <c r="AR803" s="2" t="s">
        <v>5</v>
      </c>
      <c r="AS803" s="2" t="s">
        <v>46</v>
      </c>
      <c r="AT803" s="5" t="str">
        <f>HYPERLINK("http://catalog.hathitrust.org/Record/001048764","HathiTrust Record")</f>
        <v>HathiTrust Record</v>
      </c>
      <c r="AU803" s="5" t="str">
        <f>HYPERLINK("https://creighton-primo.hosted.exlibrisgroup.com/primo-explore/search?tab=default_tab&amp;search_scope=EVERYTHING&amp;vid=01CRU&amp;lang=en_US&amp;offset=0&amp;query=any,contains,991003102819702656","Catalog Record")</f>
        <v>Catalog Record</v>
      </c>
      <c r="AV803" s="5" t="str">
        <f>HYPERLINK("http://www.worldcat.org/oclc/652165","WorldCat Record")</f>
        <v>WorldCat Record</v>
      </c>
      <c r="AW803" s="2" t="s">
        <v>9998</v>
      </c>
      <c r="AX803" s="2" t="s">
        <v>9999</v>
      </c>
      <c r="AY803" s="2" t="s">
        <v>10000</v>
      </c>
      <c r="AZ803" s="2" t="s">
        <v>10000</v>
      </c>
      <c r="BA803" s="2" t="s">
        <v>10001</v>
      </c>
      <c r="BB803" s="2" t="s">
        <v>20</v>
      </c>
      <c r="BE803" s="2" t="s">
        <v>10002</v>
      </c>
      <c r="BF803" s="2" t="s">
        <v>10003</v>
      </c>
    </row>
    <row r="804" spans="1:58" ht="39.75" customHeight="1" x14ac:dyDescent="0.25">
      <c r="A804" s="7" t="s">
        <v>5</v>
      </c>
      <c r="B804" s="1" t="s">
        <v>0</v>
      </c>
      <c r="C804" s="1" t="s">
        <v>1</v>
      </c>
      <c r="D804" s="1" t="s">
        <v>10004</v>
      </c>
      <c r="E804" s="1" t="s">
        <v>10005</v>
      </c>
      <c r="F804" s="1" t="s">
        <v>10006</v>
      </c>
      <c r="H804" s="2" t="s">
        <v>5</v>
      </c>
      <c r="I804" s="2" t="s">
        <v>6</v>
      </c>
      <c r="J804" s="2" t="s">
        <v>5</v>
      </c>
      <c r="K804" s="2" t="s">
        <v>5</v>
      </c>
      <c r="L804" s="2" t="s">
        <v>7</v>
      </c>
      <c r="M804" s="1" t="s">
        <v>10007</v>
      </c>
      <c r="N804" s="1" t="s">
        <v>10008</v>
      </c>
      <c r="O804" s="2" t="s">
        <v>708</v>
      </c>
      <c r="P804" s="1" t="s">
        <v>5911</v>
      </c>
      <c r="Q804" s="2" t="s">
        <v>1151</v>
      </c>
      <c r="R804" s="2" t="s">
        <v>4146</v>
      </c>
      <c r="S804" s="1" t="s">
        <v>9773</v>
      </c>
      <c r="T804" s="2" t="s">
        <v>13</v>
      </c>
      <c r="U804" s="3">
        <v>1</v>
      </c>
      <c r="V804" s="3">
        <v>1</v>
      </c>
      <c r="W804" s="4" t="s">
        <v>1338</v>
      </c>
      <c r="X804" s="4" t="s">
        <v>1338</v>
      </c>
      <c r="Y804" s="4" t="s">
        <v>1338</v>
      </c>
      <c r="Z804" s="4" t="s">
        <v>1338</v>
      </c>
      <c r="AA804" s="3">
        <v>66</v>
      </c>
      <c r="AB804" s="3">
        <v>47</v>
      </c>
      <c r="AC804" s="3">
        <v>49</v>
      </c>
      <c r="AD804" s="3">
        <v>1</v>
      </c>
      <c r="AE804" s="9">
        <v>1</v>
      </c>
      <c r="AF804" s="9">
        <v>0</v>
      </c>
      <c r="AG804" s="9">
        <v>0</v>
      </c>
      <c r="AH804" s="3">
        <v>0</v>
      </c>
      <c r="AI804" s="3">
        <v>0</v>
      </c>
      <c r="AJ804" s="3">
        <v>0</v>
      </c>
      <c r="AK804" s="3">
        <v>0</v>
      </c>
      <c r="AL804" s="3">
        <v>0</v>
      </c>
      <c r="AM804" s="3">
        <v>0</v>
      </c>
      <c r="AN804" s="3">
        <v>0</v>
      </c>
      <c r="AO804" s="3">
        <v>0</v>
      </c>
      <c r="AP804" s="3">
        <v>0</v>
      </c>
      <c r="AQ804" s="3">
        <v>0</v>
      </c>
      <c r="AR804" s="2" t="s">
        <v>5</v>
      </c>
      <c r="AS804" s="2" t="s">
        <v>46</v>
      </c>
      <c r="AT804" s="5" t="str">
        <f>HYPERLINK("http://catalog.hathitrust.org/Record/101012577","HathiTrust Record")</f>
        <v>HathiTrust Record</v>
      </c>
      <c r="AU804" s="5" t="str">
        <f>HYPERLINK("https://creighton-primo.hosted.exlibrisgroup.com/primo-explore/search?tab=default_tab&amp;search_scope=EVERYTHING&amp;vid=01CRU&amp;lang=en_US&amp;offset=0&amp;query=any,contains,991003724399702656","Catalog Record")</f>
        <v>Catalog Record</v>
      </c>
      <c r="AV804" s="5" t="str">
        <f>HYPERLINK("http://www.worldcat.org/oclc/18155175","WorldCat Record")</f>
        <v>WorldCat Record</v>
      </c>
      <c r="AW804" s="2" t="s">
        <v>10009</v>
      </c>
      <c r="AX804" s="2" t="s">
        <v>10010</v>
      </c>
      <c r="AY804" s="2" t="s">
        <v>10011</v>
      </c>
      <c r="AZ804" s="2" t="s">
        <v>10011</v>
      </c>
      <c r="BA804" s="2" t="s">
        <v>10012</v>
      </c>
      <c r="BB804" s="2" t="s">
        <v>20</v>
      </c>
      <c r="BD804" s="2" t="s">
        <v>10013</v>
      </c>
      <c r="BE804" s="2" t="s">
        <v>10014</v>
      </c>
      <c r="BF804" s="2" t="s">
        <v>10015</v>
      </c>
    </row>
    <row r="805" spans="1:58" ht="39.75" customHeight="1" x14ac:dyDescent="0.25">
      <c r="A805" s="7" t="s">
        <v>5</v>
      </c>
      <c r="B805" s="1" t="s">
        <v>0</v>
      </c>
      <c r="C805" s="1" t="s">
        <v>1</v>
      </c>
      <c r="D805" s="1" t="s">
        <v>10016</v>
      </c>
      <c r="E805" s="1" t="s">
        <v>10017</v>
      </c>
      <c r="F805" s="1" t="s">
        <v>10018</v>
      </c>
      <c r="H805" s="2" t="s">
        <v>5</v>
      </c>
      <c r="I805" s="2" t="s">
        <v>6</v>
      </c>
      <c r="J805" s="2" t="s">
        <v>5</v>
      </c>
      <c r="K805" s="2" t="s">
        <v>5</v>
      </c>
      <c r="L805" s="2" t="s">
        <v>7</v>
      </c>
      <c r="M805" s="1" t="s">
        <v>10007</v>
      </c>
      <c r="N805" s="1" t="s">
        <v>10019</v>
      </c>
      <c r="O805" s="2" t="s">
        <v>639</v>
      </c>
      <c r="Q805" s="2" t="s">
        <v>1151</v>
      </c>
      <c r="R805" s="2" t="s">
        <v>5403</v>
      </c>
      <c r="S805" s="1" t="s">
        <v>10020</v>
      </c>
      <c r="T805" s="2" t="s">
        <v>13</v>
      </c>
      <c r="U805" s="3">
        <v>4</v>
      </c>
      <c r="V805" s="3">
        <v>4</v>
      </c>
      <c r="W805" s="4" t="s">
        <v>4481</v>
      </c>
      <c r="X805" s="4" t="s">
        <v>4481</v>
      </c>
      <c r="Y805" s="4" t="s">
        <v>5361</v>
      </c>
      <c r="Z805" s="4" t="s">
        <v>5361</v>
      </c>
      <c r="AA805" s="3">
        <v>25</v>
      </c>
      <c r="AB805" s="3">
        <v>22</v>
      </c>
      <c r="AC805" s="3">
        <v>30</v>
      </c>
      <c r="AD805" s="3">
        <v>1</v>
      </c>
      <c r="AE805" s="9">
        <v>1</v>
      </c>
      <c r="AF805" s="9">
        <v>1</v>
      </c>
      <c r="AG805" s="9">
        <v>1</v>
      </c>
      <c r="AH805" s="3">
        <v>0</v>
      </c>
      <c r="AI805" s="3">
        <v>0</v>
      </c>
      <c r="AJ805" s="3">
        <v>0</v>
      </c>
      <c r="AK805" s="3">
        <v>0</v>
      </c>
      <c r="AL805" s="3">
        <v>1</v>
      </c>
      <c r="AM805" s="3">
        <v>1</v>
      </c>
      <c r="AN805" s="3">
        <v>0</v>
      </c>
      <c r="AO805" s="3">
        <v>0</v>
      </c>
      <c r="AP805" s="3">
        <v>0</v>
      </c>
      <c r="AQ805" s="3">
        <v>0</v>
      </c>
      <c r="AR805" s="2" t="s">
        <v>5</v>
      </c>
      <c r="AS805" s="2" t="s">
        <v>46</v>
      </c>
      <c r="AT805" s="5" t="str">
        <f>HYPERLINK("http://catalog.hathitrust.org/Record/008447974","HathiTrust Record")</f>
        <v>HathiTrust Record</v>
      </c>
      <c r="AU805" s="5" t="str">
        <f>HYPERLINK("https://creighton-primo.hosted.exlibrisgroup.com/primo-explore/search?tab=default_tab&amp;search_scope=EVERYTHING&amp;vid=01CRU&amp;lang=en_US&amp;offset=0&amp;query=any,contains,991001814789702656","Catalog Record")</f>
        <v>Catalog Record</v>
      </c>
      <c r="AV805" s="5" t="str">
        <f>HYPERLINK("http://www.worldcat.org/oclc/22792501","WorldCat Record")</f>
        <v>WorldCat Record</v>
      </c>
      <c r="AW805" s="2" t="s">
        <v>10021</v>
      </c>
      <c r="AX805" s="2" t="s">
        <v>10022</v>
      </c>
      <c r="AY805" s="2" t="s">
        <v>10023</v>
      </c>
      <c r="AZ805" s="2" t="s">
        <v>10023</v>
      </c>
      <c r="BA805" s="2" t="s">
        <v>10024</v>
      </c>
      <c r="BB805" s="2" t="s">
        <v>20</v>
      </c>
      <c r="BD805" s="2" t="s">
        <v>10025</v>
      </c>
      <c r="BE805" s="2" t="s">
        <v>10026</v>
      </c>
      <c r="BF805" s="2" t="s">
        <v>10027</v>
      </c>
    </row>
    <row r="806" spans="1:58" ht="39.75" customHeight="1" x14ac:dyDescent="0.25">
      <c r="A806" s="7" t="s">
        <v>5</v>
      </c>
      <c r="B806" s="1" t="s">
        <v>0</v>
      </c>
      <c r="C806" s="1" t="s">
        <v>1</v>
      </c>
      <c r="D806" s="1" t="s">
        <v>10028</v>
      </c>
      <c r="E806" s="1" t="s">
        <v>10029</v>
      </c>
      <c r="F806" s="1" t="s">
        <v>10030</v>
      </c>
      <c r="H806" s="2" t="s">
        <v>5</v>
      </c>
      <c r="I806" s="2" t="s">
        <v>6</v>
      </c>
      <c r="J806" s="2" t="s">
        <v>5</v>
      </c>
      <c r="K806" s="2" t="s">
        <v>5</v>
      </c>
      <c r="L806" s="2" t="s">
        <v>7</v>
      </c>
      <c r="M806" s="1" t="s">
        <v>10031</v>
      </c>
      <c r="N806" s="1" t="s">
        <v>10032</v>
      </c>
      <c r="O806" s="2" t="s">
        <v>2859</v>
      </c>
      <c r="P806" s="1" t="s">
        <v>5911</v>
      </c>
      <c r="Q806" s="2" t="s">
        <v>1151</v>
      </c>
      <c r="R806" s="2" t="s">
        <v>5403</v>
      </c>
      <c r="S806" s="1" t="s">
        <v>10033</v>
      </c>
      <c r="T806" s="2" t="s">
        <v>13</v>
      </c>
      <c r="U806" s="3">
        <v>1</v>
      </c>
      <c r="V806" s="3">
        <v>1</v>
      </c>
      <c r="W806" s="4" t="s">
        <v>8667</v>
      </c>
      <c r="X806" s="4" t="s">
        <v>8667</v>
      </c>
      <c r="Y806" s="4" t="s">
        <v>8667</v>
      </c>
      <c r="Z806" s="4" t="s">
        <v>8667</v>
      </c>
      <c r="AA806" s="3">
        <v>188</v>
      </c>
      <c r="AB806" s="3">
        <v>134</v>
      </c>
      <c r="AC806" s="3">
        <v>140</v>
      </c>
      <c r="AD806" s="3">
        <v>2</v>
      </c>
      <c r="AE806" s="9">
        <v>2</v>
      </c>
      <c r="AF806" s="9">
        <v>6</v>
      </c>
      <c r="AG806" s="9">
        <v>6</v>
      </c>
      <c r="AH806" s="3">
        <v>1</v>
      </c>
      <c r="AI806" s="3">
        <v>1</v>
      </c>
      <c r="AJ806" s="3">
        <v>1</v>
      </c>
      <c r="AK806" s="3">
        <v>1</v>
      </c>
      <c r="AL806" s="3">
        <v>3</v>
      </c>
      <c r="AM806" s="3">
        <v>3</v>
      </c>
      <c r="AN806" s="3">
        <v>1</v>
      </c>
      <c r="AO806" s="3">
        <v>1</v>
      </c>
      <c r="AP806" s="3">
        <v>0</v>
      </c>
      <c r="AQ806" s="3">
        <v>0</v>
      </c>
      <c r="AR806" s="2" t="s">
        <v>5</v>
      </c>
      <c r="AS806" s="2" t="s">
        <v>46</v>
      </c>
      <c r="AT806" s="5" t="str">
        <f>HYPERLINK("http://catalog.hathitrust.org/Record/101095948","HathiTrust Record")</f>
        <v>HathiTrust Record</v>
      </c>
      <c r="AU806" s="5" t="str">
        <f>HYPERLINK("https://creighton-primo.hosted.exlibrisgroup.com/primo-explore/search?tab=default_tab&amp;search_scope=EVERYTHING&amp;vid=01CRU&amp;lang=en_US&amp;offset=0&amp;query=any,contains,991004338869702656","Catalog Record")</f>
        <v>Catalog Record</v>
      </c>
      <c r="AV806" s="5" t="str">
        <f>HYPERLINK("http://www.worldcat.org/oclc/12413391","WorldCat Record")</f>
        <v>WorldCat Record</v>
      </c>
      <c r="AW806" s="2" t="s">
        <v>10034</v>
      </c>
      <c r="AX806" s="2" t="s">
        <v>10035</v>
      </c>
      <c r="AY806" s="2" t="s">
        <v>10036</v>
      </c>
      <c r="AZ806" s="2" t="s">
        <v>10036</v>
      </c>
      <c r="BA806" s="2" t="s">
        <v>10037</v>
      </c>
      <c r="BB806" s="2" t="s">
        <v>20</v>
      </c>
      <c r="BD806" s="2" t="s">
        <v>10038</v>
      </c>
      <c r="BE806" s="2" t="s">
        <v>10039</v>
      </c>
      <c r="BF806" s="2" t="s">
        <v>10040</v>
      </c>
    </row>
    <row r="807" spans="1:58" ht="39.75" customHeight="1" x14ac:dyDescent="0.25">
      <c r="A807" s="7" t="s">
        <v>5</v>
      </c>
      <c r="B807" s="1" t="s">
        <v>0</v>
      </c>
      <c r="C807" s="1" t="s">
        <v>1</v>
      </c>
      <c r="D807" s="1" t="s">
        <v>10041</v>
      </c>
      <c r="E807" s="1" t="s">
        <v>10042</v>
      </c>
      <c r="F807" s="1" t="s">
        <v>10043</v>
      </c>
      <c r="H807" s="2" t="s">
        <v>5</v>
      </c>
      <c r="I807" s="2" t="s">
        <v>6</v>
      </c>
      <c r="J807" s="2" t="s">
        <v>5</v>
      </c>
      <c r="K807" s="2" t="s">
        <v>46</v>
      </c>
      <c r="L807" s="2" t="s">
        <v>7</v>
      </c>
      <c r="M807" s="1" t="s">
        <v>10044</v>
      </c>
      <c r="N807" s="1" t="s">
        <v>10045</v>
      </c>
      <c r="O807" s="2" t="s">
        <v>42</v>
      </c>
      <c r="P807" s="1" t="s">
        <v>10046</v>
      </c>
      <c r="Q807" s="2" t="s">
        <v>1151</v>
      </c>
      <c r="R807" s="2" t="s">
        <v>4146</v>
      </c>
      <c r="S807" s="1" t="s">
        <v>9773</v>
      </c>
      <c r="T807" s="2" t="s">
        <v>13</v>
      </c>
      <c r="U807" s="3">
        <v>1</v>
      </c>
      <c r="V807" s="3">
        <v>1</v>
      </c>
      <c r="W807" s="4" t="s">
        <v>1154</v>
      </c>
      <c r="X807" s="4" t="s">
        <v>1154</v>
      </c>
      <c r="Y807" s="4" t="s">
        <v>1154</v>
      </c>
      <c r="Z807" s="4" t="s">
        <v>1154</v>
      </c>
      <c r="AA807" s="3">
        <v>65</v>
      </c>
      <c r="AB807" s="3">
        <v>50</v>
      </c>
      <c r="AC807" s="3">
        <v>66</v>
      </c>
      <c r="AD807" s="3">
        <v>1</v>
      </c>
      <c r="AE807" s="9">
        <v>1</v>
      </c>
      <c r="AF807" s="9">
        <v>2</v>
      </c>
      <c r="AG807" s="9">
        <v>2</v>
      </c>
      <c r="AH807" s="3">
        <v>0</v>
      </c>
      <c r="AI807" s="3">
        <v>0</v>
      </c>
      <c r="AJ807" s="3">
        <v>0</v>
      </c>
      <c r="AK807" s="3">
        <v>0</v>
      </c>
      <c r="AL807" s="3">
        <v>2</v>
      </c>
      <c r="AM807" s="3">
        <v>2</v>
      </c>
      <c r="AN807" s="3">
        <v>0</v>
      </c>
      <c r="AO807" s="3">
        <v>0</v>
      </c>
      <c r="AP807" s="3">
        <v>0</v>
      </c>
      <c r="AQ807" s="3">
        <v>0</v>
      </c>
      <c r="AR807" s="2" t="s">
        <v>5</v>
      </c>
      <c r="AS807" s="2" t="s">
        <v>46</v>
      </c>
      <c r="AT807" s="5" t="str">
        <f>HYPERLINK("http://catalog.hathitrust.org/Record/101095610","HathiTrust Record")</f>
        <v>HathiTrust Record</v>
      </c>
      <c r="AU807" s="5" t="str">
        <f>HYPERLINK("https://creighton-primo.hosted.exlibrisgroup.com/primo-explore/search?tab=default_tab&amp;search_scope=EVERYTHING&amp;vid=01CRU&amp;lang=en_US&amp;offset=0&amp;query=any,contains,991003845889702656","Catalog Record")</f>
        <v>Catalog Record</v>
      </c>
      <c r="AV807" s="5" t="str">
        <f>HYPERLINK("http://www.worldcat.org/oclc/24339225","WorldCat Record")</f>
        <v>WorldCat Record</v>
      </c>
      <c r="AW807" s="2" t="s">
        <v>10047</v>
      </c>
      <c r="AX807" s="2" t="s">
        <v>10048</v>
      </c>
      <c r="AY807" s="2" t="s">
        <v>10049</v>
      </c>
      <c r="AZ807" s="2" t="s">
        <v>10049</v>
      </c>
      <c r="BA807" s="2" t="s">
        <v>10050</v>
      </c>
      <c r="BB807" s="2" t="s">
        <v>20</v>
      </c>
      <c r="BD807" s="2" t="s">
        <v>10051</v>
      </c>
      <c r="BE807" s="2" t="s">
        <v>10052</v>
      </c>
      <c r="BF807" s="2" t="s">
        <v>10053</v>
      </c>
    </row>
    <row r="808" spans="1:58" ht="39.75" customHeight="1" x14ac:dyDescent="0.25">
      <c r="A808" s="7" t="s">
        <v>5</v>
      </c>
      <c r="B808" s="1" t="s">
        <v>0</v>
      </c>
      <c r="C808" s="1" t="s">
        <v>1</v>
      </c>
      <c r="D808" s="1" t="s">
        <v>10054</v>
      </c>
      <c r="E808" s="1" t="s">
        <v>10055</v>
      </c>
      <c r="F808" s="1" t="s">
        <v>10056</v>
      </c>
      <c r="H808" s="2" t="s">
        <v>5</v>
      </c>
      <c r="I808" s="2" t="s">
        <v>6</v>
      </c>
      <c r="J808" s="2" t="s">
        <v>5</v>
      </c>
      <c r="K808" s="2" t="s">
        <v>46</v>
      </c>
      <c r="L808" s="2" t="s">
        <v>7</v>
      </c>
      <c r="M808" s="1" t="s">
        <v>10044</v>
      </c>
      <c r="N808" s="1" t="s">
        <v>10057</v>
      </c>
      <c r="O808" s="2" t="s">
        <v>452</v>
      </c>
      <c r="P808" s="1" t="s">
        <v>10058</v>
      </c>
      <c r="Q808" s="2" t="s">
        <v>1151</v>
      </c>
      <c r="R808" s="2" t="s">
        <v>4146</v>
      </c>
      <c r="S808" s="1" t="s">
        <v>10059</v>
      </c>
      <c r="T808" s="2" t="s">
        <v>13</v>
      </c>
      <c r="U808" s="3">
        <v>1</v>
      </c>
      <c r="V808" s="3">
        <v>1</v>
      </c>
      <c r="W808" s="4" t="s">
        <v>5389</v>
      </c>
      <c r="X808" s="4" t="s">
        <v>5389</v>
      </c>
      <c r="Y808" s="4" t="s">
        <v>5390</v>
      </c>
      <c r="Z808" s="4" t="s">
        <v>5390</v>
      </c>
      <c r="AA808" s="3">
        <v>29</v>
      </c>
      <c r="AB808" s="3">
        <v>17</v>
      </c>
      <c r="AC808" s="3">
        <v>66</v>
      </c>
      <c r="AD808" s="3">
        <v>1</v>
      </c>
      <c r="AE808" s="9">
        <v>1</v>
      </c>
      <c r="AF808" s="9">
        <v>0</v>
      </c>
      <c r="AG808" s="9">
        <v>2</v>
      </c>
      <c r="AH808" s="3">
        <v>0</v>
      </c>
      <c r="AI808" s="3">
        <v>0</v>
      </c>
      <c r="AJ808" s="3">
        <v>0</v>
      </c>
      <c r="AK808" s="3">
        <v>0</v>
      </c>
      <c r="AL808" s="3">
        <v>0</v>
      </c>
      <c r="AM808" s="3">
        <v>2</v>
      </c>
      <c r="AN808" s="3">
        <v>0</v>
      </c>
      <c r="AO808" s="3">
        <v>0</v>
      </c>
      <c r="AP808" s="3">
        <v>0</v>
      </c>
      <c r="AQ808" s="3">
        <v>0</v>
      </c>
      <c r="AR808" s="2" t="s">
        <v>5</v>
      </c>
      <c r="AS808" s="2" t="s">
        <v>5</v>
      </c>
      <c r="AU808" s="5" t="str">
        <f>HYPERLINK("https://creighton-primo.hosted.exlibrisgroup.com/primo-explore/search?tab=default_tab&amp;search_scope=EVERYTHING&amp;vid=01CRU&amp;lang=en_US&amp;offset=0&amp;query=any,contains,991003765289702656","Catalog Record")</f>
        <v>Catalog Record</v>
      </c>
      <c r="AV808" s="5" t="str">
        <f>HYPERLINK("http://www.worldcat.org/oclc/37392297","WorldCat Record")</f>
        <v>WorldCat Record</v>
      </c>
      <c r="AW808" s="2" t="s">
        <v>10047</v>
      </c>
      <c r="AX808" s="2" t="s">
        <v>10060</v>
      </c>
      <c r="AY808" s="2" t="s">
        <v>10061</v>
      </c>
      <c r="AZ808" s="2" t="s">
        <v>10061</v>
      </c>
      <c r="BA808" s="2" t="s">
        <v>10062</v>
      </c>
      <c r="BB808" s="2" t="s">
        <v>20</v>
      </c>
      <c r="BD808" s="2" t="s">
        <v>10063</v>
      </c>
      <c r="BE808" s="2" t="s">
        <v>10064</v>
      </c>
      <c r="BF808" s="2" t="s">
        <v>10065</v>
      </c>
    </row>
    <row r="809" spans="1:58" ht="39.75" customHeight="1" x14ac:dyDescent="0.25">
      <c r="A809" s="7" t="s">
        <v>5</v>
      </c>
      <c r="B809" s="1" t="s">
        <v>0</v>
      </c>
      <c r="C809" s="1" t="s">
        <v>1</v>
      </c>
      <c r="D809" s="1" t="s">
        <v>10066</v>
      </c>
      <c r="E809" s="1" t="s">
        <v>10067</v>
      </c>
      <c r="F809" s="1" t="s">
        <v>10068</v>
      </c>
      <c r="H809" s="2" t="s">
        <v>5</v>
      </c>
      <c r="I809" s="2" t="s">
        <v>6</v>
      </c>
      <c r="J809" s="2" t="s">
        <v>5</v>
      </c>
      <c r="K809" s="2" t="s">
        <v>5</v>
      </c>
      <c r="L809" s="2" t="s">
        <v>7</v>
      </c>
      <c r="M809" s="1" t="s">
        <v>10044</v>
      </c>
      <c r="N809" s="1" t="s">
        <v>10069</v>
      </c>
      <c r="O809" s="2" t="s">
        <v>6611</v>
      </c>
      <c r="Q809" s="2" t="s">
        <v>1151</v>
      </c>
      <c r="R809" s="2" t="s">
        <v>4146</v>
      </c>
      <c r="T809" s="2" t="s">
        <v>13</v>
      </c>
      <c r="U809" s="3">
        <v>1</v>
      </c>
      <c r="V809" s="3">
        <v>1</v>
      </c>
      <c r="W809" s="4" t="s">
        <v>3004</v>
      </c>
      <c r="X809" s="4" t="s">
        <v>3004</v>
      </c>
      <c r="Y809" s="4" t="s">
        <v>3004</v>
      </c>
      <c r="Z809" s="4" t="s">
        <v>3004</v>
      </c>
      <c r="AA809" s="3">
        <v>59</v>
      </c>
      <c r="AB809" s="3">
        <v>50</v>
      </c>
      <c r="AC809" s="3">
        <v>52</v>
      </c>
      <c r="AD809" s="3">
        <v>1</v>
      </c>
      <c r="AE809" s="9">
        <v>1</v>
      </c>
      <c r="AF809" s="9">
        <v>1</v>
      </c>
      <c r="AG809" s="9">
        <v>1</v>
      </c>
      <c r="AH809" s="3">
        <v>0</v>
      </c>
      <c r="AI809" s="3">
        <v>0</v>
      </c>
      <c r="AJ809" s="3">
        <v>0</v>
      </c>
      <c r="AK809" s="3">
        <v>0</v>
      </c>
      <c r="AL809" s="3">
        <v>1</v>
      </c>
      <c r="AM809" s="3">
        <v>1</v>
      </c>
      <c r="AN809" s="3">
        <v>0</v>
      </c>
      <c r="AO809" s="3">
        <v>0</v>
      </c>
      <c r="AP809" s="3">
        <v>0</v>
      </c>
      <c r="AQ809" s="3">
        <v>0</v>
      </c>
      <c r="AR809" s="2" t="s">
        <v>5</v>
      </c>
      <c r="AS809" s="2" t="s">
        <v>46</v>
      </c>
      <c r="AT809" s="5" t="str">
        <f>HYPERLINK("http://catalog.hathitrust.org/Record/101095953","HathiTrust Record")</f>
        <v>HathiTrust Record</v>
      </c>
      <c r="AU809" s="5" t="str">
        <f>HYPERLINK("https://creighton-primo.hosted.exlibrisgroup.com/primo-explore/search?tab=default_tab&amp;search_scope=EVERYTHING&amp;vid=01CRU&amp;lang=en_US&amp;offset=0&amp;query=any,contains,991003699899702656","Catalog Record")</f>
        <v>Catalog Record</v>
      </c>
      <c r="AV809" s="5" t="str">
        <f>HYPERLINK("http://www.worldcat.org/oclc/35298819","WorldCat Record")</f>
        <v>WorldCat Record</v>
      </c>
      <c r="AW809" s="2" t="s">
        <v>10070</v>
      </c>
      <c r="AX809" s="2" t="s">
        <v>10071</v>
      </c>
      <c r="AY809" s="2" t="s">
        <v>10072</v>
      </c>
      <c r="AZ809" s="2" t="s">
        <v>10072</v>
      </c>
      <c r="BA809" s="2" t="s">
        <v>10073</v>
      </c>
      <c r="BB809" s="2" t="s">
        <v>20</v>
      </c>
      <c r="BD809" s="2" t="s">
        <v>10074</v>
      </c>
      <c r="BE809" s="2" t="s">
        <v>10075</v>
      </c>
      <c r="BF809" s="2" t="s">
        <v>10076</v>
      </c>
    </row>
    <row r="810" spans="1:58" ht="39.75" customHeight="1" x14ac:dyDescent="0.25">
      <c r="A810" s="7" t="s">
        <v>5</v>
      </c>
      <c r="B810" s="1" t="s">
        <v>0</v>
      </c>
      <c r="C810" s="1" t="s">
        <v>1</v>
      </c>
      <c r="D810" s="1" t="s">
        <v>10077</v>
      </c>
      <c r="E810" s="1" t="s">
        <v>10078</v>
      </c>
      <c r="F810" s="1" t="s">
        <v>10079</v>
      </c>
      <c r="H810" s="2" t="s">
        <v>5</v>
      </c>
      <c r="I810" s="2" t="s">
        <v>6</v>
      </c>
      <c r="J810" s="2" t="s">
        <v>5</v>
      </c>
      <c r="K810" s="2" t="s">
        <v>5</v>
      </c>
      <c r="L810" s="2" t="s">
        <v>7</v>
      </c>
      <c r="M810" s="1" t="s">
        <v>10080</v>
      </c>
      <c r="N810" s="1" t="s">
        <v>10081</v>
      </c>
      <c r="O810" s="2" t="s">
        <v>708</v>
      </c>
      <c r="Q810" s="2" t="s">
        <v>1151</v>
      </c>
      <c r="R810" s="2" t="s">
        <v>1152</v>
      </c>
      <c r="T810" s="2" t="s">
        <v>13</v>
      </c>
      <c r="U810" s="3">
        <v>2</v>
      </c>
      <c r="V810" s="3">
        <v>2</v>
      </c>
      <c r="W810" s="4" t="s">
        <v>10082</v>
      </c>
      <c r="X810" s="4" t="s">
        <v>10082</v>
      </c>
      <c r="Y810" s="4" t="s">
        <v>9673</v>
      </c>
      <c r="Z810" s="4" t="s">
        <v>9673</v>
      </c>
      <c r="AA810" s="3">
        <v>132</v>
      </c>
      <c r="AB810" s="3">
        <v>101</v>
      </c>
      <c r="AC810" s="3">
        <v>110</v>
      </c>
      <c r="AD810" s="3">
        <v>2</v>
      </c>
      <c r="AE810" s="9">
        <v>2</v>
      </c>
      <c r="AF810" s="9">
        <v>5</v>
      </c>
      <c r="AG810" s="9">
        <v>5</v>
      </c>
      <c r="AH810" s="3">
        <v>2</v>
      </c>
      <c r="AI810" s="3">
        <v>2</v>
      </c>
      <c r="AJ810" s="3">
        <v>1</v>
      </c>
      <c r="AK810" s="3">
        <v>1</v>
      </c>
      <c r="AL810" s="3">
        <v>2</v>
      </c>
      <c r="AM810" s="3">
        <v>2</v>
      </c>
      <c r="AN810" s="3">
        <v>1</v>
      </c>
      <c r="AO810" s="3">
        <v>1</v>
      </c>
      <c r="AP810" s="3">
        <v>0</v>
      </c>
      <c r="AQ810" s="3">
        <v>0</v>
      </c>
      <c r="AR810" s="2" t="s">
        <v>5</v>
      </c>
      <c r="AS810" s="2" t="s">
        <v>46</v>
      </c>
      <c r="AT810" s="5" t="str">
        <f>HYPERLINK("http://catalog.hathitrust.org/Record/000945971","HathiTrust Record")</f>
        <v>HathiTrust Record</v>
      </c>
      <c r="AU810" s="5" t="str">
        <f>HYPERLINK("https://creighton-primo.hosted.exlibrisgroup.com/primo-explore/search?tab=default_tab&amp;search_scope=EVERYTHING&amp;vid=01CRU&amp;lang=en_US&amp;offset=0&amp;query=any,contains,991001371719702656","Catalog Record")</f>
        <v>Catalog Record</v>
      </c>
      <c r="AV810" s="5" t="str">
        <f>HYPERLINK("http://www.worldcat.org/oclc/18580988","WorldCat Record")</f>
        <v>WorldCat Record</v>
      </c>
      <c r="AW810" s="2" t="s">
        <v>10083</v>
      </c>
      <c r="AX810" s="2" t="s">
        <v>10084</v>
      </c>
      <c r="AY810" s="2" t="s">
        <v>10085</v>
      </c>
      <c r="AZ810" s="2" t="s">
        <v>10085</v>
      </c>
      <c r="BA810" s="2" t="s">
        <v>10086</v>
      </c>
      <c r="BB810" s="2" t="s">
        <v>20</v>
      </c>
      <c r="BD810" s="2" t="s">
        <v>10087</v>
      </c>
      <c r="BE810" s="2" t="s">
        <v>10088</v>
      </c>
      <c r="BF810" s="2" t="s">
        <v>10089</v>
      </c>
    </row>
    <row r="811" spans="1:58" ht="39.75" customHeight="1" x14ac:dyDescent="0.25">
      <c r="A811" s="7" t="s">
        <v>5</v>
      </c>
      <c r="B811" s="1" t="s">
        <v>0</v>
      </c>
      <c r="C811" s="1" t="s">
        <v>1</v>
      </c>
      <c r="D811" s="1" t="s">
        <v>10090</v>
      </c>
      <c r="E811" s="1" t="s">
        <v>10091</v>
      </c>
      <c r="F811" s="1" t="s">
        <v>10092</v>
      </c>
      <c r="H811" s="2" t="s">
        <v>5</v>
      </c>
      <c r="I811" s="2" t="s">
        <v>6</v>
      </c>
      <c r="J811" s="2" t="s">
        <v>5</v>
      </c>
      <c r="K811" s="2" t="s">
        <v>5</v>
      </c>
      <c r="L811" s="2" t="s">
        <v>7</v>
      </c>
      <c r="M811" s="1" t="s">
        <v>10093</v>
      </c>
      <c r="N811" s="1" t="s">
        <v>10094</v>
      </c>
      <c r="O811" s="2" t="s">
        <v>421</v>
      </c>
      <c r="Q811" s="2" t="s">
        <v>1151</v>
      </c>
      <c r="R811" s="2" t="s">
        <v>4146</v>
      </c>
      <c r="S811" s="1" t="s">
        <v>4147</v>
      </c>
      <c r="T811" s="2" t="s">
        <v>13</v>
      </c>
      <c r="U811" s="3">
        <v>2</v>
      </c>
      <c r="V811" s="3">
        <v>2</v>
      </c>
      <c r="W811" s="4" t="s">
        <v>10095</v>
      </c>
      <c r="X811" s="4" t="s">
        <v>10095</v>
      </c>
      <c r="Y811" s="4" t="s">
        <v>5361</v>
      </c>
      <c r="Z811" s="4" t="s">
        <v>5361</v>
      </c>
      <c r="AA811" s="3">
        <v>103</v>
      </c>
      <c r="AB811" s="3">
        <v>74</v>
      </c>
      <c r="AC811" s="3">
        <v>76</v>
      </c>
      <c r="AD811" s="3">
        <v>1</v>
      </c>
      <c r="AE811" s="9">
        <v>1</v>
      </c>
      <c r="AF811" s="9">
        <v>1</v>
      </c>
      <c r="AG811" s="9">
        <v>1</v>
      </c>
      <c r="AH811" s="3">
        <v>0</v>
      </c>
      <c r="AI811" s="3">
        <v>0</v>
      </c>
      <c r="AJ811" s="3">
        <v>1</v>
      </c>
      <c r="AK811" s="3">
        <v>1</v>
      </c>
      <c r="AL811" s="3">
        <v>0</v>
      </c>
      <c r="AM811" s="3">
        <v>0</v>
      </c>
      <c r="AN811" s="3">
        <v>0</v>
      </c>
      <c r="AO811" s="3">
        <v>0</v>
      </c>
      <c r="AP811" s="3">
        <v>0</v>
      </c>
      <c r="AQ811" s="3">
        <v>0</v>
      </c>
      <c r="AR811" s="2" t="s">
        <v>5</v>
      </c>
      <c r="AS811" s="2" t="s">
        <v>46</v>
      </c>
      <c r="AT811" s="5" t="str">
        <f>HYPERLINK("http://catalog.hathitrust.org/Record/008321449","HathiTrust Record")</f>
        <v>HathiTrust Record</v>
      </c>
      <c r="AU811" s="5" t="str">
        <f>HYPERLINK("https://creighton-primo.hosted.exlibrisgroup.com/primo-explore/search?tab=default_tab&amp;search_scope=EVERYTHING&amp;vid=01CRU&amp;lang=en_US&amp;offset=0&amp;query=any,contains,991000466159702656","Catalog Record")</f>
        <v>Catalog Record</v>
      </c>
      <c r="AV811" s="5" t="str">
        <f>HYPERLINK("http://www.worldcat.org/oclc/10962535","WorldCat Record")</f>
        <v>WorldCat Record</v>
      </c>
      <c r="AW811" s="2" t="s">
        <v>10096</v>
      </c>
      <c r="AX811" s="2" t="s">
        <v>10097</v>
      </c>
      <c r="AY811" s="2" t="s">
        <v>10098</v>
      </c>
      <c r="AZ811" s="2" t="s">
        <v>10098</v>
      </c>
      <c r="BA811" s="2" t="s">
        <v>10099</v>
      </c>
      <c r="BB811" s="2" t="s">
        <v>20</v>
      </c>
      <c r="BE811" s="2" t="s">
        <v>10100</v>
      </c>
      <c r="BF811" s="2" t="s">
        <v>10101</v>
      </c>
    </row>
    <row r="812" spans="1:58" ht="39.75" customHeight="1" x14ac:dyDescent="0.25">
      <c r="A812" s="7" t="s">
        <v>5</v>
      </c>
      <c r="B812" s="1" t="s">
        <v>0</v>
      </c>
      <c r="C812" s="1" t="s">
        <v>1</v>
      </c>
      <c r="D812" s="1" t="s">
        <v>10102</v>
      </c>
      <c r="E812" s="1" t="s">
        <v>10103</v>
      </c>
      <c r="F812" s="1" t="s">
        <v>10104</v>
      </c>
      <c r="H812" s="2" t="s">
        <v>5</v>
      </c>
      <c r="I812" s="2" t="s">
        <v>6</v>
      </c>
      <c r="J812" s="2" t="s">
        <v>5</v>
      </c>
      <c r="K812" s="2" t="s">
        <v>5</v>
      </c>
      <c r="L812" s="2" t="s">
        <v>7</v>
      </c>
      <c r="N812" s="1" t="s">
        <v>10105</v>
      </c>
      <c r="O812" s="2" t="s">
        <v>480</v>
      </c>
      <c r="P812" s="1" t="s">
        <v>5291</v>
      </c>
      <c r="Q812" s="2" t="s">
        <v>1151</v>
      </c>
      <c r="R812" s="2" t="s">
        <v>5403</v>
      </c>
      <c r="T812" s="2" t="s">
        <v>13</v>
      </c>
      <c r="U812" s="3">
        <v>1</v>
      </c>
      <c r="V812" s="3">
        <v>1</v>
      </c>
      <c r="W812" s="4" t="s">
        <v>5086</v>
      </c>
      <c r="X812" s="4" t="s">
        <v>5086</v>
      </c>
      <c r="Y812" s="4" t="s">
        <v>5086</v>
      </c>
      <c r="Z812" s="4" t="s">
        <v>5086</v>
      </c>
      <c r="AA812" s="3">
        <v>157</v>
      </c>
      <c r="AB812" s="3">
        <v>127</v>
      </c>
      <c r="AC812" s="3">
        <v>130</v>
      </c>
      <c r="AD812" s="3">
        <v>2</v>
      </c>
      <c r="AE812" s="9">
        <v>2</v>
      </c>
      <c r="AF812" s="9">
        <v>6</v>
      </c>
      <c r="AG812" s="9">
        <v>6</v>
      </c>
      <c r="AH812" s="3">
        <v>1</v>
      </c>
      <c r="AI812" s="3">
        <v>1</v>
      </c>
      <c r="AJ812" s="3">
        <v>2</v>
      </c>
      <c r="AK812" s="3">
        <v>2</v>
      </c>
      <c r="AL812" s="3">
        <v>3</v>
      </c>
      <c r="AM812" s="3">
        <v>3</v>
      </c>
      <c r="AN812" s="3">
        <v>1</v>
      </c>
      <c r="AO812" s="3">
        <v>1</v>
      </c>
      <c r="AP812" s="3">
        <v>0</v>
      </c>
      <c r="AQ812" s="3">
        <v>0</v>
      </c>
      <c r="AR812" s="2" t="s">
        <v>5</v>
      </c>
      <c r="AS812" s="2" t="s">
        <v>46</v>
      </c>
      <c r="AT812" s="5" t="str">
        <f>HYPERLINK("http://catalog.hathitrust.org/Record/101389636","HathiTrust Record")</f>
        <v>HathiTrust Record</v>
      </c>
      <c r="AU812" s="5" t="str">
        <f>HYPERLINK("https://creighton-primo.hosted.exlibrisgroup.com/primo-explore/search?tab=default_tab&amp;search_scope=EVERYTHING&amp;vid=01CRU&amp;lang=en_US&amp;offset=0&amp;query=any,contains,991004523459702656","Catalog Record")</f>
        <v>Catalog Record</v>
      </c>
      <c r="AV812" s="5" t="str">
        <f>HYPERLINK("http://www.worldcat.org/oclc/1134640","WorldCat Record")</f>
        <v>WorldCat Record</v>
      </c>
      <c r="AW812" s="2" t="s">
        <v>10106</v>
      </c>
      <c r="AX812" s="2" t="s">
        <v>10107</v>
      </c>
      <c r="AY812" s="2" t="s">
        <v>10108</v>
      </c>
      <c r="AZ812" s="2" t="s">
        <v>10108</v>
      </c>
      <c r="BA812" s="2" t="s">
        <v>10109</v>
      </c>
      <c r="BB812" s="2" t="s">
        <v>20</v>
      </c>
      <c r="BE812" s="2" t="s">
        <v>10110</v>
      </c>
      <c r="BF812" s="2" t="s">
        <v>10111</v>
      </c>
    </row>
    <row r="813" spans="1:58" ht="39.75" customHeight="1" x14ac:dyDescent="0.25">
      <c r="A813" s="7" t="s">
        <v>5</v>
      </c>
      <c r="B813" s="1" t="s">
        <v>0</v>
      </c>
      <c r="C813" s="1" t="s">
        <v>1</v>
      </c>
      <c r="D813" s="1" t="s">
        <v>10112</v>
      </c>
      <c r="E813" s="1" t="s">
        <v>10113</v>
      </c>
      <c r="F813" s="1" t="s">
        <v>10114</v>
      </c>
      <c r="H813" s="2" t="s">
        <v>5</v>
      </c>
      <c r="I813" s="2" t="s">
        <v>6</v>
      </c>
      <c r="J813" s="2" t="s">
        <v>5</v>
      </c>
      <c r="K813" s="2" t="s">
        <v>5</v>
      </c>
      <c r="L813" s="2" t="s">
        <v>7</v>
      </c>
      <c r="M813" s="1" t="s">
        <v>10115</v>
      </c>
      <c r="N813" s="1" t="s">
        <v>6442</v>
      </c>
      <c r="O813" s="2" t="s">
        <v>708</v>
      </c>
      <c r="Q813" s="2" t="s">
        <v>1151</v>
      </c>
      <c r="R813" s="2" t="s">
        <v>1152</v>
      </c>
      <c r="S813" s="1" t="s">
        <v>10116</v>
      </c>
      <c r="T813" s="2" t="s">
        <v>13</v>
      </c>
      <c r="U813" s="3">
        <v>1</v>
      </c>
      <c r="V813" s="3">
        <v>1</v>
      </c>
      <c r="W813" s="4" t="s">
        <v>3004</v>
      </c>
      <c r="X813" s="4" t="s">
        <v>3004</v>
      </c>
      <c r="Y813" s="4" t="s">
        <v>3004</v>
      </c>
      <c r="Z813" s="4" t="s">
        <v>3004</v>
      </c>
      <c r="AA813" s="3">
        <v>199</v>
      </c>
      <c r="AB813" s="3">
        <v>147</v>
      </c>
      <c r="AC813" s="3">
        <v>156</v>
      </c>
      <c r="AD813" s="3">
        <v>3</v>
      </c>
      <c r="AE813" s="9">
        <v>3</v>
      </c>
      <c r="AF813" s="9">
        <v>7</v>
      </c>
      <c r="AG813" s="9">
        <v>7</v>
      </c>
      <c r="AH813" s="3">
        <v>2</v>
      </c>
      <c r="AI813" s="3">
        <v>2</v>
      </c>
      <c r="AJ813" s="3">
        <v>2</v>
      </c>
      <c r="AK813" s="3">
        <v>2</v>
      </c>
      <c r="AL813" s="3">
        <v>3</v>
      </c>
      <c r="AM813" s="3">
        <v>3</v>
      </c>
      <c r="AN813" s="3">
        <v>2</v>
      </c>
      <c r="AO813" s="3">
        <v>2</v>
      </c>
      <c r="AP813" s="3">
        <v>0</v>
      </c>
      <c r="AQ813" s="3">
        <v>0</v>
      </c>
      <c r="AR813" s="2" t="s">
        <v>5</v>
      </c>
      <c r="AS813" s="2" t="s">
        <v>46</v>
      </c>
      <c r="AT813" s="5" t="str">
        <f>HYPERLINK("http://catalog.hathitrust.org/Record/000879256","HathiTrust Record")</f>
        <v>HathiTrust Record</v>
      </c>
      <c r="AU813" s="5" t="str">
        <f>HYPERLINK("https://creighton-primo.hosted.exlibrisgroup.com/primo-explore/search?tab=default_tab&amp;search_scope=EVERYTHING&amp;vid=01CRU&amp;lang=en_US&amp;offset=0&amp;query=any,contains,991003699359702656","Catalog Record")</f>
        <v>Catalog Record</v>
      </c>
      <c r="AV813" s="5" t="str">
        <f>HYPERLINK("http://www.worldcat.org/oclc/17165153","WorldCat Record")</f>
        <v>WorldCat Record</v>
      </c>
      <c r="AW813" s="2" t="s">
        <v>10117</v>
      </c>
      <c r="AX813" s="2" t="s">
        <v>10118</v>
      </c>
      <c r="AY813" s="2" t="s">
        <v>10119</v>
      </c>
      <c r="AZ813" s="2" t="s">
        <v>10119</v>
      </c>
      <c r="BA813" s="2" t="s">
        <v>10120</v>
      </c>
      <c r="BB813" s="2" t="s">
        <v>20</v>
      </c>
      <c r="BD813" s="2" t="s">
        <v>10121</v>
      </c>
      <c r="BE813" s="2" t="s">
        <v>10122</v>
      </c>
      <c r="BF813" s="2" t="s">
        <v>10123</v>
      </c>
    </row>
    <row r="814" spans="1:58" ht="39.75" customHeight="1" x14ac:dyDescent="0.25">
      <c r="A814" s="7" t="s">
        <v>5</v>
      </c>
      <c r="B814" s="1" t="s">
        <v>0</v>
      </c>
      <c r="C814" s="1" t="s">
        <v>1</v>
      </c>
      <c r="D814" s="1" t="s">
        <v>10124</v>
      </c>
      <c r="E814" s="1" t="s">
        <v>10125</v>
      </c>
      <c r="F814" s="1" t="s">
        <v>10126</v>
      </c>
      <c r="H814" s="2" t="s">
        <v>5</v>
      </c>
      <c r="I814" s="2" t="s">
        <v>6</v>
      </c>
      <c r="J814" s="2" t="s">
        <v>5</v>
      </c>
      <c r="K814" s="2" t="s">
        <v>5</v>
      </c>
      <c r="L814" s="2" t="s">
        <v>7</v>
      </c>
      <c r="M814" s="1" t="s">
        <v>9572</v>
      </c>
      <c r="N814" s="1" t="s">
        <v>10127</v>
      </c>
      <c r="O814" s="2" t="s">
        <v>27</v>
      </c>
      <c r="Q814" s="2" t="s">
        <v>1151</v>
      </c>
      <c r="R814" s="2" t="s">
        <v>4146</v>
      </c>
      <c r="S814" s="1" t="s">
        <v>10128</v>
      </c>
      <c r="T814" s="2" t="s">
        <v>13</v>
      </c>
      <c r="U814" s="3">
        <v>1</v>
      </c>
      <c r="V814" s="3">
        <v>1</v>
      </c>
      <c r="W814" s="4" t="s">
        <v>5071</v>
      </c>
      <c r="X814" s="4" t="s">
        <v>5071</v>
      </c>
      <c r="Y814" s="4" t="s">
        <v>5071</v>
      </c>
      <c r="Z814" s="4" t="s">
        <v>5071</v>
      </c>
      <c r="AA814" s="3">
        <v>33</v>
      </c>
      <c r="AB814" s="3">
        <v>27</v>
      </c>
      <c r="AC814" s="3">
        <v>31</v>
      </c>
      <c r="AD814" s="3">
        <v>1</v>
      </c>
      <c r="AE814" s="9">
        <v>1</v>
      </c>
      <c r="AF814" s="9">
        <v>0</v>
      </c>
      <c r="AG814" s="9">
        <v>0</v>
      </c>
      <c r="AH814" s="3">
        <v>0</v>
      </c>
      <c r="AI814" s="3">
        <v>0</v>
      </c>
      <c r="AJ814" s="3">
        <v>0</v>
      </c>
      <c r="AK814" s="3">
        <v>0</v>
      </c>
      <c r="AL814" s="3">
        <v>0</v>
      </c>
      <c r="AM814" s="3">
        <v>0</v>
      </c>
      <c r="AN814" s="3">
        <v>0</v>
      </c>
      <c r="AO814" s="3">
        <v>0</v>
      </c>
      <c r="AP814" s="3">
        <v>0</v>
      </c>
      <c r="AQ814" s="3">
        <v>0</v>
      </c>
      <c r="AR814" s="2" t="s">
        <v>5</v>
      </c>
      <c r="AS814" s="2" t="s">
        <v>46</v>
      </c>
      <c r="AT814" s="5" t="str">
        <f>HYPERLINK("http://catalog.hathitrust.org/Record/101095971","HathiTrust Record")</f>
        <v>HathiTrust Record</v>
      </c>
      <c r="AU814" s="5" t="str">
        <f>HYPERLINK("https://creighton-primo.hosted.exlibrisgroup.com/primo-explore/search?tab=default_tab&amp;search_scope=EVERYTHING&amp;vid=01CRU&amp;lang=en_US&amp;offset=0&amp;query=any,contains,991004335769702656","Catalog Record")</f>
        <v>Catalog Record</v>
      </c>
      <c r="AV814" s="5" t="str">
        <f>HYPERLINK("http://www.worldcat.org/oclc/28708740","WorldCat Record")</f>
        <v>WorldCat Record</v>
      </c>
      <c r="AW814" s="2" t="s">
        <v>10129</v>
      </c>
      <c r="AX814" s="2" t="s">
        <v>10130</v>
      </c>
      <c r="AY814" s="2" t="s">
        <v>10131</v>
      </c>
      <c r="AZ814" s="2" t="s">
        <v>10131</v>
      </c>
      <c r="BA814" s="2" t="s">
        <v>10132</v>
      </c>
      <c r="BB814" s="2" t="s">
        <v>20</v>
      </c>
      <c r="BD814" s="2" t="s">
        <v>10133</v>
      </c>
      <c r="BE814" s="2" t="s">
        <v>10134</v>
      </c>
      <c r="BF814" s="2" t="s">
        <v>10135</v>
      </c>
    </row>
    <row r="815" spans="1:58" ht="39.75" customHeight="1" x14ac:dyDescent="0.25">
      <c r="A815" s="7" t="s">
        <v>5</v>
      </c>
      <c r="B815" s="1" t="s">
        <v>0</v>
      </c>
      <c r="C815" s="1" t="s">
        <v>1</v>
      </c>
      <c r="D815" s="1" t="s">
        <v>10136</v>
      </c>
      <c r="E815" s="1" t="s">
        <v>10137</v>
      </c>
      <c r="F815" s="1" t="s">
        <v>10138</v>
      </c>
      <c r="H815" s="2" t="s">
        <v>5</v>
      </c>
      <c r="I815" s="2" t="s">
        <v>6</v>
      </c>
      <c r="J815" s="2" t="s">
        <v>5</v>
      </c>
      <c r="K815" s="2" t="s">
        <v>5</v>
      </c>
      <c r="L815" s="2" t="s">
        <v>7</v>
      </c>
      <c r="N815" s="1" t="s">
        <v>10139</v>
      </c>
      <c r="O815" s="2" t="s">
        <v>2859</v>
      </c>
      <c r="Q815" s="2" t="s">
        <v>1151</v>
      </c>
      <c r="R815" s="2" t="s">
        <v>4146</v>
      </c>
      <c r="S815" s="1" t="s">
        <v>4147</v>
      </c>
      <c r="T815" s="2" t="s">
        <v>13</v>
      </c>
      <c r="U815" s="3">
        <v>4</v>
      </c>
      <c r="V815" s="3">
        <v>4</v>
      </c>
      <c r="W815" s="4" t="s">
        <v>4481</v>
      </c>
      <c r="X815" s="4" t="s">
        <v>4481</v>
      </c>
      <c r="Y815" s="4" t="s">
        <v>5361</v>
      </c>
      <c r="Z815" s="4" t="s">
        <v>5361</v>
      </c>
      <c r="AA815" s="3">
        <v>213</v>
      </c>
      <c r="AB815" s="3">
        <v>160</v>
      </c>
      <c r="AC815" s="3">
        <v>173</v>
      </c>
      <c r="AD815" s="3">
        <v>1</v>
      </c>
      <c r="AE815" s="9">
        <v>1</v>
      </c>
      <c r="AF815" s="9">
        <v>10</v>
      </c>
      <c r="AG815" s="9">
        <v>10</v>
      </c>
      <c r="AH815" s="3">
        <v>3</v>
      </c>
      <c r="AI815" s="3">
        <v>3</v>
      </c>
      <c r="AJ815" s="3">
        <v>4</v>
      </c>
      <c r="AK815" s="3">
        <v>4</v>
      </c>
      <c r="AL815" s="3">
        <v>7</v>
      </c>
      <c r="AM815" s="3">
        <v>7</v>
      </c>
      <c r="AN815" s="3">
        <v>0</v>
      </c>
      <c r="AO815" s="3">
        <v>0</v>
      </c>
      <c r="AP815" s="3">
        <v>0</v>
      </c>
      <c r="AQ815" s="3">
        <v>0</v>
      </c>
      <c r="AR815" s="2" t="s">
        <v>5</v>
      </c>
      <c r="AS815" s="2" t="s">
        <v>46</v>
      </c>
      <c r="AT815" s="5" t="str">
        <f>HYPERLINK("http://catalog.hathitrust.org/Record/007104987","HathiTrust Record")</f>
        <v>HathiTrust Record</v>
      </c>
      <c r="AU815" s="5" t="str">
        <f>HYPERLINK("https://creighton-primo.hosted.exlibrisgroup.com/primo-explore/search?tab=default_tab&amp;search_scope=EVERYTHING&amp;vid=01CRU&amp;lang=en_US&amp;offset=0&amp;query=any,contains,991001370699702656","Catalog Record")</f>
        <v>Catalog Record</v>
      </c>
      <c r="AV815" s="5" t="str">
        <f>HYPERLINK("http://www.worldcat.org/oclc/18562032","WorldCat Record")</f>
        <v>WorldCat Record</v>
      </c>
      <c r="AW815" s="2" t="s">
        <v>10140</v>
      </c>
      <c r="AX815" s="2" t="s">
        <v>10141</v>
      </c>
      <c r="AY815" s="2" t="s">
        <v>10142</v>
      </c>
      <c r="AZ815" s="2" t="s">
        <v>10142</v>
      </c>
      <c r="BA815" s="2" t="s">
        <v>10143</v>
      </c>
      <c r="BB815" s="2" t="s">
        <v>20</v>
      </c>
      <c r="BE815" s="2" t="s">
        <v>10144</v>
      </c>
      <c r="BF815" s="2" t="s">
        <v>10145</v>
      </c>
    </row>
    <row r="816" spans="1:58" ht="39.75" customHeight="1" x14ac:dyDescent="0.25">
      <c r="A816" s="7" t="s">
        <v>5</v>
      </c>
      <c r="B816" s="1" t="s">
        <v>0</v>
      </c>
      <c r="C816" s="1" t="s">
        <v>1</v>
      </c>
      <c r="D816" s="1" t="s">
        <v>10146</v>
      </c>
      <c r="E816" s="1" t="s">
        <v>10147</v>
      </c>
      <c r="F816" s="1" t="s">
        <v>10148</v>
      </c>
      <c r="H816" s="2" t="s">
        <v>5</v>
      </c>
      <c r="I816" s="2" t="s">
        <v>6</v>
      </c>
      <c r="J816" s="2" t="s">
        <v>5</v>
      </c>
      <c r="K816" s="2" t="s">
        <v>5</v>
      </c>
      <c r="L816" s="2" t="s">
        <v>7</v>
      </c>
      <c r="M816" s="1" t="s">
        <v>10149</v>
      </c>
      <c r="N816" s="1" t="s">
        <v>10150</v>
      </c>
      <c r="O816" s="2" t="s">
        <v>6611</v>
      </c>
      <c r="Q816" s="2" t="s">
        <v>1151</v>
      </c>
      <c r="R816" s="2" t="s">
        <v>4146</v>
      </c>
      <c r="S816" s="1" t="s">
        <v>10151</v>
      </c>
      <c r="T816" s="2" t="s">
        <v>13</v>
      </c>
      <c r="U816" s="3">
        <v>2</v>
      </c>
      <c r="V816" s="3">
        <v>2</v>
      </c>
      <c r="W816" s="4" t="s">
        <v>10152</v>
      </c>
      <c r="X816" s="4" t="s">
        <v>10152</v>
      </c>
      <c r="Y816" s="4" t="s">
        <v>10152</v>
      </c>
      <c r="Z816" s="4" t="s">
        <v>10152</v>
      </c>
      <c r="AA816" s="3">
        <v>1</v>
      </c>
      <c r="AB816" s="3">
        <v>1</v>
      </c>
      <c r="AC816" s="3">
        <v>1</v>
      </c>
      <c r="AD816" s="3">
        <v>1</v>
      </c>
      <c r="AE816" s="9">
        <v>1</v>
      </c>
      <c r="AF816" s="9">
        <v>0</v>
      </c>
      <c r="AG816" s="9">
        <v>0</v>
      </c>
      <c r="AH816" s="3">
        <v>0</v>
      </c>
      <c r="AI816" s="3">
        <v>0</v>
      </c>
      <c r="AJ816" s="3">
        <v>0</v>
      </c>
      <c r="AK816" s="3">
        <v>0</v>
      </c>
      <c r="AL816" s="3">
        <v>0</v>
      </c>
      <c r="AM816" s="3">
        <v>0</v>
      </c>
      <c r="AN816" s="3">
        <v>0</v>
      </c>
      <c r="AO816" s="3">
        <v>0</v>
      </c>
      <c r="AP816" s="3">
        <v>0</v>
      </c>
      <c r="AQ816" s="3">
        <v>0</v>
      </c>
      <c r="AR816" s="2" t="s">
        <v>5</v>
      </c>
      <c r="AS816" s="2" t="s">
        <v>5</v>
      </c>
      <c r="AU816" s="5" t="str">
        <f>HYPERLINK("https://creighton-primo.hosted.exlibrisgroup.com/primo-explore/search?tab=default_tab&amp;search_scope=EVERYTHING&amp;vid=01CRU&amp;lang=en_US&amp;offset=0&amp;query=any,contains,991003932409702656","Catalog Record")</f>
        <v>Catalog Record</v>
      </c>
      <c r="AV816" s="5" t="str">
        <f>HYPERLINK("http://www.worldcat.org/oclc/50623822","WorldCat Record")</f>
        <v>WorldCat Record</v>
      </c>
      <c r="AW816" s="2" t="s">
        <v>10153</v>
      </c>
      <c r="AX816" s="2" t="s">
        <v>10154</v>
      </c>
      <c r="AY816" s="2" t="s">
        <v>10155</v>
      </c>
      <c r="AZ816" s="2" t="s">
        <v>10155</v>
      </c>
      <c r="BA816" s="2" t="s">
        <v>10156</v>
      </c>
      <c r="BB816" s="2" t="s">
        <v>20</v>
      </c>
      <c r="BD816" s="2" t="s">
        <v>10157</v>
      </c>
      <c r="BE816" s="2" t="s">
        <v>10158</v>
      </c>
      <c r="BF816" s="2" t="s">
        <v>10159</v>
      </c>
    </row>
    <row r="817" spans="1:58" ht="39.75" customHeight="1" x14ac:dyDescent="0.25">
      <c r="A817" s="7" t="s">
        <v>5</v>
      </c>
      <c r="B817" s="1" t="s">
        <v>0</v>
      </c>
      <c r="C817" s="1" t="s">
        <v>1</v>
      </c>
      <c r="D817" s="1" t="s">
        <v>10160</v>
      </c>
      <c r="E817" s="1" t="s">
        <v>10161</v>
      </c>
      <c r="F817" s="1" t="s">
        <v>10162</v>
      </c>
      <c r="H817" s="2" t="s">
        <v>5</v>
      </c>
      <c r="I817" s="2" t="s">
        <v>6</v>
      </c>
      <c r="J817" s="2" t="s">
        <v>5</v>
      </c>
      <c r="K817" s="2" t="s">
        <v>5</v>
      </c>
      <c r="L817" s="2" t="s">
        <v>7</v>
      </c>
      <c r="M817" s="1" t="s">
        <v>10163</v>
      </c>
      <c r="N817" s="1" t="s">
        <v>9822</v>
      </c>
      <c r="O817" s="2" t="s">
        <v>421</v>
      </c>
      <c r="Q817" s="2" t="s">
        <v>1151</v>
      </c>
      <c r="R817" s="2" t="s">
        <v>4146</v>
      </c>
      <c r="S817" s="1" t="s">
        <v>10164</v>
      </c>
      <c r="T817" s="2" t="s">
        <v>13</v>
      </c>
      <c r="U817" s="3">
        <v>1</v>
      </c>
      <c r="V817" s="3">
        <v>1</v>
      </c>
      <c r="W817" s="4" t="s">
        <v>10165</v>
      </c>
      <c r="X817" s="4" t="s">
        <v>10165</v>
      </c>
      <c r="Y817" s="4" t="s">
        <v>10166</v>
      </c>
      <c r="Z817" s="4" t="s">
        <v>10166</v>
      </c>
      <c r="AA817" s="3">
        <v>30</v>
      </c>
      <c r="AB817" s="3">
        <v>26</v>
      </c>
      <c r="AC817" s="3">
        <v>28</v>
      </c>
      <c r="AD817" s="3">
        <v>1</v>
      </c>
      <c r="AE817" s="9">
        <v>1</v>
      </c>
      <c r="AF817" s="9">
        <v>1</v>
      </c>
      <c r="AG817" s="9">
        <v>1</v>
      </c>
      <c r="AH817" s="3">
        <v>0</v>
      </c>
      <c r="AI817" s="3">
        <v>0</v>
      </c>
      <c r="AJ817" s="3">
        <v>1</v>
      </c>
      <c r="AK817" s="3">
        <v>1</v>
      </c>
      <c r="AL817" s="3">
        <v>0</v>
      </c>
      <c r="AM817" s="3">
        <v>0</v>
      </c>
      <c r="AN817" s="3">
        <v>0</v>
      </c>
      <c r="AO817" s="3">
        <v>0</v>
      </c>
      <c r="AP817" s="3">
        <v>0</v>
      </c>
      <c r="AQ817" s="3">
        <v>0</v>
      </c>
      <c r="AR817" s="2" t="s">
        <v>5</v>
      </c>
      <c r="AS817" s="2" t="s">
        <v>46</v>
      </c>
      <c r="AT817" s="5" t="str">
        <f>HYPERLINK("http://catalog.hathitrust.org/Record/101095991","HathiTrust Record")</f>
        <v>HathiTrust Record</v>
      </c>
      <c r="AU817" s="5" t="str">
        <f>HYPERLINK("https://creighton-primo.hosted.exlibrisgroup.com/primo-explore/search?tab=default_tab&amp;search_scope=EVERYTHING&amp;vid=01CRU&amp;lang=en_US&amp;offset=0&amp;query=any,contains,991003660119702656","Catalog Record")</f>
        <v>Catalog Record</v>
      </c>
      <c r="AV817" s="5" t="str">
        <f>HYPERLINK("http://www.worldcat.org/oclc/11574688","WorldCat Record")</f>
        <v>WorldCat Record</v>
      </c>
      <c r="AW817" s="2" t="s">
        <v>10167</v>
      </c>
      <c r="AX817" s="2" t="s">
        <v>10168</v>
      </c>
      <c r="AY817" s="2" t="s">
        <v>10169</v>
      </c>
      <c r="AZ817" s="2" t="s">
        <v>10169</v>
      </c>
      <c r="BA817" s="2" t="s">
        <v>10170</v>
      </c>
      <c r="BB817" s="2" t="s">
        <v>20</v>
      </c>
      <c r="BE817" s="2" t="s">
        <v>10171</v>
      </c>
      <c r="BF817" s="2" t="s">
        <v>10172</v>
      </c>
    </row>
    <row r="818" spans="1:58" ht="39.75" customHeight="1" x14ac:dyDescent="0.25">
      <c r="A818" s="7" t="s">
        <v>5</v>
      </c>
      <c r="B818" s="1" t="s">
        <v>0</v>
      </c>
      <c r="C818" s="1" t="s">
        <v>1</v>
      </c>
      <c r="D818" s="1" t="s">
        <v>10173</v>
      </c>
      <c r="E818" s="1" t="s">
        <v>10174</v>
      </c>
      <c r="F818" s="1" t="s">
        <v>10175</v>
      </c>
      <c r="H818" s="2" t="s">
        <v>5</v>
      </c>
      <c r="I818" s="2" t="s">
        <v>6</v>
      </c>
      <c r="J818" s="2" t="s">
        <v>5</v>
      </c>
      <c r="K818" s="2" t="s">
        <v>5</v>
      </c>
      <c r="L818" s="2" t="s">
        <v>7</v>
      </c>
      <c r="M818" s="1" t="s">
        <v>10176</v>
      </c>
      <c r="N818" s="1" t="s">
        <v>10177</v>
      </c>
      <c r="O818" s="2" t="s">
        <v>2610</v>
      </c>
      <c r="Q818" s="2" t="s">
        <v>60</v>
      </c>
      <c r="R818" s="2" t="s">
        <v>193</v>
      </c>
      <c r="S818" s="1" t="s">
        <v>10178</v>
      </c>
      <c r="T818" s="2" t="s">
        <v>13</v>
      </c>
      <c r="U818" s="3">
        <v>7</v>
      </c>
      <c r="V818" s="3">
        <v>7</v>
      </c>
      <c r="W818" s="4" t="s">
        <v>10179</v>
      </c>
      <c r="X818" s="4" t="s">
        <v>10179</v>
      </c>
      <c r="Y818" s="4" t="s">
        <v>10180</v>
      </c>
      <c r="Z818" s="4" t="s">
        <v>10180</v>
      </c>
      <c r="AA818" s="3">
        <v>518</v>
      </c>
      <c r="AB818" s="3">
        <v>385</v>
      </c>
      <c r="AC818" s="3">
        <v>392</v>
      </c>
      <c r="AD818" s="3">
        <v>4</v>
      </c>
      <c r="AE818" s="9">
        <v>4</v>
      </c>
      <c r="AF818" s="9">
        <v>21</v>
      </c>
      <c r="AG818" s="9">
        <v>21</v>
      </c>
      <c r="AH818" s="3">
        <v>10</v>
      </c>
      <c r="AI818" s="3">
        <v>10</v>
      </c>
      <c r="AJ818" s="3">
        <v>4</v>
      </c>
      <c r="AK818" s="3">
        <v>4</v>
      </c>
      <c r="AL818" s="3">
        <v>10</v>
      </c>
      <c r="AM818" s="3">
        <v>10</v>
      </c>
      <c r="AN818" s="3">
        <v>3</v>
      </c>
      <c r="AO818" s="3">
        <v>3</v>
      </c>
      <c r="AP818" s="3">
        <v>0</v>
      </c>
      <c r="AQ818" s="3">
        <v>0</v>
      </c>
      <c r="AR818" s="2" t="s">
        <v>5</v>
      </c>
      <c r="AS818" s="2" t="s">
        <v>46</v>
      </c>
      <c r="AT818" s="5" t="str">
        <f>HYPERLINK("http://catalog.hathitrust.org/Record/001835177","HathiTrust Record")</f>
        <v>HathiTrust Record</v>
      </c>
      <c r="AU818" s="5" t="str">
        <f>HYPERLINK("https://creighton-primo.hosted.exlibrisgroup.com/primo-explore/search?tab=default_tab&amp;search_scope=EVERYTHING&amp;vid=01CRU&amp;lang=en_US&amp;offset=0&amp;query=any,contains,991001542209702656","Catalog Record")</f>
        <v>Catalog Record</v>
      </c>
      <c r="AV818" s="5" t="str">
        <f>HYPERLINK("http://www.worldcat.org/oclc/20132537","WorldCat Record")</f>
        <v>WorldCat Record</v>
      </c>
      <c r="AW818" s="2" t="s">
        <v>10181</v>
      </c>
      <c r="AX818" s="2" t="s">
        <v>10182</v>
      </c>
      <c r="AY818" s="2" t="s">
        <v>10183</v>
      </c>
      <c r="AZ818" s="2" t="s">
        <v>10183</v>
      </c>
      <c r="BA818" s="2" t="s">
        <v>10184</v>
      </c>
      <c r="BB818" s="2" t="s">
        <v>20</v>
      </c>
      <c r="BD818" s="2" t="s">
        <v>10185</v>
      </c>
      <c r="BE818" s="2" t="s">
        <v>10186</v>
      </c>
      <c r="BF818" s="2" t="s">
        <v>10187</v>
      </c>
    </row>
    <row r="819" spans="1:58" ht="39.75" customHeight="1" x14ac:dyDescent="0.25">
      <c r="A819" s="7" t="s">
        <v>5</v>
      </c>
      <c r="B819" s="1" t="s">
        <v>0</v>
      </c>
      <c r="C819" s="1" t="s">
        <v>1</v>
      </c>
      <c r="D819" s="1" t="s">
        <v>10188</v>
      </c>
      <c r="E819" s="1" t="s">
        <v>10189</v>
      </c>
      <c r="F819" s="1" t="s">
        <v>10190</v>
      </c>
      <c r="H819" s="2" t="s">
        <v>5</v>
      </c>
      <c r="I819" s="2" t="s">
        <v>6</v>
      </c>
      <c r="J819" s="2" t="s">
        <v>5</v>
      </c>
      <c r="K819" s="2" t="s">
        <v>5</v>
      </c>
      <c r="L819" s="2" t="s">
        <v>7</v>
      </c>
      <c r="M819" s="1" t="s">
        <v>10191</v>
      </c>
      <c r="N819" s="1" t="s">
        <v>10192</v>
      </c>
      <c r="O819" s="2" t="s">
        <v>42</v>
      </c>
      <c r="Q819" s="2" t="s">
        <v>1151</v>
      </c>
      <c r="R819" s="2" t="s">
        <v>5403</v>
      </c>
      <c r="S819" s="1" t="s">
        <v>10193</v>
      </c>
      <c r="T819" s="2" t="s">
        <v>13</v>
      </c>
      <c r="U819" s="3">
        <v>1</v>
      </c>
      <c r="V819" s="3">
        <v>1</v>
      </c>
      <c r="W819" s="4" t="s">
        <v>10194</v>
      </c>
      <c r="X819" s="4" t="s">
        <v>10194</v>
      </c>
      <c r="Y819" s="4" t="s">
        <v>10195</v>
      </c>
      <c r="Z819" s="4" t="s">
        <v>10195</v>
      </c>
      <c r="AA819" s="3">
        <v>105</v>
      </c>
      <c r="AB819" s="3">
        <v>89</v>
      </c>
      <c r="AC819" s="3">
        <v>92</v>
      </c>
      <c r="AD819" s="3">
        <v>1</v>
      </c>
      <c r="AE819" s="9">
        <v>1</v>
      </c>
      <c r="AF819" s="9">
        <v>6</v>
      </c>
      <c r="AG819" s="9">
        <v>6</v>
      </c>
      <c r="AH819" s="3">
        <v>1</v>
      </c>
      <c r="AI819" s="3">
        <v>1</v>
      </c>
      <c r="AJ819" s="3">
        <v>1</v>
      </c>
      <c r="AK819" s="3">
        <v>1</v>
      </c>
      <c r="AL819" s="3">
        <v>5</v>
      </c>
      <c r="AM819" s="3">
        <v>5</v>
      </c>
      <c r="AN819" s="3">
        <v>0</v>
      </c>
      <c r="AO819" s="3">
        <v>0</v>
      </c>
      <c r="AP819" s="3">
        <v>0</v>
      </c>
      <c r="AQ819" s="3">
        <v>0</v>
      </c>
      <c r="AR819" s="2" t="s">
        <v>5</v>
      </c>
      <c r="AS819" s="2" t="s">
        <v>46</v>
      </c>
      <c r="AT819" s="5" t="str">
        <f>HYPERLINK("http://catalog.hathitrust.org/Record/002566659","HathiTrust Record")</f>
        <v>HathiTrust Record</v>
      </c>
      <c r="AU819" s="5" t="str">
        <f>HYPERLINK("https://creighton-primo.hosted.exlibrisgroup.com/primo-explore/search?tab=default_tab&amp;search_scope=EVERYTHING&amp;vid=01CRU&amp;lang=en_US&amp;offset=0&amp;query=any,contains,991001987329702656","Catalog Record")</f>
        <v>Catalog Record</v>
      </c>
      <c r="AV819" s="5" t="str">
        <f>HYPERLINK("http://www.worldcat.org/oclc/25246286","WorldCat Record")</f>
        <v>WorldCat Record</v>
      </c>
      <c r="AW819" s="2" t="s">
        <v>10196</v>
      </c>
      <c r="AX819" s="2" t="s">
        <v>10197</v>
      </c>
      <c r="AY819" s="2" t="s">
        <v>10198</v>
      </c>
      <c r="AZ819" s="2" t="s">
        <v>10198</v>
      </c>
      <c r="BA819" s="2" t="s">
        <v>10199</v>
      </c>
      <c r="BB819" s="2" t="s">
        <v>20</v>
      </c>
      <c r="BD819" s="2" t="s">
        <v>10200</v>
      </c>
      <c r="BE819" s="2" t="s">
        <v>10201</v>
      </c>
      <c r="BF819" s="2" t="s">
        <v>10202</v>
      </c>
    </row>
    <row r="820" spans="1:58" ht="39.75" customHeight="1" x14ac:dyDescent="0.25">
      <c r="A820" s="7" t="s">
        <v>5</v>
      </c>
      <c r="B820" s="1" t="s">
        <v>0</v>
      </c>
      <c r="C820" s="1" t="s">
        <v>1</v>
      </c>
      <c r="D820" s="1" t="s">
        <v>10203</v>
      </c>
      <c r="E820" s="1" t="s">
        <v>10204</v>
      </c>
      <c r="F820" s="1" t="s">
        <v>10205</v>
      </c>
      <c r="H820" s="2" t="s">
        <v>5</v>
      </c>
      <c r="I820" s="2" t="s">
        <v>6</v>
      </c>
      <c r="J820" s="2" t="s">
        <v>5</v>
      </c>
      <c r="K820" s="2" t="s">
        <v>5</v>
      </c>
      <c r="L820" s="2" t="s">
        <v>7</v>
      </c>
      <c r="M820" s="1" t="s">
        <v>10206</v>
      </c>
      <c r="N820" s="1" t="s">
        <v>10207</v>
      </c>
      <c r="O820" s="2" t="s">
        <v>276</v>
      </c>
      <c r="Q820" s="2" t="s">
        <v>1151</v>
      </c>
      <c r="R820" s="2" t="s">
        <v>1152</v>
      </c>
      <c r="S820" s="1" t="s">
        <v>10208</v>
      </c>
      <c r="T820" s="2" t="s">
        <v>13</v>
      </c>
      <c r="U820" s="3">
        <v>1</v>
      </c>
      <c r="V820" s="3">
        <v>1</v>
      </c>
      <c r="W820" s="4" t="s">
        <v>6701</v>
      </c>
      <c r="X820" s="4" t="s">
        <v>6701</v>
      </c>
      <c r="Y820" s="4" t="s">
        <v>10209</v>
      </c>
      <c r="Z820" s="4" t="s">
        <v>10209</v>
      </c>
      <c r="AA820" s="3">
        <v>77</v>
      </c>
      <c r="AB820" s="3">
        <v>53</v>
      </c>
      <c r="AC820" s="3">
        <v>55</v>
      </c>
      <c r="AD820" s="3">
        <v>1</v>
      </c>
      <c r="AE820" s="9">
        <v>1</v>
      </c>
      <c r="AF820" s="9">
        <v>3</v>
      </c>
      <c r="AG820" s="9">
        <v>3</v>
      </c>
      <c r="AH820" s="3">
        <v>1</v>
      </c>
      <c r="AI820" s="3">
        <v>1</v>
      </c>
      <c r="AJ820" s="3">
        <v>0</v>
      </c>
      <c r="AK820" s="3">
        <v>0</v>
      </c>
      <c r="AL820" s="3">
        <v>3</v>
      </c>
      <c r="AM820" s="3">
        <v>3</v>
      </c>
      <c r="AN820" s="3">
        <v>0</v>
      </c>
      <c r="AO820" s="3">
        <v>0</v>
      </c>
      <c r="AP820" s="3">
        <v>0</v>
      </c>
      <c r="AQ820" s="3">
        <v>0</v>
      </c>
      <c r="AR820" s="2" t="s">
        <v>5</v>
      </c>
      <c r="AS820" s="2" t="s">
        <v>46</v>
      </c>
      <c r="AT820" s="5" t="str">
        <f>HYPERLINK("http://catalog.hathitrust.org/Record/008447960","HathiTrust Record")</f>
        <v>HathiTrust Record</v>
      </c>
      <c r="AU820" s="5" t="str">
        <f>HYPERLINK("https://creighton-primo.hosted.exlibrisgroup.com/primo-explore/search?tab=default_tab&amp;search_scope=EVERYTHING&amp;vid=01CRU&amp;lang=en_US&amp;offset=0&amp;query=any,contains,991003757529702656","Catalog Record")</f>
        <v>Catalog Record</v>
      </c>
      <c r="AV820" s="5" t="str">
        <f>HYPERLINK("http://www.worldcat.org/oclc/2203298","WorldCat Record")</f>
        <v>WorldCat Record</v>
      </c>
      <c r="AW820" s="2" t="s">
        <v>10210</v>
      </c>
      <c r="AX820" s="2" t="s">
        <v>10211</v>
      </c>
      <c r="AY820" s="2" t="s">
        <v>10212</v>
      </c>
      <c r="AZ820" s="2" t="s">
        <v>10212</v>
      </c>
      <c r="BA820" s="2" t="s">
        <v>10213</v>
      </c>
      <c r="BB820" s="2" t="s">
        <v>20</v>
      </c>
      <c r="BD820" s="2" t="s">
        <v>10214</v>
      </c>
      <c r="BE820" s="2" t="s">
        <v>10215</v>
      </c>
      <c r="BF820" s="2" t="s">
        <v>10216</v>
      </c>
    </row>
    <row r="821" spans="1:58" ht="39.75" customHeight="1" x14ac:dyDescent="0.25">
      <c r="A821" s="7" t="s">
        <v>5</v>
      </c>
      <c r="B821" s="1" t="s">
        <v>0</v>
      </c>
      <c r="C821" s="1" t="s">
        <v>1</v>
      </c>
      <c r="D821" s="1" t="s">
        <v>10217</v>
      </c>
      <c r="E821" s="1" t="s">
        <v>10218</v>
      </c>
      <c r="F821" s="1" t="s">
        <v>10219</v>
      </c>
      <c r="H821" s="2" t="s">
        <v>5</v>
      </c>
      <c r="I821" s="2" t="s">
        <v>6</v>
      </c>
      <c r="J821" s="2" t="s">
        <v>5</v>
      </c>
      <c r="K821" s="2" t="s">
        <v>5</v>
      </c>
      <c r="L821" s="2" t="s">
        <v>7</v>
      </c>
      <c r="M821" s="1" t="s">
        <v>9732</v>
      </c>
      <c r="N821" s="1" t="s">
        <v>10220</v>
      </c>
      <c r="O821" s="2" t="s">
        <v>2859</v>
      </c>
      <c r="Q821" s="2" t="s">
        <v>1151</v>
      </c>
      <c r="R821" s="2" t="s">
        <v>1152</v>
      </c>
      <c r="S821" s="1" t="s">
        <v>9734</v>
      </c>
      <c r="T821" s="2" t="s">
        <v>13</v>
      </c>
      <c r="U821" s="3">
        <v>5</v>
      </c>
      <c r="V821" s="3">
        <v>5</v>
      </c>
      <c r="W821" s="4" t="s">
        <v>4481</v>
      </c>
      <c r="X821" s="4" t="s">
        <v>4481</v>
      </c>
      <c r="Y821" s="4" t="s">
        <v>5361</v>
      </c>
      <c r="Z821" s="4" t="s">
        <v>5361</v>
      </c>
      <c r="AA821" s="3">
        <v>180</v>
      </c>
      <c r="AB821" s="3">
        <v>132</v>
      </c>
      <c r="AC821" s="3">
        <v>139</v>
      </c>
      <c r="AD821" s="3">
        <v>1</v>
      </c>
      <c r="AE821" s="9">
        <v>1</v>
      </c>
      <c r="AF821" s="9">
        <v>7</v>
      </c>
      <c r="AG821" s="9">
        <v>7</v>
      </c>
      <c r="AH821" s="3">
        <v>0</v>
      </c>
      <c r="AI821" s="3">
        <v>0</v>
      </c>
      <c r="AJ821" s="3">
        <v>3</v>
      </c>
      <c r="AK821" s="3">
        <v>3</v>
      </c>
      <c r="AL821" s="3">
        <v>5</v>
      </c>
      <c r="AM821" s="3">
        <v>5</v>
      </c>
      <c r="AN821" s="3">
        <v>0</v>
      </c>
      <c r="AO821" s="3">
        <v>0</v>
      </c>
      <c r="AP821" s="3">
        <v>0</v>
      </c>
      <c r="AQ821" s="3">
        <v>0</v>
      </c>
      <c r="AR821" s="2" t="s">
        <v>5</v>
      </c>
      <c r="AS821" s="2" t="s">
        <v>46</v>
      </c>
      <c r="AT821" s="5" t="str">
        <f>HYPERLINK("http://catalog.hathitrust.org/Record/000568074","HathiTrust Record")</f>
        <v>HathiTrust Record</v>
      </c>
      <c r="AU821" s="5" t="str">
        <f>HYPERLINK("https://creighton-primo.hosted.exlibrisgroup.com/primo-explore/search?tab=default_tab&amp;search_scope=EVERYTHING&amp;vid=01CRU&amp;lang=en_US&amp;offset=0&amp;query=any,contains,991001691369702656","Catalog Record")</f>
        <v>Catalog Record</v>
      </c>
      <c r="AV821" s="5" t="str">
        <f>HYPERLINK("http://www.worldcat.org/oclc/21442802","WorldCat Record")</f>
        <v>WorldCat Record</v>
      </c>
      <c r="AW821" s="2" t="s">
        <v>10221</v>
      </c>
      <c r="AX821" s="2" t="s">
        <v>10222</v>
      </c>
      <c r="AY821" s="2" t="s">
        <v>10223</v>
      </c>
      <c r="AZ821" s="2" t="s">
        <v>10223</v>
      </c>
      <c r="BA821" s="2" t="s">
        <v>10224</v>
      </c>
      <c r="BB821" s="2" t="s">
        <v>20</v>
      </c>
      <c r="BD821" s="2" t="s">
        <v>10225</v>
      </c>
      <c r="BE821" s="2" t="s">
        <v>10226</v>
      </c>
      <c r="BF821" s="2" t="s">
        <v>10227</v>
      </c>
    </row>
    <row r="822" spans="1:58" ht="39.75" customHeight="1" x14ac:dyDescent="0.25">
      <c r="A822" s="7" t="s">
        <v>5</v>
      </c>
      <c r="B822" s="1" t="s">
        <v>0</v>
      </c>
      <c r="C822" s="1" t="s">
        <v>1</v>
      </c>
      <c r="D822" s="1" t="s">
        <v>10228</v>
      </c>
      <c r="E822" s="1" t="s">
        <v>10229</v>
      </c>
      <c r="F822" s="1" t="s">
        <v>10230</v>
      </c>
      <c r="H822" s="2" t="s">
        <v>5</v>
      </c>
      <c r="I822" s="2" t="s">
        <v>6</v>
      </c>
      <c r="J822" s="2" t="s">
        <v>5</v>
      </c>
      <c r="K822" s="2" t="s">
        <v>5</v>
      </c>
      <c r="L822" s="2" t="s">
        <v>7</v>
      </c>
      <c r="M822" s="1" t="s">
        <v>10231</v>
      </c>
      <c r="N822" s="1" t="s">
        <v>10232</v>
      </c>
      <c r="O822" s="2" t="s">
        <v>1418</v>
      </c>
      <c r="Q822" s="2" t="s">
        <v>1151</v>
      </c>
      <c r="R822" s="2" t="s">
        <v>5360</v>
      </c>
      <c r="T822" s="2" t="s">
        <v>13</v>
      </c>
      <c r="U822" s="3">
        <v>1</v>
      </c>
      <c r="V822" s="3">
        <v>1</v>
      </c>
      <c r="W822" s="4" t="s">
        <v>9786</v>
      </c>
      <c r="X822" s="4" t="s">
        <v>9786</v>
      </c>
      <c r="Y822" s="4" t="s">
        <v>9787</v>
      </c>
      <c r="Z822" s="4" t="s">
        <v>9787</v>
      </c>
      <c r="AA822" s="3">
        <v>154</v>
      </c>
      <c r="AB822" s="3">
        <v>125</v>
      </c>
      <c r="AC822" s="3">
        <v>130</v>
      </c>
      <c r="AD822" s="3">
        <v>2</v>
      </c>
      <c r="AE822" s="9">
        <v>2</v>
      </c>
      <c r="AF822" s="9">
        <v>5</v>
      </c>
      <c r="AG822" s="9">
        <v>5</v>
      </c>
      <c r="AH822" s="3">
        <v>1</v>
      </c>
      <c r="AI822" s="3">
        <v>1</v>
      </c>
      <c r="AJ822" s="3">
        <v>1</v>
      </c>
      <c r="AK822" s="3">
        <v>1</v>
      </c>
      <c r="AL822" s="3">
        <v>2</v>
      </c>
      <c r="AM822" s="3">
        <v>2</v>
      </c>
      <c r="AN822" s="3">
        <v>1</v>
      </c>
      <c r="AO822" s="3">
        <v>1</v>
      </c>
      <c r="AP822" s="3">
        <v>0</v>
      </c>
      <c r="AQ822" s="3">
        <v>0</v>
      </c>
      <c r="AR822" s="2" t="s">
        <v>5</v>
      </c>
      <c r="AS822" s="2" t="s">
        <v>46</v>
      </c>
      <c r="AT822" s="5" t="str">
        <f>HYPERLINK("http://catalog.hathitrust.org/Record/001036962","HathiTrust Record")</f>
        <v>HathiTrust Record</v>
      </c>
      <c r="AU822" s="5" t="str">
        <f>HYPERLINK("https://creighton-primo.hosted.exlibrisgroup.com/primo-explore/search?tab=default_tab&amp;search_scope=EVERYTHING&amp;vid=01CRU&amp;lang=en_US&amp;offset=0&amp;query=any,contains,991003834859702656","Catalog Record")</f>
        <v>Catalog Record</v>
      </c>
      <c r="AV822" s="5" t="str">
        <f>HYPERLINK("http://www.worldcat.org/oclc/834321","WorldCat Record")</f>
        <v>WorldCat Record</v>
      </c>
      <c r="AW822" s="2" t="s">
        <v>10233</v>
      </c>
      <c r="AX822" s="2" t="s">
        <v>10234</v>
      </c>
      <c r="AY822" s="2" t="s">
        <v>10235</v>
      </c>
      <c r="AZ822" s="2" t="s">
        <v>10235</v>
      </c>
      <c r="BA822" s="2" t="s">
        <v>10236</v>
      </c>
      <c r="BB822" s="2" t="s">
        <v>20</v>
      </c>
      <c r="BE822" s="2" t="s">
        <v>10237</v>
      </c>
      <c r="BF822" s="2" t="s">
        <v>10238</v>
      </c>
    </row>
    <row r="823" spans="1:58" ht="39.75" customHeight="1" x14ac:dyDescent="0.25">
      <c r="A823" s="7" t="s">
        <v>5</v>
      </c>
      <c r="B823" s="1" t="s">
        <v>0</v>
      </c>
      <c r="C823" s="1" t="s">
        <v>1</v>
      </c>
      <c r="D823" s="1" t="s">
        <v>10239</v>
      </c>
      <c r="E823" s="1" t="s">
        <v>10240</v>
      </c>
      <c r="F823" s="1" t="s">
        <v>10241</v>
      </c>
      <c r="H823" s="2" t="s">
        <v>5</v>
      </c>
      <c r="I823" s="2" t="s">
        <v>6</v>
      </c>
      <c r="J823" s="2" t="s">
        <v>5</v>
      </c>
      <c r="K823" s="2" t="s">
        <v>5</v>
      </c>
      <c r="L823" s="2" t="s">
        <v>7</v>
      </c>
      <c r="M823" s="1" t="s">
        <v>10242</v>
      </c>
      <c r="N823" s="1" t="s">
        <v>10243</v>
      </c>
      <c r="O823" s="2" t="s">
        <v>708</v>
      </c>
      <c r="Q823" s="2" t="s">
        <v>1151</v>
      </c>
      <c r="R823" s="2" t="s">
        <v>4146</v>
      </c>
      <c r="S823" s="1" t="s">
        <v>10244</v>
      </c>
      <c r="T823" s="2" t="s">
        <v>13</v>
      </c>
      <c r="U823" s="3">
        <v>1</v>
      </c>
      <c r="V823" s="3">
        <v>1</v>
      </c>
      <c r="W823" s="4" t="s">
        <v>8639</v>
      </c>
      <c r="X823" s="4" t="s">
        <v>8639</v>
      </c>
      <c r="Y823" s="4" t="s">
        <v>8639</v>
      </c>
      <c r="Z823" s="4" t="s">
        <v>8639</v>
      </c>
      <c r="AA823" s="3">
        <v>48</v>
      </c>
      <c r="AB823" s="3">
        <v>38</v>
      </c>
      <c r="AC823" s="3">
        <v>50</v>
      </c>
      <c r="AD823" s="3">
        <v>1</v>
      </c>
      <c r="AE823" s="9">
        <v>1</v>
      </c>
      <c r="AF823" s="9">
        <v>0</v>
      </c>
      <c r="AG823" s="9">
        <v>0</v>
      </c>
      <c r="AH823" s="3">
        <v>0</v>
      </c>
      <c r="AI823" s="3">
        <v>0</v>
      </c>
      <c r="AJ823" s="3">
        <v>0</v>
      </c>
      <c r="AK823" s="3">
        <v>0</v>
      </c>
      <c r="AL823" s="3">
        <v>0</v>
      </c>
      <c r="AM823" s="3">
        <v>0</v>
      </c>
      <c r="AN823" s="3">
        <v>0</v>
      </c>
      <c r="AO823" s="3">
        <v>0</v>
      </c>
      <c r="AP823" s="3">
        <v>0</v>
      </c>
      <c r="AQ823" s="3">
        <v>0</v>
      </c>
      <c r="AR823" s="2" t="s">
        <v>5</v>
      </c>
      <c r="AS823" s="2" t="s">
        <v>5</v>
      </c>
      <c r="AU823" s="5" t="str">
        <f>HYPERLINK("https://creighton-primo.hosted.exlibrisgroup.com/primo-explore/search?tab=default_tab&amp;search_scope=EVERYTHING&amp;vid=01CRU&amp;lang=en_US&amp;offset=0&amp;query=any,contains,991004332629702656","Catalog Record")</f>
        <v>Catalog Record</v>
      </c>
      <c r="AV823" s="5" t="str">
        <f>HYPERLINK("http://www.worldcat.org/oclc/20517239","WorldCat Record")</f>
        <v>WorldCat Record</v>
      </c>
      <c r="AW823" s="2" t="s">
        <v>10245</v>
      </c>
      <c r="AX823" s="2" t="s">
        <v>10246</v>
      </c>
      <c r="AY823" s="2" t="s">
        <v>10247</v>
      </c>
      <c r="AZ823" s="2" t="s">
        <v>10247</v>
      </c>
      <c r="BA823" s="2" t="s">
        <v>10248</v>
      </c>
      <c r="BB823" s="2" t="s">
        <v>20</v>
      </c>
      <c r="BE823" s="2" t="s">
        <v>10249</v>
      </c>
      <c r="BF823" s="2" t="s">
        <v>10250</v>
      </c>
    </row>
    <row r="824" spans="1:58" ht="39.75" customHeight="1" x14ac:dyDescent="0.25">
      <c r="A824" s="7" t="s">
        <v>5</v>
      </c>
      <c r="B824" s="1" t="s">
        <v>0</v>
      </c>
      <c r="C824" s="1" t="s">
        <v>1</v>
      </c>
      <c r="D824" s="1" t="s">
        <v>10251</v>
      </c>
      <c r="E824" s="1" t="s">
        <v>10252</v>
      </c>
      <c r="F824" s="1" t="s">
        <v>10253</v>
      </c>
      <c r="H824" s="2" t="s">
        <v>5</v>
      </c>
      <c r="I824" s="2" t="s">
        <v>6</v>
      </c>
      <c r="J824" s="2" t="s">
        <v>5</v>
      </c>
      <c r="K824" s="2" t="s">
        <v>5</v>
      </c>
      <c r="L824" s="2" t="s">
        <v>7</v>
      </c>
      <c r="M824" s="1" t="s">
        <v>10254</v>
      </c>
      <c r="N824" s="1" t="s">
        <v>10255</v>
      </c>
      <c r="O824" s="2" t="s">
        <v>291</v>
      </c>
      <c r="Q824" s="2" t="s">
        <v>1151</v>
      </c>
      <c r="R824" s="2" t="s">
        <v>5863</v>
      </c>
      <c r="T824" s="2" t="s">
        <v>13</v>
      </c>
      <c r="U824" s="3">
        <v>1</v>
      </c>
      <c r="V824" s="3">
        <v>1</v>
      </c>
      <c r="W824" s="4" t="s">
        <v>8639</v>
      </c>
      <c r="X824" s="4" t="s">
        <v>8639</v>
      </c>
      <c r="Y824" s="4" t="s">
        <v>8639</v>
      </c>
      <c r="Z824" s="4" t="s">
        <v>8639</v>
      </c>
      <c r="AA824" s="3">
        <v>7</v>
      </c>
      <c r="AB824" s="3">
        <v>7</v>
      </c>
      <c r="AC824" s="3">
        <v>7</v>
      </c>
      <c r="AD824" s="3">
        <v>1</v>
      </c>
      <c r="AE824" s="9">
        <v>1</v>
      </c>
      <c r="AF824" s="9">
        <v>0</v>
      </c>
      <c r="AG824" s="9">
        <v>0</v>
      </c>
      <c r="AH824" s="3">
        <v>0</v>
      </c>
      <c r="AI824" s="3">
        <v>0</v>
      </c>
      <c r="AJ824" s="3">
        <v>0</v>
      </c>
      <c r="AK824" s="3">
        <v>0</v>
      </c>
      <c r="AL824" s="3">
        <v>0</v>
      </c>
      <c r="AM824" s="3">
        <v>0</v>
      </c>
      <c r="AN824" s="3">
        <v>0</v>
      </c>
      <c r="AO824" s="3">
        <v>0</v>
      </c>
      <c r="AP824" s="3">
        <v>0</v>
      </c>
      <c r="AQ824" s="3">
        <v>0</v>
      </c>
      <c r="AR824" s="2" t="s">
        <v>5</v>
      </c>
      <c r="AS824" s="2" t="s">
        <v>5</v>
      </c>
      <c r="AU824" s="5" t="str">
        <f>HYPERLINK("https://creighton-primo.hosted.exlibrisgroup.com/primo-explore/search?tab=default_tab&amp;search_scope=EVERYTHING&amp;vid=01CRU&amp;lang=en_US&amp;offset=0&amp;query=any,contains,991004333309702656","Catalog Record")</f>
        <v>Catalog Record</v>
      </c>
      <c r="AV824" s="5" t="str">
        <f>HYPERLINK("http://www.worldcat.org/oclc/4590335","WorldCat Record")</f>
        <v>WorldCat Record</v>
      </c>
      <c r="AW824" s="2" t="s">
        <v>10256</v>
      </c>
      <c r="AX824" s="2" t="s">
        <v>10257</v>
      </c>
      <c r="AY824" s="2" t="s">
        <v>10258</v>
      </c>
      <c r="AZ824" s="2" t="s">
        <v>10258</v>
      </c>
      <c r="BA824" s="2" t="s">
        <v>10259</v>
      </c>
      <c r="BB824" s="2" t="s">
        <v>20</v>
      </c>
      <c r="BE824" s="2" t="s">
        <v>10260</v>
      </c>
      <c r="BF824" s="2" t="s">
        <v>10261</v>
      </c>
    </row>
    <row r="825" spans="1:58" ht="39.75" customHeight="1" x14ac:dyDescent="0.25">
      <c r="A825" s="7" t="s">
        <v>5</v>
      </c>
      <c r="B825" s="1" t="s">
        <v>0</v>
      </c>
      <c r="C825" s="1" t="s">
        <v>1</v>
      </c>
      <c r="D825" s="1" t="s">
        <v>10262</v>
      </c>
      <c r="E825" s="1" t="s">
        <v>10263</v>
      </c>
      <c r="F825" s="1" t="s">
        <v>10264</v>
      </c>
      <c r="H825" s="2" t="s">
        <v>5</v>
      </c>
      <c r="I825" s="2" t="s">
        <v>6</v>
      </c>
      <c r="J825" s="2" t="s">
        <v>5</v>
      </c>
      <c r="K825" s="2" t="s">
        <v>5</v>
      </c>
      <c r="L825" s="2" t="s">
        <v>7</v>
      </c>
      <c r="M825" s="1" t="s">
        <v>10265</v>
      </c>
      <c r="N825" s="1" t="s">
        <v>10266</v>
      </c>
      <c r="O825" s="2" t="s">
        <v>108</v>
      </c>
      <c r="Q825" s="2" t="s">
        <v>1151</v>
      </c>
      <c r="R825" s="2" t="s">
        <v>4146</v>
      </c>
      <c r="S825" s="1" t="s">
        <v>10267</v>
      </c>
      <c r="T825" s="2" t="s">
        <v>13</v>
      </c>
      <c r="U825" s="3">
        <v>1</v>
      </c>
      <c r="V825" s="3">
        <v>1</v>
      </c>
      <c r="W825" s="4" t="s">
        <v>5071</v>
      </c>
      <c r="X825" s="4" t="s">
        <v>5071</v>
      </c>
      <c r="Y825" s="4" t="s">
        <v>5071</v>
      </c>
      <c r="Z825" s="4" t="s">
        <v>5071</v>
      </c>
      <c r="AA825" s="3">
        <v>96</v>
      </c>
      <c r="AB825" s="3">
        <v>77</v>
      </c>
      <c r="AC825" s="3">
        <v>84</v>
      </c>
      <c r="AD825" s="3">
        <v>1</v>
      </c>
      <c r="AE825" s="9">
        <v>1</v>
      </c>
      <c r="AF825" s="9">
        <v>3</v>
      </c>
      <c r="AG825" s="9">
        <v>3</v>
      </c>
      <c r="AH825" s="3">
        <v>0</v>
      </c>
      <c r="AI825" s="3">
        <v>0</v>
      </c>
      <c r="AJ825" s="3">
        <v>1</v>
      </c>
      <c r="AK825" s="3">
        <v>1</v>
      </c>
      <c r="AL825" s="3">
        <v>3</v>
      </c>
      <c r="AM825" s="3">
        <v>3</v>
      </c>
      <c r="AN825" s="3">
        <v>0</v>
      </c>
      <c r="AO825" s="3">
        <v>0</v>
      </c>
      <c r="AP825" s="3">
        <v>0</v>
      </c>
      <c r="AQ825" s="3">
        <v>0</v>
      </c>
      <c r="AR825" s="2" t="s">
        <v>5</v>
      </c>
      <c r="AS825" s="2" t="s">
        <v>46</v>
      </c>
      <c r="AT825" s="5" t="str">
        <f>HYPERLINK("http://catalog.hathitrust.org/Record/007376986","HathiTrust Record")</f>
        <v>HathiTrust Record</v>
      </c>
      <c r="AU825" s="5" t="str">
        <f>HYPERLINK("https://creighton-primo.hosted.exlibrisgroup.com/primo-explore/search?tab=default_tab&amp;search_scope=EVERYTHING&amp;vid=01CRU&amp;lang=en_US&amp;offset=0&amp;query=any,contains,991004337219702656","Catalog Record")</f>
        <v>Catalog Record</v>
      </c>
      <c r="AV825" s="5" t="str">
        <f>HYPERLINK("http://www.worldcat.org/oclc/792740","WorldCat Record")</f>
        <v>WorldCat Record</v>
      </c>
      <c r="AW825" s="2" t="s">
        <v>10268</v>
      </c>
      <c r="AX825" s="2" t="s">
        <v>10269</v>
      </c>
      <c r="AY825" s="2" t="s">
        <v>10270</v>
      </c>
      <c r="AZ825" s="2" t="s">
        <v>10270</v>
      </c>
      <c r="BA825" s="2" t="s">
        <v>10271</v>
      </c>
      <c r="BB825" s="2" t="s">
        <v>20</v>
      </c>
      <c r="BE825" s="2" t="s">
        <v>10272</v>
      </c>
      <c r="BF825" s="2" t="s">
        <v>10273</v>
      </c>
    </row>
    <row r="826" spans="1:58" ht="39.75" customHeight="1" x14ac:dyDescent="0.25">
      <c r="A826" s="7" t="s">
        <v>5</v>
      </c>
      <c r="B826" s="1" t="s">
        <v>0</v>
      </c>
      <c r="C826" s="1" t="s">
        <v>1</v>
      </c>
      <c r="D826" s="1" t="s">
        <v>10274</v>
      </c>
      <c r="E826" s="1" t="s">
        <v>10275</v>
      </c>
      <c r="F826" s="1" t="s">
        <v>10276</v>
      </c>
      <c r="H826" s="2" t="s">
        <v>5</v>
      </c>
      <c r="I826" s="2" t="s">
        <v>6</v>
      </c>
      <c r="J826" s="2" t="s">
        <v>5</v>
      </c>
      <c r="K826" s="2" t="s">
        <v>5</v>
      </c>
      <c r="L826" s="2" t="s">
        <v>7</v>
      </c>
      <c r="M826" s="1" t="s">
        <v>10277</v>
      </c>
      <c r="N826" s="1" t="s">
        <v>10278</v>
      </c>
      <c r="O826" s="2" t="s">
        <v>6611</v>
      </c>
      <c r="Q826" s="2" t="s">
        <v>1151</v>
      </c>
      <c r="R826" s="2" t="s">
        <v>4146</v>
      </c>
      <c r="T826" s="2" t="s">
        <v>13</v>
      </c>
      <c r="U826" s="3">
        <v>1</v>
      </c>
      <c r="V826" s="3">
        <v>1</v>
      </c>
      <c r="W826" s="4" t="s">
        <v>10279</v>
      </c>
      <c r="X826" s="4" t="s">
        <v>10279</v>
      </c>
      <c r="Y826" s="4" t="s">
        <v>10152</v>
      </c>
      <c r="Z826" s="4" t="s">
        <v>10152</v>
      </c>
      <c r="AA826" s="3">
        <v>1</v>
      </c>
      <c r="AB826" s="3">
        <v>1</v>
      </c>
      <c r="AC826" s="3">
        <v>1</v>
      </c>
      <c r="AD826" s="3">
        <v>1</v>
      </c>
      <c r="AE826" s="9">
        <v>1</v>
      </c>
      <c r="AF826" s="9">
        <v>0</v>
      </c>
      <c r="AG826" s="9">
        <v>0</v>
      </c>
      <c r="AH826" s="3">
        <v>0</v>
      </c>
      <c r="AI826" s="3">
        <v>0</v>
      </c>
      <c r="AJ826" s="3">
        <v>0</v>
      </c>
      <c r="AK826" s="3">
        <v>0</v>
      </c>
      <c r="AL826" s="3">
        <v>0</v>
      </c>
      <c r="AM826" s="3">
        <v>0</v>
      </c>
      <c r="AN826" s="3">
        <v>0</v>
      </c>
      <c r="AO826" s="3">
        <v>0</v>
      </c>
      <c r="AP826" s="3">
        <v>0</v>
      </c>
      <c r="AQ826" s="3">
        <v>0</v>
      </c>
      <c r="AR826" s="2" t="s">
        <v>5</v>
      </c>
      <c r="AS826" s="2" t="s">
        <v>5</v>
      </c>
      <c r="AU826" s="5" t="str">
        <f>HYPERLINK("https://creighton-primo.hosted.exlibrisgroup.com/primo-explore/search?tab=default_tab&amp;search_scope=EVERYTHING&amp;vid=01CRU&amp;lang=en_US&amp;offset=0&amp;query=any,contains,991003932209702656","Catalog Record")</f>
        <v>Catalog Record</v>
      </c>
      <c r="AV826" s="5" t="str">
        <f>HYPERLINK("http://www.worldcat.org/oclc/50623834","WorldCat Record")</f>
        <v>WorldCat Record</v>
      </c>
      <c r="AW826" s="2" t="s">
        <v>10280</v>
      </c>
      <c r="AX826" s="2" t="s">
        <v>10281</v>
      </c>
      <c r="AY826" s="2" t="s">
        <v>10282</v>
      </c>
      <c r="AZ826" s="2" t="s">
        <v>10282</v>
      </c>
      <c r="BA826" s="2" t="s">
        <v>10283</v>
      </c>
      <c r="BB826" s="2" t="s">
        <v>20</v>
      </c>
      <c r="BD826" s="2" t="s">
        <v>10284</v>
      </c>
      <c r="BE826" s="2" t="s">
        <v>10285</v>
      </c>
      <c r="BF826" s="2" t="s">
        <v>10286</v>
      </c>
    </row>
    <row r="827" spans="1:58" ht="39.75" customHeight="1" x14ac:dyDescent="0.25">
      <c r="A827" s="7" t="s">
        <v>5</v>
      </c>
      <c r="B827" s="1" t="s">
        <v>0</v>
      </c>
      <c r="C827" s="1" t="s">
        <v>1</v>
      </c>
      <c r="D827" s="1" t="s">
        <v>10287</v>
      </c>
      <c r="E827" s="1" t="s">
        <v>10288</v>
      </c>
      <c r="F827" s="1" t="s">
        <v>10289</v>
      </c>
      <c r="H827" s="2" t="s">
        <v>5</v>
      </c>
      <c r="I827" s="2" t="s">
        <v>6</v>
      </c>
      <c r="J827" s="2" t="s">
        <v>5</v>
      </c>
      <c r="K827" s="2" t="s">
        <v>5</v>
      </c>
      <c r="L827" s="2" t="s">
        <v>7</v>
      </c>
      <c r="M827" s="1" t="s">
        <v>10290</v>
      </c>
      <c r="N827" s="1" t="s">
        <v>10291</v>
      </c>
      <c r="O827" s="2" t="s">
        <v>494</v>
      </c>
      <c r="Q827" s="2" t="s">
        <v>1151</v>
      </c>
      <c r="R827" s="2" t="s">
        <v>1152</v>
      </c>
      <c r="S827" s="1" t="s">
        <v>10292</v>
      </c>
      <c r="T827" s="2" t="s">
        <v>13</v>
      </c>
      <c r="U827" s="3">
        <v>1</v>
      </c>
      <c r="V827" s="3">
        <v>1</v>
      </c>
      <c r="W827" s="4" t="s">
        <v>6036</v>
      </c>
      <c r="X827" s="4" t="s">
        <v>6036</v>
      </c>
      <c r="Y827" s="4" t="s">
        <v>6036</v>
      </c>
      <c r="Z827" s="4" t="s">
        <v>6036</v>
      </c>
      <c r="AA827" s="3">
        <v>344</v>
      </c>
      <c r="AB827" s="3">
        <v>273</v>
      </c>
      <c r="AC827" s="3">
        <v>277</v>
      </c>
      <c r="AD827" s="3">
        <v>3</v>
      </c>
      <c r="AE827" s="9">
        <v>3</v>
      </c>
      <c r="AF827" s="9">
        <v>15</v>
      </c>
      <c r="AG827" s="9">
        <v>15</v>
      </c>
      <c r="AH827" s="3">
        <v>4</v>
      </c>
      <c r="AI827" s="3">
        <v>4</v>
      </c>
      <c r="AJ827" s="3">
        <v>4</v>
      </c>
      <c r="AK827" s="3">
        <v>4</v>
      </c>
      <c r="AL827" s="3">
        <v>9</v>
      </c>
      <c r="AM827" s="3">
        <v>9</v>
      </c>
      <c r="AN827" s="3">
        <v>2</v>
      </c>
      <c r="AO827" s="3">
        <v>2</v>
      </c>
      <c r="AP827" s="3">
        <v>0</v>
      </c>
      <c r="AQ827" s="3">
        <v>0</v>
      </c>
      <c r="AR827" s="2" t="s">
        <v>5</v>
      </c>
      <c r="AS827" s="2" t="s">
        <v>46</v>
      </c>
      <c r="AT827" s="5" t="str">
        <f>HYPERLINK("http://catalog.hathitrust.org/Record/000216713","HathiTrust Record")</f>
        <v>HathiTrust Record</v>
      </c>
      <c r="AU827" s="5" t="str">
        <f>HYPERLINK("https://creighton-primo.hosted.exlibrisgroup.com/primo-explore/search?tab=default_tab&amp;search_scope=EVERYTHING&amp;vid=01CRU&amp;lang=en_US&amp;offset=0&amp;query=any,contains,991004335089702656","Catalog Record")</f>
        <v>Catalog Record</v>
      </c>
      <c r="AV827" s="5" t="str">
        <f>HYPERLINK("http://www.worldcat.org/oclc/4569029","WorldCat Record")</f>
        <v>WorldCat Record</v>
      </c>
      <c r="AW827" s="2" t="s">
        <v>10293</v>
      </c>
      <c r="AX827" s="2" t="s">
        <v>10294</v>
      </c>
      <c r="AY827" s="2" t="s">
        <v>10295</v>
      </c>
      <c r="AZ827" s="2" t="s">
        <v>10295</v>
      </c>
      <c r="BA827" s="2" t="s">
        <v>10296</v>
      </c>
      <c r="BB827" s="2" t="s">
        <v>20</v>
      </c>
      <c r="BD827" s="2" t="s">
        <v>10297</v>
      </c>
      <c r="BE827" s="2" t="s">
        <v>10298</v>
      </c>
      <c r="BF827" s="2" t="s">
        <v>10299</v>
      </c>
    </row>
    <row r="828" spans="1:58" ht="39.75" customHeight="1" x14ac:dyDescent="0.25">
      <c r="A828" s="7" t="s">
        <v>5</v>
      </c>
      <c r="B828" s="1" t="s">
        <v>0</v>
      </c>
      <c r="C828" s="1" t="s">
        <v>1</v>
      </c>
      <c r="D828" s="1" t="s">
        <v>10300</v>
      </c>
      <c r="E828" s="1" t="s">
        <v>10301</v>
      </c>
      <c r="F828" s="1" t="s">
        <v>10302</v>
      </c>
      <c r="H828" s="2" t="s">
        <v>5</v>
      </c>
      <c r="I828" s="2" t="s">
        <v>6</v>
      </c>
      <c r="J828" s="2" t="s">
        <v>5</v>
      </c>
      <c r="K828" s="2" t="s">
        <v>5</v>
      </c>
      <c r="L828" s="2" t="s">
        <v>7</v>
      </c>
      <c r="M828" s="1" t="s">
        <v>10303</v>
      </c>
      <c r="N828" s="1" t="s">
        <v>10304</v>
      </c>
      <c r="O828" s="2" t="s">
        <v>554</v>
      </c>
      <c r="Q828" s="2" t="s">
        <v>1151</v>
      </c>
      <c r="R828" s="2" t="s">
        <v>3002</v>
      </c>
      <c r="S828" s="1" t="s">
        <v>10305</v>
      </c>
      <c r="T828" s="2" t="s">
        <v>13</v>
      </c>
      <c r="U828" s="3">
        <v>5</v>
      </c>
      <c r="V828" s="3">
        <v>5</v>
      </c>
      <c r="W828" s="4" t="s">
        <v>10306</v>
      </c>
      <c r="X828" s="4" t="s">
        <v>10306</v>
      </c>
      <c r="Y828" s="4" t="s">
        <v>2822</v>
      </c>
      <c r="Z828" s="4" t="s">
        <v>2822</v>
      </c>
      <c r="AA828" s="3">
        <v>216</v>
      </c>
      <c r="AB828" s="3">
        <v>173</v>
      </c>
      <c r="AC828" s="3">
        <v>177</v>
      </c>
      <c r="AD828" s="3">
        <v>2</v>
      </c>
      <c r="AE828" s="9">
        <v>2</v>
      </c>
      <c r="AF828" s="9">
        <v>4</v>
      </c>
      <c r="AG828" s="9">
        <v>4</v>
      </c>
      <c r="AH828" s="3">
        <v>2</v>
      </c>
      <c r="AI828" s="3">
        <v>2</v>
      </c>
      <c r="AJ828" s="3">
        <v>0</v>
      </c>
      <c r="AK828" s="3">
        <v>0</v>
      </c>
      <c r="AL828" s="3">
        <v>1</v>
      </c>
      <c r="AM828" s="3">
        <v>1</v>
      </c>
      <c r="AN828" s="3">
        <v>1</v>
      </c>
      <c r="AO828" s="3">
        <v>1</v>
      </c>
      <c r="AP828" s="3">
        <v>0</v>
      </c>
      <c r="AQ828" s="3">
        <v>0</v>
      </c>
      <c r="AR828" s="2" t="s">
        <v>5</v>
      </c>
      <c r="AS828" s="2" t="s">
        <v>46</v>
      </c>
      <c r="AT828" s="5" t="str">
        <f>HYPERLINK("http://catalog.hathitrust.org/Record/101095819","HathiTrust Record")</f>
        <v>HathiTrust Record</v>
      </c>
      <c r="AU828" s="5" t="str">
        <f>HYPERLINK("https://creighton-primo.hosted.exlibrisgroup.com/primo-explore/search?tab=default_tab&amp;search_scope=EVERYTHING&amp;vid=01CRU&amp;lang=en_US&amp;offset=0&amp;query=any,contains,991000716409702656","Catalog Record")</f>
        <v>Catalog Record</v>
      </c>
      <c r="AV828" s="5" t="str">
        <f>HYPERLINK("http://www.worldcat.org/oclc/12634499","WorldCat Record")</f>
        <v>WorldCat Record</v>
      </c>
      <c r="AW828" s="2" t="s">
        <v>10307</v>
      </c>
      <c r="AX828" s="2" t="s">
        <v>10308</v>
      </c>
      <c r="AY828" s="2" t="s">
        <v>10309</v>
      </c>
      <c r="AZ828" s="2" t="s">
        <v>10309</v>
      </c>
      <c r="BA828" s="2" t="s">
        <v>10310</v>
      </c>
      <c r="BB828" s="2" t="s">
        <v>20</v>
      </c>
      <c r="BD828" s="2" t="s">
        <v>10311</v>
      </c>
      <c r="BE828" s="2" t="s">
        <v>10312</v>
      </c>
      <c r="BF828" s="2" t="s">
        <v>10313</v>
      </c>
    </row>
    <row r="829" spans="1:58" ht="39.75" customHeight="1" x14ac:dyDescent="0.25">
      <c r="A829" s="7" t="s">
        <v>5</v>
      </c>
      <c r="B829" s="1" t="s">
        <v>0</v>
      </c>
      <c r="C829" s="1" t="s">
        <v>1</v>
      </c>
      <c r="D829" s="1" t="s">
        <v>10314</v>
      </c>
      <c r="E829" s="1" t="s">
        <v>10315</v>
      </c>
      <c r="F829" s="1" t="s">
        <v>10316</v>
      </c>
      <c r="H829" s="2" t="s">
        <v>5</v>
      </c>
      <c r="I829" s="2" t="s">
        <v>6</v>
      </c>
      <c r="J829" s="2" t="s">
        <v>5</v>
      </c>
      <c r="K829" s="2" t="s">
        <v>5</v>
      </c>
      <c r="L829" s="2" t="s">
        <v>7</v>
      </c>
      <c r="M829" s="1" t="s">
        <v>10317</v>
      </c>
      <c r="N829" s="1" t="s">
        <v>10318</v>
      </c>
      <c r="O829" s="2" t="s">
        <v>639</v>
      </c>
      <c r="P829" s="1" t="s">
        <v>5911</v>
      </c>
      <c r="Q829" s="2" t="s">
        <v>1151</v>
      </c>
      <c r="R829" s="2" t="s">
        <v>5863</v>
      </c>
      <c r="S829" s="1" t="s">
        <v>6389</v>
      </c>
      <c r="T829" s="2" t="s">
        <v>13</v>
      </c>
      <c r="U829" s="3">
        <v>2</v>
      </c>
      <c r="V829" s="3">
        <v>2</v>
      </c>
      <c r="W829" s="4" t="s">
        <v>3793</v>
      </c>
      <c r="X829" s="4" t="s">
        <v>3793</v>
      </c>
      <c r="Y829" s="4" t="s">
        <v>5361</v>
      </c>
      <c r="Z829" s="4" t="s">
        <v>5361</v>
      </c>
      <c r="AA829" s="3">
        <v>168</v>
      </c>
      <c r="AB829" s="3">
        <v>137</v>
      </c>
      <c r="AC829" s="3">
        <v>137</v>
      </c>
      <c r="AD829" s="3">
        <v>1</v>
      </c>
      <c r="AE829" s="9">
        <v>1</v>
      </c>
      <c r="AF829" s="9">
        <v>3</v>
      </c>
      <c r="AG829" s="9">
        <v>3</v>
      </c>
      <c r="AH829" s="3">
        <v>0</v>
      </c>
      <c r="AI829" s="3">
        <v>0</v>
      </c>
      <c r="AJ829" s="3">
        <v>2</v>
      </c>
      <c r="AK829" s="3">
        <v>2</v>
      </c>
      <c r="AL829" s="3">
        <v>2</v>
      </c>
      <c r="AM829" s="3">
        <v>2</v>
      </c>
      <c r="AN829" s="3">
        <v>0</v>
      </c>
      <c r="AO829" s="3">
        <v>0</v>
      </c>
      <c r="AP829" s="3">
        <v>0</v>
      </c>
      <c r="AQ829" s="3">
        <v>0</v>
      </c>
      <c r="AR829" s="2" t="s">
        <v>5</v>
      </c>
      <c r="AS829" s="2" t="s">
        <v>5</v>
      </c>
      <c r="AU829" s="5" t="str">
        <f>HYPERLINK("https://creighton-primo.hosted.exlibrisgroup.com/primo-explore/search?tab=default_tab&amp;search_scope=EVERYTHING&amp;vid=01CRU&amp;lang=en_US&amp;offset=0&amp;query=any,contains,991001426259702656","Catalog Record")</f>
        <v>Catalog Record</v>
      </c>
      <c r="AV829" s="5" t="str">
        <f>HYPERLINK("http://www.worldcat.org/oclc/19028265","WorldCat Record")</f>
        <v>WorldCat Record</v>
      </c>
      <c r="AW829" s="2" t="s">
        <v>10319</v>
      </c>
      <c r="AX829" s="2" t="s">
        <v>10320</v>
      </c>
      <c r="AY829" s="2" t="s">
        <v>10321</v>
      </c>
      <c r="AZ829" s="2" t="s">
        <v>10321</v>
      </c>
      <c r="BA829" s="2" t="s">
        <v>10322</v>
      </c>
      <c r="BB829" s="2" t="s">
        <v>20</v>
      </c>
      <c r="BD829" s="2" t="s">
        <v>10323</v>
      </c>
      <c r="BE829" s="2" t="s">
        <v>10324</v>
      </c>
      <c r="BF829" s="2" t="s">
        <v>10325</v>
      </c>
    </row>
    <row r="830" spans="1:58" ht="39.75" customHeight="1" x14ac:dyDescent="0.25">
      <c r="A830" s="7" t="s">
        <v>5</v>
      </c>
      <c r="B830" s="1" t="s">
        <v>0</v>
      </c>
      <c r="C830" s="1" t="s">
        <v>1</v>
      </c>
      <c r="D830" s="1" t="s">
        <v>10326</v>
      </c>
      <c r="E830" s="1" t="s">
        <v>10327</v>
      </c>
      <c r="F830" s="1" t="s">
        <v>10328</v>
      </c>
      <c r="H830" s="2" t="s">
        <v>5</v>
      </c>
      <c r="I830" s="2" t="s">
        <v>6</v>
      </c>
      <c r="J830" s="2" t="s">
        <v>5</v>
      </c>
      <c r="K830" s="2" t="s">
        <v>5</v>
      </c>
      <c r="L830" s="2" t="s">
        <v>7</v>
      </c>
      <c r="M830" s="1" t="s">
        <v>10329</v>
      </c>
      <c r="N830" s="1" t="s">
        <v>10330</v>
      </c>
      <c r="O830" s="2" t="s">
        <v>886</v>
      </c>
      <c r="P830" s="1" t="s">
        <v>5373</v>
      </c>
      <c r="Q830" s="2" t="s">
        <v>1151</v>
      </c>
      <c r="R830" s="2" t="s">
        <v>1152</v>
      </c>
      <c r="S830" s="1" t="s">
        <v>10331</v>
      </c>
      <c r="T830" s="2" t="s">
        <v>13</v>
      </c>
      <c r="U830" s="3">
        <v>2</v>
      </c>
      <c r="V830" s="3">
        <v>2</v>
      </c>
      <c r="W830" s="4" t="s">
        <v>5071</v>
      </c>
      <c r="X830" s="4" t="s">
        <v>5071</v>
      </c>
      <c r="Y830" s="4" t="s">
        <v>5071</v>
      </c>
      <c r="Z830" s="4" t="s">
        <v>5071</v>
      </c>
      <c r="AA830" s="3">
        <v>80</v>
      </c>
      <c r="AB830" s="3">
        <v>68</v>
      </c>
      <c r="AC830" s="3">
        <v>311</v>
      </c>
      <c r="AD830" s="3">
        <v>1</v>
      </c>
      <c r="AE830" s="9">
        <v>4</v>
      </c>
      <c r="AF830" s="9">
        <v>1</v>
      </c>
      <c r="AG830" s="9">
        <v>17</v>
      </c>
      <c r="AH830" s="3">
        <v>0</v>
      </c>
      <c r="AI830" s="3">
        <v>5</v>
      </c>
      <c r="AJ830" s="3">
        <v>1</v>
      </c>
      <c r="AK830" s="3">
        <v>4</v>
      </c>
      <c r="AL830" s="3">
        <v>1</v>
      </c>
      <c r="AM830" s="3">
        <v>9</v>
      </c>
      <c r="AN830" s="3">
        <v>0</v>
      </c>
      <c r="AO830" s="3">
        <v>3</v>
      </c>
      <c r="AP830" s="3">
        <v>0</v>
      </c>
      <c r="AQ830" s="3">
        <v>0</v>
      </c>
      <c r="AR830" s="2" t="s">
        <v>5</v>
      </c>
      <c r="AS830" s="2" t="s">
        <v>46</v>
      </c>
      <c r="AT830" s="5" t="str">
        <f>HYPERLINK("http://catalog.hathitrust.org/Record/001519565","HathiTrust Record")</f>
        <v>HathiTrust Record</v>
      </c>
      <c r="AU830" s="5" t="str">
        <f>HYPERLINK("https://creighton-primo.hosted.exlibrisgroup.com/primo-explore/search?tab=default_tab&amp;search_scope=EVERYTHING&amp;vid=01CRU&amp;lang=en_US&amp;offset=0&amp;query=any,contains,991004336999702656","Catalog Record")</f>
        <v>Catalog Record</v>
      </c>
      <c r="AV830" s="5" t="str">
        <f>HYPERLINK("http://www.worldcat.org/oclc/1722906","WorldCat Record")</f>
        <v>WorldCat Record</v>
      </c>
      <c r="AW830" s="2" t="s">
        <v>10332</v>
      </c>
      <c r="AX830" s="2" t="s">
        <v>10333</v>
      </c>
      <c r="AY830" s="2" t="s">
        <v>10334</v>
      </c>
      <c r="AZ830" s="2" t="s">
        <v>10334</v>
      </c>
      <c r="BA830" s="2" t="s">
        <v>10335</v>
      </c>
      <c r="BB830" s="2" t="s">
        <v>20</v>
      </c>
      <c r="BD830" s="2" t="s">
        <v>10336</v>
      </c>
      <c r="BE830" s="2" t="s">
        <v>10337</v>
      </c>
      <c r="BF830" s="2" t="s">
        <v>10338</v>
      </c>
    </row>
    <row r="831" spans="1:58" ht="39.75" customHeight="1" x14ac:dyDescent="0.25">
      <c r="A831" s="7" t="s">
        <v>5</v>
      </c>
      <c r="B831" s="1" t="s">
        <v>0</v>
      </c>
      <c r="C831" s="1" t="s">
        <v>1</v>
      </c>
      <c r="D831" s="1" t="s">
        <v>10339</v>
      </c>
      <c r="E831" s="1" t="s">
        <v>10340</v>
      </c>
      <c r="F831" s="1" t="s">
        <v>10341</v>
      </c>
      <c r="H831" s="2" t="s">
        <v>5</v>
      </c>
      <c r="I831" s="2" t="s">
        <v>6</v>
      </c>
      <c r="J831" s="2" t="s">
        <v>5</v>
      </c>
      <c r="K831" s="2" t="s">
        <v>5</v>
      </c>
      <c r="L831" s="2" t="s">
        <v>7</v>
      </c>
      <c r="M831" s="1" t="s">
        <v>10342</v>
      </c>
      <c r="N831" s="1" t="s">
        <v>10343</v>
      </c>
      <c r="O831" s="2" t="s">
        <v>6611</v>
      </c>
      <c r="P831" s="1" t="s">
        <v>2170</v>
      </c>
      <c r="Q831" s="2" t="s">
        <v>60</v>
      </c>
      <c r="R831" s="2" t="s">
        <v>61</v>
      </c>
      <c r="T831" s="2" t="s">
        <v>13</v>
      </c>
      <c r="U831" s="3">
        <v>6</v>
      </c>
      <c r="V831" s="3">
        <v>6</v>
      </c>
      <c r="W831" s="4" t="s">
        <v>10344</v>
      </c>
      <c r="X831" s="4" t="s">
        <v>10344</v>
      </c>
      <c r="Y831" s="4" t="s">
        <v>10345</v>
      </c>
      <c r="Z831" s="4" t="s">
        <v>10345</v>
      </c>
      <c r="AA831" s="3">
        <v>419</v>
      </c>
      <c r="AB831" s="3">
        <v>365</v>
      </c>
      <c r="AC831" s="3">
        <v>374</v>
      </c>
      <c r="AD831" s="3">
        <v>3</v>
      </c>
      <c r="AE831" s="9">
        <v>3</v>
      </c>
      <c r="AF831" s="9">
        <v>22</v>
      </c>
      <c r="AG831" s="9">
        <v>22</v>
      </c>
      <c r="AH831" s="3">
        <v>9</v>
      </c>
      <c r="AI831" s="3">
        <v>9</v>
      </c>
      <c r="AJ831" s="3">
        <v>5</v>
      </c>
      <c r="AK831" s="3">
        <v>5</v>
      </c>
      <c r="AL831" s="3">
        <v>14</v>
      </c>
      <c r="AM831" s="3">
        <v>14</v>
      </c>
      <c r="AN831" s="3">
        <v>2</v>
      </c>
      <c r="AO831" s="3">
        <v>2</v>
      </c>
      <c r="AP831" s="3">
        <v>0</v>
      </c>
      <c r="AQ831" s="3">
        <v>0</v>
      </c>
      <c r="AR831" s="2" t="s">
        <v>5</v>
      </c>
      <c r="AS831" s="2" t="s">
        <v>5</v>
      </c>
      <c r="AU831" s="5" t="str">
        <f>HYPERLINK("https://creighton-primo.hosted.exlibrisgroup.com/primo-explore/search?tab=default_tab&amp;search_scope=EVERYTHING&amp;vid=01CRU&amp;lang=en_US&amp;offset=0&amp;query=any,contains,991002475519702656","Catalog Record")</f>
        <v>Catalog Record</v>
      </c>
      <c r="AV831" s="5" t="str">
        <f>HYPERLINK("http://www.worldcat.org/oclc/32237034","WorldCat Record")</f>
        <v>WorldCat Record</v>
      </c>
      <c r="AW831" s="2" t="s">
        <v>10346</v>
      </c>
      <c r="AX831" s="2" t="s">
        <v>10347</v>
      </c>
      <c r="AY831" s="2" t="s">
        <v>10348</v>
      </c>
      <c r="AZ831" s="2" t="s">
        <v>10348</v>
      </c>
      <c r="BA831" s="2" t="s">
        <v>10349</v>
      </c>
      <c r="BB831" s="2" t="s">
        <v>20</v>
      </c>
      <c r="BD831" s="2" t="s">
        <v>10350</v>
      </c>
      <c r="BE831" s="2" t="s">
        <v>10351</v>
      </c>
      <c r="BF831" s="2" t="s">
        <v>10352</v>
      </c>
    </row>
    <row r="832" spans="1:58" ht="39.75" customHeight="1" x14ac:dyDescent="0.25">
      <c r="A832" s="7" t="s">
        <v>5</v>
      </c>
      <c r="B832" s="1" t="s">
        <v>0</v>
      </c>
      <c r="C832" s="1" t="s">
        <v>1</v>
      </c>
      <c r="D832" s="1" t="s">
        <v>10353</v>
      </c>
      <c r="E832" s="1" t="s">
        <v>10354</v>
      </c>
      <c r="F832" s="1" t="s">
        <v>10355</v>
      </c>
      <c r="H832" s="2" t="s">
        <v>5</v>
      </c>
      <c r="I832" s="2" t="s">
        <v>6</v>
      </c>
      <c r="J832" s="2" t="s">
        <v>5</v>
      </c>
      <c r="K832" s="2" t="s">
        <v>5</v>
      </c>
      <c r="L832" s="2" t="s">
        <v>7</v>
      </c>
      <c r="M832" s="1" t="s">
        <v>10356</v>
      </c>
      <c r="N832" s="1" t="s">
        <v>10357</v>
      </c>
      <c r="O832" s="2" t="s">
        <v>554</v>
      </c>
      <c r="Q832" s="2" t="s">
        <v>1151</v>
      </c>
      <c r="R832" s="2" t="s">
        <v>5360</v>
      </c>
      <c r="T832" s="2" t="s">
        <v>13</v>
      </c>
      <c r="U832" s="3">
        <v>2</v>
      </c>
      <c r="V832" s="3">
        <v>2</v>
      </c>
      <c r="W832" s="4" t="s">
        <v>3793</v>
      </c>
      <c r="X832" s="4" t="s">
        <v>3793</v>
      </c>
      <c r="Y832" s="4" t="s">
        <v>5361</v>
      </c>
      <c r="Z832" s="4" t="s">
        <v>5361</v>
      </c>
      <c r="AA832" s="3">
        <v>138</v>
      </c>
      <c r="AB832" s="3">
        <v>98</v>
      </c>
      <c r="AC832" s="3">
        <v>105</v>
      </c>
      <c r="AD832" s="3">
        <v>1</v>
      </c>
      <c r="AE832" s="9">
        <v>1</v>
      </c>
      <c r="AF832" s="9">
        <v>2</v>
      </c>
      <c r="AG832" s="9">
        <v>2</v>
      </c>
      <c r="AH832" s="3">
        <v>0</v>
      </c>
      <c r="AI832" s="3">
        <v>0</v>
      </c>
      <c r="AJ832" s="3">
        <v>1</v>
      </c>
      <c r="AK832" s="3">
        <v>1</v>
      </c>
      <c r="AL832" s="3">
        <v>1</v>
      </c>
      <c r="AM832" s="3">
        <v>1</v>
      </c>
      <c r="AN832" s="3">
        <v>0</v>
      </c>
      <c r="AO832" s="3">
        <v>0</v>
      </c>
      <c r="AP832" s="3">
        <v>0</v>
      </c>
      <c r="AQ832" s="3">
        <v>0</v>
      </c>
      <c r="AR832" s="2" t="s">
        <v>5</v>
      </c>
      <c r="AS832" s="2" t="s">
        <v>46</v>
      </c>
      <c r="AT832" s="5" t="str">
        <f>HYPERLINK("http://catalog.hathitrust.org/Record/101096042","HathiTrust Record")</f>
        <v>HathiTrust Record</v>
      </c>
      <c r="AU832" s="5" t="str">
        <f>HYPERLINK("https://creighton-primo.hosted.exlibrisgroup.com/primo-explore/search?tab=default_tab&amp;search_scope=EVERYTHING&amp;vid=01CRU&amp;lang=en_US&amp;offset=0&amp;query=any,contains,991000748859702656","Catalog Record")</f>
        <v>Catalog Record</v>
      </c>
      <c r="AV832" s="5" t="str">
        <f>HYPERLINK("http://www.worldcat.org/oclc/12899050","WorldCat Record")</f>
        <v>WorldCat Record</v>
      </c>
      <c r="AW832" s="2" t="s">
        <v>10358</v>
      </c>
      <c r="AX832" s="2" t="s">
        <v>10359</v>
      </c>
      <c r="AY832" s="2" t="s">
        <v>10360</v>
      </c>
      <c r="AZ832" s="2" t="s">
        <v>10360</v>
      </c>
      <c r="BA832" s="2" t="s">
        <v>10361</v>
      </c>
      <c r="BB832" s="2" t="s">
        <v>20</v>
      </c>
      <c r="BE832" s="2" t="s">
        <v>10362</v>
      </c>
      <c r="BF832" s="2" t="s">
        <v>10363</v>
      </c>
    </row>
    <row r="833" spans="1:58" ht="39.75" customHeight="1" x14ac:dyDescent="0.25">
      <c r="A833" s="7" t="s">
        <v>5</v>
      </c>
      <c r="B833" s="1" t="s">
        <v>0</v>
      </c>
      <c r="C833" s="1" t="s">
        <v>1</v>
      </c>
      <c r="D833" s="1" t="s">
        <v>10364</v>
      </c>
      <c r="E833" s="1" t="s">
        <v>10365</v>
      </c>
      <c r="F833" s="1" t="s">
        <v>10366</v>
      </c>
      <c r="H833" s="2" t="s">
        <v>5</v>
      </c>
      <c r="I833" s="2" t="s">
        <v>6</v>
      </c>
      <c r="J833" s="2" t="s">
        <v>5</v>
      </c>
      <c r="K833" s="2" t="s">
        <v>5</v>
      </c>
      <c r="L833" s="2" t="s">
        <v>7</v>
      </c>
      <c r="M833" s="1" t="s">
        <v>6387</v>
      </c>
      <c r="N833" s="1" t="s">
        <v>5751</v>
      </c>
      <c r="O833" s="2" t="s">
        <v>2610</v>
      </c>
      <c r="Q833" s="2" t="s">
        <v>1151</v>
      </c>
      <c r="R833" s="2" t="s">
        <v>4146</v>
      </c>
      <c r="S833" s="1" t="s">
        <v>10367</v>
      </c>
      <c r="T833" s="2" t="s">
        <v>13</v>
      </c>
      <c r="U833" s="3">
        <v>1</v>
      </c>
      <c r="V833" s="3">
        <v>1</v>
      </c>
      <c r="W833" s="4" t="s">
        <v>8667</v>
      </c>
      <c r="X833" s="4" t="s">
        <v>8667</v>
      </c>
      <c r="Y833" s="4" t="s">
        <v>8667</v>
      </c>
      <c r="Z833" s="4" t="s">
        <v>8667</v>
      </c>
      <c r="AA833" s="3">
        <v>47</v>
      </c>
      <c r="AB833" s="3">
        <v>34</v>
      </c>
      <c r="AC833" s="3">
        <v>41</v>
      </c>
      <c r="AD833" s="3">
        <v>1</v>
      </c>
      <c r="AE833" s="9">
        <v>1</v>
      </c>
      <c r="AF833" s="9">
        <v>1</v>
      </c>
      <c r="AG833" s="9">
        <v>1</v>
      </c>
      <c r="AH833" s="3">
        <v>0</v>
      </c>
      <c r="AI833" s="3">
        <v>0</v>
      </c>
      <c r="AJ833" s="3">
        <v>0</v>
      </c>
      <c r="AK833" s="3">
        <v>0</v>
      </c>
      <c r="AL833" s="3">
        <v>1</v>
      </c>
      <c r="AM833" s="3">
        <v>1</v>
      </c>
      <c r="AN833" s="3">
        <v>0</v>
      </c>
      <c r="AO833" s="3">
        <v>0</v>
      </c>
      <c r="AP833" s="3">
        <v>0</v>
      </c>
      <c r="AQ833" s="3">
        <v>0</v>
      </c>
      <c r="AR833" s="2" t="s">
        <v>5</v>
      </c>
      <c r="AS833" s="2" t="s">
        <v>5</v>
      </c>
      <c r="AU833" s="5" t="str">
        <f>HYPERLINK("https://creighton-primo.hosted.exlibrisgroup.com/primo-explore/search?tab=default_tab&amp;search_scope=EVERYTHING&amp;vid=01CRU&amp;lang=en_US&amp;offset=0&amp;query=any,contains,991004338229702656","Catalog Record")</f>
        <v>Catalog Record</v>
      </c>
      <c r="AV833" s="5" t="str">
        <f>HYPERLINK("http://www.worldcat.org/oclc/22660791","WorldCat Record")</f>
        <v>WorldCat Record</v>
      </c>
      <c r="AW833" s="2" t="s">
        <v>10368</v>
      </c>
      <c r="AX833" s="2" t="s">
        <v>10369</v>
      </c>
      <c r="AY833" s="2" t="s">
        <v>10370</v>
      </c>
      <c r="AZ833" s="2" t="s">
        <v>10370</v>
      </c>
      <c r="BA833" s="2" t="s">
        <v>10371</v>
      </c>
      <c r="BB833" s="2" t="s">
        <v>20</v>
      </c>
      <c r="BE833" s="2" t="s">
        <v>10372</v>
      </c>
      <c r="BF833" s="2" t="s">
        <v>10373</v>
      </c>
    </row>
    <row r="834" spans="1:58" ht="39.75" customHeight="1" x14ac:dyDescent="0.25">
      <c r="A834" s="7" t="s">
        <v>5</v>
      </c>
      <c r="B834" s="1" t="s">
        <v>0</v>
      </c>
      <c r="C834" s="1" t="s">
        <v>1</v>
      </c>
      <c r="D834" s="1" t="s">
        <v>10374</v>
      </c>
      <c r="E834" s="1" t="s">
        <v>10375</v>
      </c>
      <c r="F834" s="1" t="s">
        <v>10376</v>
      </c>
      <c r="H834" s="2" t="s">
        <v>5</v>
      </c>
      <c r="I834" s="2" t="s">
        <v>6</v>
      </c>
      <c r="J834" s="2" t="s">
        <v>5</v>
      </c>
      <c r="K834" s="2" t="s">
        <v>5</v>
      </c>
      <c r="L834" s="2" t="s">
        <v>7</v>
      </c>
      <c r="M834" s="1" t="s">
        <v>10377</v>
      </c>
      <c r="N834" s="1" t="s">
        <v>10378</v>
      </c>
      <c r="O834" s="2" t="s">
        <v>452</v>
      </c>
      <c r="P834" s="1" t="s">
        <v>2908</v>
      </c>
      <c r="Q834" s="2" t="s">
        <v>1151</v>
      </c>
      <c r="R834" s="2" t="s">
        <v>4146</v>
      </c>
      <c r="S834" s="1" t="s">
        <v>10379</v>
      </c>
      <c r="T834" s="2" t="s">
        <v>13</v>
      </c>
      <c r="U834" s="3">
        <v>1</v>
      </c>
      <c r="V834" s="3">
        <v>1</v>
      </c>
      <c r="W834" s="4" t="s">
        <v>10380</v>
      </c>
      <c r="X834" s="4" t="s">
        <v>10380</v>
      </c>
      <c r="Y834" s="4" t="s">
        <v>10381</v>
      </c>
      <c r="Z834" s="4" t="s">
        <v>10381</v>
      </c>
      <c r="AA834" s="3">
        <v>63</v>
      </c>
      <c r="AB834" s="3">
        <v>48</v>
      </c>
      <c r="AC834" s="3">
        <v>50</v>
      </c>
      <c r="AD834" s="3">
        <v>1</v>
      </c>
      <c r="AE834" s="9">
        <v>1</v>
      </c>
      <c r="AF834" s="9">
        <v>2</v>
      </c>
      <c r="AG834" s="9">
        <v>2</v>
      </c>
      <c r="AH834" s="3">
        <v>0</v>
      </c>
      <c r="AI834" s="3">
        <v>0</v>
      </c>
      <c r="AJ834" s="3">
        <v>1</v>
      </c>
      <c r="AK834" s="3">
        <v>1</v>
      </c>
      <c r="AL834" s="3">
        <v>2</v>
      </c>
      <c r="AM834" s="3">
        <v>2</v>
      </c>
      <c r="AN834" s="3">
        <v>0</v>
      </c>
      <c r="AO834" s="3">
        <v>0</v>
      </c>
      <c r="AP834" s="3">
        <v>0</v>
      </c>
      <c r="AQ834" s="3">
        <v>0</v>
      </c>
      <c r="AR834" s="2" t="s">
        <v>5</v>
      </c>
      <c r="AS834" s="2" t="s">
        <v>46</v>
      </c>
      <c r="AT834" s="5" t="str">
        <f>HYPERLINK("http://catalog.hathitrust.org/Record/101096075","HathiTrust Record")</f>
        <v>HathiTrust Record</v>
      </c>
      <c r="AU834" s="5" t="str">
        <f>HYPERLINK("https://creighton-primo.hosted.exlibrisgroup.com/primo-explore/search?tab=default_tab&amp;search_scope=EVERYTHING&amp;vid=01CRU&amp;lang=en_US&amp;offset=0&amp;query=any,contains,991003694989702656","Catalog Record")</f>
        <v>Catalog Record</v>
      </c>
      <c r="AV834" s="5" t="str">
        <f>HYPERLINK("http://www.worldcat.org/oclc/36029911","WorldCat Record")</f>
        <v>WorldCat Record</v>
      </c>
      <c r="AW834" s="2" t="s">
        <v>10382</v>
      </c>
      <c r="AX834" s="2" t="s">
        <v>10383</v>
      </c>
      <c r="AY834" s="2" t="s">
        <v>10384</v>
      </c>
      <c r="AZ834" s="2" t="s">
        <v>10384</v>
      </c>
      <c r="BA834" s="2" t="s">
        <v>10385</v>
      </c>
      <c r="BB834" s="2" t="s">
        <v>20</v>
      </c>
      <c r="BD834" s="2" t="s">
        <v>10386</v>
      </c>
      <c r="BE834" s="2" t="s">
        <v>10387</v>
      </c>
      <c r="BF834" s="2" t="s">
        <v>10388</v>
      </c>
    </row>
    <row r="835" spans="1:58" ht="39.75" customHeight="1" x14ac:dyDescent="0.25">
      <c r="A835" s="7" t="s">
        <v>5</v>
      </c>
      <c r="B835" s="1" t="s">
        <v>0</v>
      </c>
      <c r="C835" s="1" t="s">
        <v>1</v>
      </c>
      <c r="D835" s="1" t="s">
        <v>10389</v>
      </c>
      <c r="E835" s="1" t="s">
        <v>10390</v>
      </c>
      <c r="F835" s="1" t="s">
        <v>10391</v>
      </c>
      <c r="H835" s="2" t="s">
        <v>5</v>
      </c>
      <c r="I835" s="2" t="s">
        <v>6</v>
      </c>
      <c r="J835" s="2" t="s">
        <v>5</v>
      </c>
      <c r="K835" s="2" t="s">
        <v>5</v>
      </c>
      <c r="L835" s="2" t="s">
        <v>7</v>
      </c>
      <c r="M835" s="1" t="s">
        <v>10392</v>
      </c>
      <c r="N835" s="1" t="s">
        <v>10393</v>
      </c>
      <c r="O835" s="2" t="s">
        <v>554</v>
      </c>
      <c r="P835" s="1" t="s">
        <v>7391</v>
      </c>
      <c r="Q835" s="2" t="s">
        <v>1151</v>
      </c>
      <c r="R835" s="2" t="s">
        <v>5403</v>
      </c>
      <c r="S835" s="1" t="s">
        <v>10033</v>
      </c>
      <c r="T835" s="2" t="s">
        <v>13</v>
      </c>
      <c r="U835" s="3">
        <v>3</v>
      </c>
      <c r="V835" s="3">
        <v>3</v>
      </c>
      <c r="W835" s="4" t="s">
        <v>10394</v>
      </c>
      <c r="X835" s="4" t="s">
        <v>10394</v>
      </c>
      <c r="Y835" s="4" t="s">
        <v>10195</v>
      </c>
      <c r="Z835" s="4" t="s">
        <v>10195</v>
      </c>
      <c r="AA835" s="3">
        <v>161</v>
      </c>
      <c r="AB835" s="3">
        <v>138</v>
      </c>
      <c r="AC835" s="3">
        <v>144</v>
      </c>
      <c r="AD835" s="3">
        <v>2</v>
      </c>
      <c r="AE835" s="9">
        <v>2</v>
      </c>
      <c r="AF835" s="9">
        <v>8</v>
      </c>
      <c r="AG835" s="9">
        <v>8</v>
      </c>
      <c r="AH835" s="3">
        <v>1</v>
      </c>
      <c r="AI835" s="3">
        <v>1</v>
      </c>
      <c r="AJ835" s="3">
        <v>3</v>
      </c>
      <c r="AK835" s="3">
        <v>3</v>
      </c>
      <c r="AL835" s="3">
        <v>4</v>
      </c>
      <c r="AM835" s="3">
        <v>4</v>
      </c>
      <c r="AN835" s="3">
        <v>1</v>
      </c>
      <c r="AO835" s="3">
        <v>1</v>
      </c>
      <c r="AP835" s="3">
        <v>0</v>
      </c>
      <c r="AQ835" s="3">
        <v>0</v>
      </c>
      <c r="AR835" s="2" t="s">
        <v>5</v>
      </c>
      <c r="AS835" s="2" t="s">
        <v>46</v>
      </c>
      <c r="AT835" s="5" t="str">
        <f>HYPERLINK("http://catalog.hathitrust.org/Record/101096081","HathiTrust Record")</f>
        <v>HathiTrust Record</v>
      </c>
      <c r="AU835" s="5" t="str">
        <f>HYPERLINK("https://creighton-primo.hosted.exlibrisgroup.com/primo-explore/search?tab=default_tab&amp;search_scope=EVERYTHING&amp;vid=01CRU&amp;lang=en_US&amp;offset=0&amp;query=any,contains,991000933719702656","Catalog Record")</f>
        <v>Catalog Record</v>
      </c>
      <c r="AV835" s="5" t="str">
        <f>HYPERLINK("http://www.worldcat.org/oclc/14347647","WorldCat Record")</f>
        <v>WorldCat Record</v>
      </c>
      <c r="AW835" s="2" t="s">
        <v>10395</v>
      </c>
      <c r="AX835" s="2" t="s">
        <v>10396</v>
      </c>
      <c r="AY835" s="2" t="s">
        <v>10397</v>
      </c>
      <c r="AZ835" s="2" t="s">
        <v>10397</v>
      </c>
      <c r="BA835" s="2" t="s">
        <v>10398</v>
      </c>
      <c r="BB835" s="2" t="s">
        <v>20</v>
      </c>
      <c r="BD835" s="2" t="s">
        <v>10399</v>
      </c>
      <c r="BE835" s="2" t="s">
        <v>10400</v>
      </c>
      <c r="BF835" s="2" t="s">
        <v>10401</v>
      </c>
    </row>
    <row r="836" spans="1:58" ht="39.75" customHeight="1" x14ac:dyDescent="0.25">
      <c r="A836" s="7" t="s">
        <v>5</v>
      </c>
      <c r="B836" s="1" t="s">
        <v>0</v>
      </c>
      <c r="C836" s="1" t="s">
        <v>1</v>
      </c>
      <c r="D836" s="1" t="s">
        <v>10402</v>
      </c>
      <c r="E836" s="1" t="s">
        <v>10403</v>
      </c>
      <c r="F836" s="1" t="s">
        <v>10404</v>
      </c>
      <c r="H836" s="2" t="s">
        <v>5</v>
      </c>
      <c r="I836" s="2" t="s">
        <v>6</v>
      </c>
      <c r="J836" s="2" t="s">
        <v>5</v>
      </c>
      <c r="K836" s="2" t="s">
        <v>5</v>
      </c>
      <c r="L836" s="2" t="s">
        <v>7</v>
      </c>
      <c r="M836" s="1" t="s">
        <v>10405</v>
      </c>
      <c r="N836" s="1" t="s">
        <v>10406</v>
      </c>
      <c r="O836" s="2" t="s">
        <v>2859</v>
      </c>
      <c r="P836" s="1" t="s">
        <v>10407</v>
      </c>
      <c r="Q836" s="2" t="s">
        <v>1151</v>
      </c>
      <c r="R836" s="2" t="s">
        <v>1152</v>
      </c>
      <c r="S836" s="1" t="s">
        <v>10408</v>
      </c>
      <c r="T836" s="2" t="s">
        <v>13</v>
      </c>
      <c r="U836" s="3">
        <v>3</v>
      </c>
      <c r="V836" s="3">
        <v>3</v>
      </c>
      <c r="W836" s="4" t="s">
        <v>3185</v>
      </c>
      <c r="X836" s="4" t="s">
        <v>3185</v>
      </c>
      <c r="Y836" s="4" t="s">
        <v>5361</v>
      </c>
      <c r="Z836" s="4" t="s">
        <v>5361</v>
      </c>
      <c r="AA836" s="3">
        <v>140</v>
      </c>
      <c r="AB836" s="3">
        <v>103</v>
      </c>
      <c r="AC836" s="3">
        <v>172</v>
      </c>
      <c r="AD836" s="3">
        <v>1</v>
      </c>
      <c r="AE836" s="9">
        <v>1</v>
      </c>
      <c r="AF836" s="9">
        <v>4</v>
      </c>
      <c r="AG836" s="9">
        <v>5</v>
      </c>
      <c r="AH836" s="3">
        <v>1</v>
      </c>
      <c r="AI836" s="3">
        <v>1</v>
      </c>
      <c r="AJ836" s="3">
        <v>2</v>
      </c>
      <c r="AK836" s="3">
        <v>2</v>
      </c>
      <c r="AL836" s="3">
        <v>3</v>
      </c>
      <c r="AM836" s="3">
        <v>4</v>
      </c>
      <c r="AN836" s="3">
        <v>0</v>
      </c>
      <c r="AO836" s="3">
        <v>0</v>
      </c>
      <c r="AP836" s="3">
        <v>0</v>
      </c>
      <c r="AQ836" s="3">
        <v>0</v>
      </c>
      <c r="AR836" s="2" t="s">
        <v>5</v>
      </c>
      <c r="AS836" s="2" t="s">
        <v>46</v>
      </c>
      <c r="AT836" s="5" t="str">
        <f>HYPERLINK("http://catalog.hathitrust.org/Record/007109457","HathiTrust Record")</f>
        <v>HathiTrust Record</v>
      </c>
      <c r="AU836" s="5" t="str">
        <f>HYPERLINK("https://creighton-primo.hosted.exlibrisgroup.com/primo-explore/search?tab=default_tab&amp;search_scope=EVERYTHING&amp;vid=01CRU&amp;lang=en_US&amp;offset=0&amp;query=any,contains,991000528889702656","Catalog Record")</f>
        <v>Catalog Record</v>
      </c>
      <c r="AV836" s="5" t="str">
        <f>HYPERLINK("http://www.worldcat.org/oclc/11382955","WorldCat Record")</f>
        <v>WorldCat Record</v>
      </c>
      <c r="AW836" s="2" t="s">
        <v>10409</v>
      </c>
      <c r="AX836" s="2" t="s">
        <v>10410</v>
      </c>
      <c r="AY836" s="2" t="s">
        <v>10411</v>
      </c>
      <c r="AZ836" s="2" t="s">
        <v>10411</v>
      </c>
      <c r="BA836" s="2" t="s">
        <v>10412</v>
      </c>
      <c r="BB836" s="2" t="s">
        <v>20</v>
      </c>
      <c r="BD836" s="2" t="s">
        <v>10413</v>
      </c>
      <c r="BE836" s="2" t="s">
        <v>10414</v>
      </c>
      <c r="BF836" s="2" t="s">
        <v>10415</v>
      </c>
    </row>
    <row r="837" spans="1:58" ht="39.75" customHeight="1" x14ac:dyDescent="0.25">
      <c r="A837" s="7" t="s">
        <v>5</v>
      </c>
      <c r="B837" s="1" t="s">
        <v>0</v>
      </c>
      <c r="C837" s="1" t="s">
        <v>1</v>
      </c>
      <c r="D837" s="1" t="s">
        <v>10416</v>
      </c>
      <c r="E837" s="1" t="s">
        <v>10417</v>
      </c>
      <c r="F837" s="1" t="s">
        <v>10418</v>
      </c>
      <c r="H837" s="2" t="s">
        <v>5</v>
      </c>
      <c r="I837" s="2" t="s">
        <v>6</v>
      </c>
      <c r="J837" s="2" t="s">
        <v>5</v>
      </c>
      <c r="K837" s="2" t="s">
        <v>5</v>
      </c>
      <c r="L837" s="2" t="s">
        <v>7</v>
      </c>
      <c r="M837" s="1" t="s">
        <v>10419</v>
      </c>
      <c r="N837" s="1" t="s">
        <v>10420</v>
      </c>
      <c r="O837" s="2" t="s">
        <v>3817</v>
      </c>
      <c r="P837" s="1" t="s">
        <v>5359</v>
      </c>
      <c r="Q837" s="2" t="s">
        <v>1151</v>
      </c>
      <c r="R837" s="2" t="s">
        <v>5403</v>
      </c>
      <c r="S837" s="1" t="s">
        <v>10421</v>
      </c>
      <c r="T837" s="2" t="s">
        <v>13</v>
      </c>
      <c r="U837" s="3">
        <v>1</v>
      </c>
      <c r="V837" s="3">
        <v>1</v>
      </c>
      <c r="W837" s="4" t="s">
        <v>10422</v>
      </c>
      <c r="X837" s="4" t="s">
        <v>10422</v>
      </c>
      <c r="Y837" s="4" t="s">
        <v>10422</v>
      </c>
      <c r="Z837" s="4" t="s">
        <v>10422</v>
      </c>
      <c r="AA837" s="3">
        <v>148</v>
      </c>
      <c r="AB837" s="3">
        <v>117</v>
      </c>
      <c r="AC837" s="3">
        <v>119</v>
      </c>
      <c r="AD837" s="3">
        <v>2</v>
      </c>
      <c r="AE837" s="9">
        <v>2</v>
      </c>
      <c r="AF837" s="9">
        <v>8</v>
      </c>
      <c r="AG837" s="9">
        <v>8</v>
      </c>
      <c r="AH837" s="3">
        <v>3</v>
      </c>
      <c r="AI837" s="3">
        <v>3</v>
      </c>
      <c r="AJ837" s="3">
        <v>2</v>
      </c>
      <c r="AK837" s="3">
        <v>2</v>
      </c>
      <c r="AL837" s="3">
        <v>5</v>
      </c>
      <c r="AM837" s="3">
        <v>5</v>
      </c>
      <c r="AN837" s="3">
        <v>1</v>
      </c>
      <c r="AO837" s="3">
        <v>1</v>
      </c>
      <c r="AP837" s="3">
        <v>0</v>
      </c>
      <c r="AQ837" s="3">
        <v>0</v>
      </c>
      <c r="AR837" s="2" t="s">
        <v>5</v>
      </c>
      <c r="AS837" s="2" t="s">
        <v>46</v>
      </c>
      <c r="AT837" s="5" t="str">
        <f>HYPERLINK("http://catalog.hathitrust.org/Record/003981325","HathiTrust Record")</f>
        <v>HathiTrust Record</v>
      </c>
      <c r="AU837" s="5" t="str">
        <f>HYPERLINK("https://creighton-primo.hosted.exlibrisgroup.com/primo-explore/search?tab=default_tab&amp;search_scope=EVERYTHING&amp;vid=01CRU&amp;lang=en_US&amp;offset=0&amp;query=any,contains,991003252239702656","Catalog Record")</f>
        <v>Catalog Record</v>
      </c>
      <c r="AV837" s="5" t="str">
        <f>HYPERLINK("http://www.worldcat.org/oclc/39334089","WorldCat Record")</f>
        <v>WorldCat Record</v>
      </c>
      <c r="AW837" s="2" t="s">
        <v>10423</v>
      </c>
      <c r="AX837" s="2" t="s">
        <v>10424</v>
      </c>
      <c r="AY837" s="2" t="s">
        <v>10425</v>
      </c>
      <c r="AZ837" s="2" t="s">
        <v>10425</v>
      </c>
      <c r="BA837" s="2" t="s">
        <v>10426</v>
      </c>
      <c r="BB837" s="2" t="s">
        <v>20</v>
      </c>
      <c r="BD837" s="2" t="s">
        <v>10427</v>
      </c>
      <c r="BE837" s="2" t="s">
        <v>10428</v>
      </c>
      <c r="BF837" s="2" t="s">
        <v>10429</v>
      </c>
    </row>
    <row r="838" spans="1:58" ht="39.75" customHeight="1" x14ac:dyDescent="0.25">
      <c r="A838" s="7" t="s">
        <v>5</v>
      </c>
      <c r="B838" s="1" t="s">
        <v>0</v>
      </c>
      <c r="C838" s="1" t="s">
        <v>1</v>
      </c>
      <c r="D838" s="1" t="s">
        <v>10430</v>
      </c>
      <c r="E838" s="1" t="s">
        <v>10431</v>
      </c>
      <c r="F838" s="1" t="s">
        <v>10432</v>
      </c>
      <c r="H838" s="2" t="s">
        <v>5</v>
      </c>
      <c r="I838" s="2" t="s">
        <v>6</v>
      </c>
      <c r="J838" s="2" t="s">
        <v>5</v>
      </c>
      <c r="K838" s="2" t="s">
        <v>5</v>
      </c>
      <c r="L838" s="2" t="s">
        <v>7</v>
      </c>
      <c r="M838" s="1" t="s">
        <v>10433</v>
      </c>
      <c r="N838" s="1" t="s">
        <v>10434</v>
      </c>
      <c r="O838" s="2" t="s">
        <v>4506</v>
      </c>
      <c r="Q838" s="2" t="s">
        <v>1151</v>
      </c>
      <c r="R838" s="2" t="s">
        <v>61</v>
      </c>
      <c r="T838" s="2" t="s">
        <v>13</v>
      </c>
      <c r="U838" s="3">
        <v>1</v>
      </c>
      <c r="V838" s="3">
        <v>1</v>
      </c>
      <c r="W838" s="4" t="s">
        <v>10435</v>
      </c>
      <c r="X838" s="4" t="s">
        <v>10435</v>
      </c>
      <c r="Y838" s="4" t="s">
        <v>8825</v>
      </c>
      <c r="Z838" s="4" t="s">
        <v>8825</v>
      </c>
      <c r="AA838" s="3">
        <v>634</v>
      </c>
      <c r="AB838" s="3">
        <v>617</v>
      </c>
      <c r="AC838" s="3">
        <v>658</v>
      </c>
      <c r="AD838" s="3">
        <v>7</v>
      </c>
      <c r="AE838" s="9">
        <v>7</v>
      </c>
      <c r="AF838" s="9">
        <v>37</v>
      </c>
      <c r="AG838" s="9">
        <v>37</v>
      </c>
      <c r="AH838" s="3">
        <v>14</v>
      </c>
      <c r="AI838" s="3">
        <v>14</v>
      </c>
      <c r="AJ838" s="3">
        <v>7</v>
      </c>
      <c r="AK838" s="3">
        <v>7</v>
      </c>
      <c r="AL838" s="3">
        <v>17</v>
      </c>
      <c r="AM838" s="3">
        <v>17</v>
      </c>
      <c r="AN838" s="3">
        <v>6</v>
      </c>
      <c r="AO838" s="3">
        <v>6</v>
      </c>
      <c r="AP838" s="3">
        <v>0</v>
      </c>
      <c r="AQ838" s="3">
        <v>0</v>
      </c>
      <c r="AR838" s="2" t="s">
        <v>5</v>
      </c>
      <c r="AS838" s="2" t="s">
        <v>46</v>
      </c>
      <c r="AT838" s="5" t="str">
        <f>HYPERLINK("http://catalog.hathitrust.org/Record/001111727","HathiTrust Record")</f>
        <v>HathiTrust Record</v>
      </c>
      <c r="AU838" s="5" t="str">
        <f>HYPERLINK("https://creighton-primo.hosted.exlibrisgroup.com/primo-explore/search?tab=default_tab&amp;search_scope=EVERYTHING&amp;vid=01CRU&amp;lang=en_US&amp;offset=0&amp;query=any,contains,991002431309702656","Catalog Record")</f>
        <v>Catalog Record</v>
      </c>
      <c r="AV838" s="5" t="str">
        <f>HYPERLINK("http://www.worldcat.org/oclc/347193","WorldCat Record")</f>
        <v>WorldCat Record</v>
      </c>
      <c r="AW838" s="2" t="s">
        <v>10436</v>
      </c>
      <c r="AX838" s="2" t="s">
        <v>10437</v>
      </c>
      <c r="AY838" s="2" t="s">
        <v>10438</v>
      </c>
      <c r="AZ838" s="2" t="s">
        <v>10438</v>
      </c>
      <c r="BA838" s="2" t="s">
        <v>10439</v>
      </c>
      <c r="BB838" s="2" t="s">
        <v>20</v>
      </c>
      <c r="BE838" s="2" t="s">
        <v>10440</v>
      </c>
      <c r="BF838" s="2" t="s">
        <v>10441</v>
      </c>
    </row>
    <row r="839" spans="1:58" ht="39.75" customHeight="1" x14ac:dyDescent="0.25">
      <c r="A839" s="7" t="s">
        <v>5</v>
      </c>
      <c r="B839" s="1" t="s">
        <v>0</v>
      </c>
      <c r="C839" s="1" t="s">
        <v>1</v>
      </c>
      <c r="D839" s="1" t="s">
        <v>10442</v>
      </c>
      <c r="E839" s="1" t="s">
        <v>10443</v>
      </c>
      <c r="F839" s="1" t="s">
        <v>10444</v>
      </c>
      <c r="H839" s="2" t="s">
        <v>5</v>
      </c>
      <c r="I839" s="2" t="s">
        <v>6</v>
      </c>
      <c r="J839" s="2" t="s">
        <v>5</v>
      </c>
      <c r="K839" s="2" t="s">
        <v>5</v>
      </c>
      <c r="L839" s="2" t="s">
        <v>7</v>
      </c>
      <c r="N839" s="1" t="s">
        <v>10445</v>
      </c>
      <c r="O839" s="2" t="s">
        <v>708</v>
      </c>
      <c r="P839" s="1" t="s">
        <v>2908</v>
      </c>
      <c r="Q839" s="2" t="s">
        <v>1151</v>
      </c>
      <c r="R839" s="2" t="s">
        <v>5403</v>
      </c>
      <c r="S839" s="1" t="s">
        <v>10446</v>
      </c>
      <c r="T839" s="2" t="s">
        <v>13</v>
      </c>
      <c r="U839" s="3">
        <v>6</v>
      </c>
      <c r="V839" s="3">
        <v>6</v>
      </c>
      <c r="W839" s="4" t="s">
        <v>3185</v>
      </c>
      <c r="X839" s="4" t="s">
        <v>3185</v>
      </c>
      <c r="Y839" s="4" t="s">
        <v>8625</v>
      </c>
      <c r="Z839" s="4" t="s">
        <v>8625</v>
      </c>
      <c r="AA839" s="3">
        <v>256</v>
      </c>
      <c r="AB839" s="3">
        <v>221</v>
      </c>
      <c r="AC839" s="3">
        <v>259</v>
      </c>
      <c r="AD839" s="3">
        <v>2</v>
      </c>
      <c r="AE839" s="9">
        <v>2</v>
      </c>
      <c r="AF839" s="9">
        <v>12</v>
      </c>
      <c r="AG839" s="9">
        <v>13</v>
      </c>
      <c r="AH839" s="3">
        <v>3</v>
      </c>
      <c r="AI839" s="3">
        <v>3</v>
      </c>
      <c r="AJ839" s="3">
        <v>2</v>
      </c>
      <c r="AK839" s="3">
        <v>3</v>
      </c>
      <c r="AL839" s="3">
        <v>8</v>
      </c>
      <c r="AM839" s="3">
        <v>8</v>
      </c>
      <c r="AN839" s="3">
        <v>1</v>
      </c>
      <c r="AO839" s="3">
        <v>1</v>
      </c>
      <c r="AP839" s="3">
        <v>0</v>
      </c>
      <c r="AQ839" s="3">
        <v>0</v>
      </c>
      <c r="AR839" s="2" t="s">
        <v>5</v>
      </c>
      <c r="AS839" s="2" t="s">
        <v>5</v>
      </c>
      <c r="AU839" s="5" t="str">
        <f>HYPERLINK("https://creighton-primo.hosted.exlibrisgroup.com/primo-explore/search?tab=default_tab&amp;search_scope=EVERYTHING&amp;vid=01CRU&amp;lang=en_US&amp;offset=0&amp;query=any,contains,991001156459702656","Catalog Record")</f>
        <v>Catalog Record</v>
      </c>
      <c r="AV839" s="5" t="str">
        <f>HYPERLINK("http://www.worldcat.org/oclc/16861599","WorldCat Record")</f>
        <v>WorldCat Record</v>
      </c>
      <c r="AW839" s="2" t="s">
        <v>10447</v>
      </c>
      <c r="AX839" s="2" t="s">
        <v>10448</v>
      </c>
      <c r="AY839" s="2" t="s">
        <v>10449</v>
      </c>
      <c r="AZ839" s="2" t="s">
        <v>10449</v>
      </c>
      <c r="BA839" s="2" t="s">
        <v>10450</v>
      </c>
      <c r="BB839" s="2" t="s">
        <v>20</v>
      </c>
      <c r="BD839" s="2" t="s">
        <v>10451</v>
      </c>
      <c r="BE839" s="2" t="s">
        <v>10452</v>
      </c>
      <c r="BF839" s="2" t="s">
        <v>10453</v>
      </c>
    </row>
    <row r="840" spans="1:58" ht="39.75" customHeight="1" x14ac:dyDescent="0.25">
      <c r="A840" s="7" t="s">
        <v>5</v>
      </c>
      <c r="B840" s="1" t="s">
        <v>0</v>
      </c>
      <c r="C840" s="1" t="s">
        <v>1</v>
      </c>
      <c r="D840" s="1" t="s">
        <v>10454</v>
      </c>
      <c r="E840" s="1" t="s">
        <v>10455</v>
      </c>
      <c r="F840" s="1" t="s">
        <v>10456</v>
      </c>
      <c r="H840" s="2" t="s">
        <v>5</v>
      </c>
      <c r="I840" s="2" t="s">
        <v>6</v>
      </c>
      <c r="J840" s="2" t="s">
        <v>5</v>
      </c>
      <c r="K840" s="2" t="s">
        <v>5</v>
      </c>
      <c r="L840" s="2" t="s">
        <v>7</v>
      </c>
      <c r="N840" s="1" t="s">
        <v>10457</v>
      </c>
      <c r="O840" s="2" t="s">
        <v>421</v>
      </c>
      <c r="Q840" s="2" t="s">
        <v>1151</v>
      </c>
      <c r="R840" s="2" t="s">
        <v>4146</v>
      </c>
      <c r="T840" s="2" t="s">
        <v>13</v>
      </c>
      <c r="U840" s="3">
        <v>1</v>
      </c>
      <c r="V840" s="3">
        <v>1</v>
      </c>
      <c r="W840" s="4" t="s">
        <v>10458</v>
      </c>
      <c r="X840" s="4" t="s">
        <v>10458</v>
      </c>
      <c r="Y840" s="4" t="s">
        <v>10459</v>
      </c>
      <c r="Z840" s="4" t="s">
        <v>10459</v>
      </c>
      <c r="AA840" s="3">
        <v>1</v>
      </c>
      <c r="AB840" s="3">
        <v>1</v>
      </c>
      <c r="AC840" s="3">
        <v>1</v>
      </c>
      <c r="AD840" s="3">
        <v>1</v>
      </c>
      <c r="AE840" s="9">
        <v>1</v>
      </c>
      <c r="AF840" s="9">
        <v>0</v>
      </c>
      <c r="AG840" s="9">
        <v>0</v>
      </c>
      <c r="AH840" s="3">
        <v>0</v>
      </c>
      <c r="AI840" s="3">
        <v>0</v>
      </c>
      <c r="AJ840" s="3">
        <v>0</v>
      </c>
      <c r="AK840" s="3">
        <v>0</v>
      </c>
      <c r="AL840" s="3">
        <v>0</v>
      </c>
      <c r="AM840" s="3">
        <v>0</v>
      </c>
      <c r="AN840" s="3">
        <v>0</v>
      </c>
      <c r="AO840" s="3">
        <v>0</v>
      </c>
      <c r="AP840" s="3">
        <v>0</v>
      </c>
      <c r="AQ840" s="3">
        <v>0</v>
      </c>
      <c r="AR840" s="2" t="s">
        <v>5</v>
      </c>
      <c r="AS840" s="2" t="s">
        <v>5</v>
      </c>
      <c r="AU840" s="5" t="str">
        <f>HYPERLINK("https://creighton-primo.hosted.exlibrisgroup.com/primo-explore/search?tab=default_tab&amp;search_scope=EVERYTHING&amp;vid=01CRU&amp;lang=en_US&amp;offset=0&amp;query=any,contains,991003972149702656","Catalog Record")</f>
        <v>Catalog Record</v>
      </c>
      <c r="AV840" s="5" t="str">
        <f>HYPERLINK("http://www.worldcat.org/oclc/51337392","WorldCat Record")</f>
        <v>WorldCat Record</v>
      </c>
      <c r="AW840" s="2" t="s">
        <v>10460</v>
      </c>
      <c r="AX840" s="2" t="s">
        <v>10461</v>
      </c>
      <c r="AY840" s="2" t="s">
        <v>10462</v>
      </c>
      <c r="AZ840" s="2" t="s">
        <v>10462</v>
      </c>
      <c r="BA840" s="2" t="s">
        <v>10463</v>
      </c>
      <c r="BB840" s="2" t="s">
        <v>20</v>
      </c>
      <c r="BE840" s="2" t="s">
        <v>10464</v>
      </c>
      <c r="BF840" s="2" t="s">
        <v>10465</v>
      </c>
    </row>
    <row r="841" spans="1:58" ht="39.75" customHeight="1" x14ac:dyDescent="0.25">
      <c r="A841" s="7" t="s">
        <v>5</v>
      </c>
      <c r="B841" s="1" t="s">
        <v>0</v>
      </c>
      <c r="C841" s="1" t="s">
        <v>1</v>
      </c>
      <c r="D841" s="1" t="s">
        <v>10466</v>
      </c>
      <c r="E841" s="1" t="s">
        <v>10467</v>
      </c>
      <c r="F841" s="1" t="s">
        <v>10468</v>
      </c>
      <c r="H841" s="2" t="s">
        <v>5</v>
      </c>
      <c r="I841" s="2" t="s">
        <v>6</v>
      </c>
      <c r="J841" s="2" t="s">
        <v>5</v>
      </c>
      <c r="K841" s="2" t="s">
        <v>5</v>
      </c>
      <c r="L841" s="2" t="s">
        <v>7</v>
      </c>
      <c r="M841" s="1" t="s">
        <v>10469</v>
      </c>
      <c r="N841" s="1" t="s">
        <v>10470</v>
      </c>
      <c r="O841" s="2" t="s">
        <v>4479</v>
      </c>
      <c r="Q841" s="2" t="s">
        <v>60</v>
      </c>
      <c r="R841" s="2" t="s">
        <v>871</v>
      </c>
      <c r="T841" s="2" t="s">
        <v>13</v>
      </c>
      <c r="U841" s="3">
        <v>6</v>
      </c>
      <c r="V841" s="3">
        <v>6</v>
      </c>
      <c r="W841" s="4" t="s">
        <v>10471</v>
      </c>
      <c r="X841" s="4" t="s">
        <v>10471</v>
      </c>
      <c r="Y841" s="4" t="s">
        <v>10472</v>
      </c>
      <c r="Z841" s="4" t="s">
        <v>10472</v>
      </c>
      <c r="AA841" s="3">
        <v>35</v>
      </c>
      <c r="AB841" s="3">
        <v>31</v>
      </c>
      <c r="AC841" s="3">
        <v>909</v>
      </c>
      <c r="AD841" s="3">
        <v>1</v>
      </c>
      <c r="AE841" s="9">
        <v>6</v>
      </c>
      <c r="AF841" s="9">
        <v>2</v>
      </c>
      <c r="AG841" s="9">
        <v>42</v>
      </c>
      <c r="AH841" s="3">
        <v>0</v>
      </c>
      <c r="AI841" s="3">
        <v>19</v>
      </c>
      <c r="AJ841" s="3">
        <v>1</v>
      </c>
      <c r="AK841" s="3">
        <v>11</v>
      </c>
      <c r="AL841" s="3">
        <v>1</v>
      </c>
      <c r="AM841" s="3">
        <v>16</v>
      </c>
      <c r="AN841" s="3">
        <v>0</v>
      </c>
      <c r="AO841" s="3">
        <v>4</v>
      </c>
      <c r="AP841" s="3">
        <v>0</v>
      </c>
      <c r="AQ841" s="3">
        <v>0</v>
      </c>
      <c r="AR841" s="2" t="s">
        <v>5</v>
      </c>
      <c r="AS841" s="2" t="s">
        <v>46</v>
      </c>
      <c r="AT841" s="5" t="str">
        <f>HYPERLINK("http://catalog.hathitrust.org/Record/009508958","HathiTrust Record")</f>
        <v>HathiTrust Record</v>
      </c>
      <c r="AU841" s="5" t="str">
        <f>HYPERLINK("https://creighton-primo.hosted.exlibrisgroup.com/primo-explore/search?tab=default_tab&amp;search_scope=EVERYTHING&amp;vid=01CRU&amp;lang=en_US&amp;offset=0&amp;query=any,contains,991004618209702656","Catalog Record")</f>
        <v>Catalog Record</v>
      </c>
      <c r="AV841" s="5" t="str">
        <f>HYPERLINK("http://www.worldcat.org/oclc/4275069","WorldCat Record")</f>
        <v>WorldCat Record</v>
      </c>
      <c r="AW841" s="2" t="s">
        <v>10473</v>
      </c>
      <c r="AX841" s="2" t="s">
        <v>10474</v>
      </c>
      <c r="AY841" s="2" t="s">
        <v>10475</v>
      </c>
      <c r="AZ841" s="2" t="s">
        <v>10475</v>
      </c>
      <c r="BA841" s="2" t="s">
        <v>10476</v>
      </c>
      <c r="BB841" s="2" t="s">
        <v>20</v>
      </c>
      <c r="BE841" s="2" t="s">
        <v>10477</v>
      </c>
      <c r="BF841" s="2" t="s">
        <v>10478</v>
      </c>
    </row>
    <row r="842" spans="1:58" ht="39.75" customHeight="1" x14ac:dyDescent="0.25">
      <c r="A842" s="7" t="s">
        <v>5</v>
      </c>
      <c r="B842" s="1" t="s">
        <v>0</v>
      </c>
      <c r="C842" s="1" t="s">
        <v>1</v>
      </c>
      <c r="D842" s="1" t="s">
        <v>10479</v>
      </c>
      <c r="E842" s="1" t="s">
        <v>10480</v>
      </c>
      <c r="F842" s="1" t="s">
        <v>10481</v>
      </c>
      <c r="H842" s="2" t="s">
        <v>5</v>
      </c>
      <c r="I842" s="2" t="s">
        <v>6</v>
      </c>
      <c r="J842" s="2" t="s">
        <v>5</v>
      </c>
      <c r="K842" s="2" t="s">
        <v>5</v>
      </c>
      <c r="L842" s="2" t="s">
        <v>7</v>
      </c>
      <c r="N842" s="1" t="s">
        <v>10482</v>
      </c>
      <c r="O842" s="2" t="s">
        <v>508</v>
      </c>
      <c r="Q842" s="2" t="s">
        <v>1151</v>
      </c>
      <c r="R842" s="2" t="s">
        <v>5403</v>
      </c>
      <c r="T842" s="2" t="s">
        <v>13</v>
      </c>
      <c r="U842" s="3">
        <v>1</v>
      </c>
      <c r="V842" s="3">
        <v>1</v>
      </c>
      <c r="W842" s="4" t="s">
        <v>1338</v>
      </c>
      <c r="X842" s="4" t="s">
        <v>1338</v>
      </c>
      <c r="Y842" s="4" t="s">
        <v>1338</v>
      </c>
      <c r="Z842" s="4" t="s">
        <v>1338</v>
      </c>
      <c r="AA842" s="3">
        <v>106</v>
      </c>
      <c r="AB842" s="3">
        <v>96</v>
      </c>
      <c r="AC842" s="3">
        <v>103</v>
      </c>
      <c r="AD842" s="3">
        <v>1</v>
      </c>
      <c r="AE842" s="9">
        <v>1</v>
      </c>
      <c r="AF842" s="9">
        <v>3</v>
      </c>
      <c r="AG842" s="9">
        <v>3</v>
      </c>
      <c r="AH842" s="3">
        <v>2</v>
      </c>
      <c r="AI842" s="3">
        <v>2</v>
      </c>
      <c r="AJ842" s="3">
        <v>1</v>
      </c>
      <c r="AK842" s="3">
        <v>1</v>
      </c>
      <c r="AL842" s="3">
        <v>3</v>
      </c>
      <c r="AM842" s="3">
        <v>3</v>
      </c>
      <c r="AN842" s="3">
        <v>0</v>
      </c>
      <c r="AO842" s="3">
        <v>0</v>
      </c>
      <c r="AP842" s="3">
        <v>0</v>
      </c>
      <c r="AQ842" s="3">
        <v>0</v>
      </c>
      <c r="AR842" s="2" t="s">
        <v>5</v>
      </c>
      <c r="AS842" s="2" t="s">
        <v>46</v>
      </c>
      <c r="AT842" s="5" t="str">
        <f>HYPERLINK("http://catalog.hathitrust.org/Record/004131711","HathiTrust Record")</f>
        <v>HathiTrust Record</v>
      </c>
      <c r="AU842" s="5" t="str">
        <f>HYPERLINK("https://creighton-primo.hosted.exlibrisgroup.com/primo-explore/search?tab=default_tab&amp;search_scope=EVERYTHING&amp;vid=01CRU&amp;lang=en_US&amp;offset=0&amp;query=any,contains,991003721069702656","Catalog Record")</f>
        <v>Catalog Record</v>
      </c>
      <c r="AV842" s="5" t="str">
        <f>HYPERLINK("http://www.worldcat.org/oclc/44727286","WorldCat Record")</f>
        <v>WorldCat Record</v>
      </c>
      <c r="AW842" s="2" t="s">
        <v>10483</v>
      </c>
      <c r="AX842" s="2" t="s">
        <v>10484</v>
      </c>
      <c r="AY842" s="2" t="s">
        <v>10485</v>
      </c>
      <c r="AZ842" s="2" t="s">
        <v>10485</v>
      </c>
      <c r="BA842" s="2" t="s">
        <v>10486</v>
      </c>
      <c r="BB842" s="2" t="s">
        <v>20</v>
      </c>
      <c r="BD842" s="2" t="s">
        <v>10487</v>
      </c>
      <c r="BE842" s="2" t="s">
        <v>10488</v>
      </c>
      <c r="BF842" s="2" t="s">
        <v>10489</v>
      </c>
    </row>
    <row r="843" spans="1:58" ht="39.75" customHeight="1" x14ac:dyDescent="0.25">
      <c r="A843" s="7" t="s">
        <v>5</v>
      </c>
      <c r="B843" s="1" t="s">
        <v>0</v>
      </c>
      <c r="C843" s="1" t="s">
        <v>1</v>
      </c>
      <c r="D843" s="1" t="s">
        <v>10490</v>
      </c>
      <c r="E843" s="1" t="s">
        <v>10491</v>
      </c>
      <c r="F843" s="1" t="s">
        <v>10492</v>
      </c>
      <c r="H843" s="2" t="s">
        <v>5</v>
      </c>
      <c r="I843" s="2" t="s">
        <v>6</v>
      </c>
      <c r="J843" s="2" t="s">
        <v>5</v>
      </c>
      <c r="K843" s="2" t="s">
        <v>5</v>
      </c>
      <c r="L843" s="2" t="s">
        <v>7</v>
      </c>
      <c r="M843" s="1" t="s">
        <v>10493</v>
      </c>
      <c r="N843" s="1" t="s">
        <v>10494</v>
      </c>
      <c r="O843" s="2" t="s">
        <v>10495</v>
      </c>
      <c r="Q843" s="2" t="s">
        <v>1151</v>
      </c>
      <c r="R843" s="2" t="s">
        <v>277</v>
      </c>
      <c r="T843" s="2" t="s">
        <v>13</v>
      </c>
      <c r="U843" s="3">
        <v>1</v>
      </c>
      <c r="V843" s="3">
        <v>1</v>
      </c>
      <c r="W843" s="4" t="s">
        <v>5150</v>
      </c>
      <c r="X843" s="4" t="s">
        <v>5150</v>
      </c>
      <c r="Y843" s="4" t="s">
        <v>10496</v>
      </c>
      <c r="Z843" s="4" t="s">
        <v>10496</v>
      </c>
      <c r="AA843" s="3">
        <v>321</v>
      </c>
      <c r="AB843" s="3">
        <v>302</v>
      </c>
      <c r="AC843" s="3">
        <v>307</v>
      </c>
      <c r="AD843" s="3">
        <v>3</v>
      </c>
      <c r="AE843" s="9">
        <v>3</v>
      </c>
      <c r="AF843" s="9">
        <v>19</v>
      </c>
      <c r="AG843" s="9">
        <v>19</v>
      </c>
      <c r="AH843" s="3">
        <v>6</v>
      </c>
      <c r="AI843" s="3">
        <v>6</v>
      </c>
      <c r="AJ843" s="3">
        <v>5</v>
      </c>
      <c r="AK843" s="3">
        <v>5</v>
      </c>
      <c r="AL843" s="3">
        <v>10</v>
      </c>
      <c r="AM843" s="3">
        <v>10</v>
      </c>
      <c r="AN843" s="3">
        <v>2</v>
      </c>
      <c r="AO843" s="3">
        <v>2</v>
      </c>
      <c r="AP843" s="3">
        <v>0</v>
      </c>
      <c r="AQ843" s="3">
        <v>0</v>
      </c>
      <c r="AR843" s="2" t="s">
        <v>46</v>
      </c>
      <c r="AS843" s="2" t="s">
        <v>5</v>
      </c>
      <c r="AT843" s="5" t="str">
        <f>HYPERLINK("http://catalog.hathitrust.org/Record/101387735","HathiTrust Record")</f>
        <v>HathiTrust Record</v>
      </c>
      <c r="AU843" s="5" t="str">
        <f>HYPERLINK("https://creighton-primo.hosted.exlibrisgroup.com/primo-explore/search?tab=default_tab&amp;search_scope=EVERYTHING&amp;vid=01CRU&amp;lang=en_US&amp;offset=0&amp;query=any,contains,991003574719702656","Catalog Record")</f>
        <v>Catalog Record</v>
      </c>
      <c r="AV843" s="5" t="str">
        <f>HYPERLINK("http://www.worldcat.org/oclc/1151736","WorldCat Record")</f>
        <v>WorldCat Record</v>
      </c>
      <c r="AW843" s="2" t="s">
        <v>10497</v>
      </c>
      <c r="AX843" s="2" t="s">
        <v>10498</v>
      </c>
      <c r="AY843" s="2" t="s">
        <v>10499</v>
      </c>
      <c r="AZ843" s="2" t="s">
        <v>10499</v>
      </c>
      <c r="BA843" s="2" t="s">
        <v>10500</v>
      </c>
      <c r="BB843" s="2" t="s">
        <v>20</v>
      </c>
      <c r="BE843" s="2" t="s">
        <v>10501</v>
      </c>
      <c r="BF843" s="2" t="s">
        <v>10502</v>
      </c>
    </row>
    <row r="844" spans="1:58" ht="39.75" customHeight="1" x14ac:dyDescent="0.25">
      <c r="A844" s="7" t="s">
        <v>5</v>
      </c>
      <c r="B844" s="1" t="s">
        <v>0</v>
      </c>
      <c r="C844" s="1" t="s">
        <v>1</v>
      </c>
      <c r="D844" s="1" t="s">
        <v>10503</v>
      </c>
      <c r="E844" s="1" t="s">
        <v>10504</v>
      </c>
      <c r="F844" s="1" t="s">
        <v>10505</v>
      </c>
      <c r="H844" s="2" t="s">
        <v>5</v>
      </c>
      <c r="I844" s="2" t="s">
        <v>6</v>
      </c>
      <c r="J844" s="2" t="s">
        <v>5</v>
      </c>
      <c r="K844" s="2" t="s">
        <v>5</v>
      </c>
      <c r="L844" s="2" t="s">
        <v>7</v>
      </c>
      <c r="M844" s="1" t="s">
        <v>10506</v>
      </c>
      <c r="N844" s="1" t="s">
        <v>10507</v>
      </c>
      <c r="O844" s="2" t="s">
        <v>480</v>
      </c>
      <c r="Q844" s="2" t="s">
        <v>1151</v>
      </c>
      <c r="R844" s="2" t="s">
        <v>1152</v>
      </c>
      <c r="S844" s="1" t="s">
        <v>10508</v>
      </c>
      <c r="T844" s="2" t="s">
        <v>13</v>
      </c>
      <c r="U844" s="3">
        <v>4</v>
      </c>
      <c r="V844" s="3">
        <v>4</v>
      </c>
      <c r="W844" s="4" t="s">
        <v>10509</v>
      </c>
      <c r="X844" s="4" t="s">
        <v>10509</v>
      </c>
      <c r="Y844" s="4" t="s">
        <v>9376</v>
      </c>
      <c r="Z844" s="4" t="s">
        <v>9376</v>
      </c>
      <c r="AA844" s="3">
        <v>218</v>
      </c>
      <c r="AB844" s="3">
        <v>184</v>
      </c>
      <c r="AC844" s="3">
        <v>186</v>
      </c>
      <c r="AD844" s="3">
        <v>2</v>
      </c>
      <c r="AE844" s="9">
        <v>2</v>
      </c>
      <c r="AF844" s="9">
        <v>9</v>
      </c>
      <c r="AG844" s="9">
        <v>9</v>
      </c>
      <c r="AH844" s="3">
        <v>2</v>
      </c>
      <c r="AI844" s="3">
        <v>2</v>
      </c>
      <c r="AJ844" s="3">
        <v>4</v>
      </c>
      <c r="AK844" s="3">
        <v>4</v>
      </c>
      <c r="AL844" s="3">
        <v>2</v>
      </c>
      <c r="AM844" s="3">
        <v>2</v>
      </c>
      <c r="AN844" s="3">
        <v>1</v>
      </c>
      <c r="AO844" s="3">
        <v>1</v>
      </c>
      <c r="AP844" s="3">
        <v>0</v>
      </c>
      <c r="AQ844" s="3">
        <v>0</v>
      </c>
      <c r="AR844" s="2" t="s">
        <v>5</v>
      </c>
      <c r="AS844" s="2" t="s">
        <v>46</v>
      </c>
      <c r="AT844" s="5" t="str">
        <f>HYPERLINK("http://catalog.hathitrust.org/Record/001220703","HathiTrust Record")</f>
        <v>HathiTrust Record</v>
      </c>
      <c r="AU844" s="5" t="str">
        <f>HYPERLINK("https://creighton-primo.hosted.exlibrisgroup.com/primo-explore/search?tab=default_tab&amp;search_scope=EVERYTHING&amp;vid=01CRU&amp;lang=en_US&amp;offset=0&amp;query=any,contains,991002333769702656","Catalog Record")</f>
        <v>Catalog Record</v>
      </c>
      <c r="AV844" s="5" t="str">
        <f>HYPERLINK("http://www.worldcat.org/oclc/322685","WorldCat Record")</f>
        <v>WorldCat Record</v>
      </c>
      <c r="AW844" s="2" t="s">
        <v>10510</v>
      </c>
      <c r="AX844" s="2" t="s">
        <v>10511</v>
      </c>
      <c r="AY844" s="2" t="s">
        <v>10512</v>
      </c>
      <c r="AZ844" s="2" t="s">
        <v>10512</v>
      </c>
      <c r="BA844" s="2" t="s">
        <v>10513</v>
      </c>
      <c r="BB844" s="2" t="s">
        <v>20</v>
      </c>
      <c r="BE844" s="2" t="s">
        <v>10514</v>
      </c>
      <c r="BF844" s="2" t="s">
        <v>10515</v>
      </c>
    </row>
    <row r="845" spans="1:58" ht="39.75" customHeight="1" x14ac:dyDescent="0.25">
      <c r="A845" s="7" t="s">
        <v>5</v>
      </c>
      <c r="B845" s="1" t="s">
        <v>0</v>
      </c>
      <c r="C845" s="1" t="s">
        <v>1</v>
      </c>
      <c r="D845" s="1" t="s">
        <v>10516</v>
      </c>
      <c r="E845" s="1" t="s">
        <v>10517</v>
      </c>
      <c r="F845" s="1" t="s">
        <v>10518</v>
      </c>
      <c r="G845" s="2" t="s">
        <v>2083</v>
      </c>
      <c r="H845" s="2" t="s">
        <v>46</v>
      </c>
      <c r="I845" s="2" t="s">
        <v>6</v>
      </c>
      <c r="J845" s="2" t="s">
        <v>5</v>
      </c>
      <c r="K845" s="2" t="s">
        <v>5</v>
      </c>
      <c r="L845" s="2" t="s">
        <v>7</v>
      </c>
      <c r="N845" s="1" t="s">
        <v>10519</v>
      </c>
      <c r="O845" s="2" t="s">
        <v>554</v>
      </c>
      <c r="Q845" s="2" t="s">
        <v>1151</v>
      </c>
      <c r="R845" s="2" t="s">
        <v>4146</v>
      </c>
      <c r="T845" s="2" t="s">
        <v>13</v>
      </c>
      <c r="U845" s="3">
        <v>1</v>
      </c>
      <c r="V845" s="3">
        <v>1</v>
      </c>
      <c r="W845" s="4" t="s">
        <v>3997</v>
      </c>
      <c r="X845" s="4" t="s">
        <v>3997</v>
      </c>
      <c r="Y845" s="4" t="s">
        <v>10520</v>
      </c>
      <c r="Z845" s="4" t="s">
        <v>10520</v>
      </c>
      <c r="AA845" s="3">
        <v>75</v>
      </c>
      <c r="AB845" s="3">
        <v>62</v>
      </c>
      <c r="AC845" s="3">
        <v>65</v>
      </c>
      <c r="AD845" s="3">
        <v>2</v>
      </c>
      <c r="AE845" s="9">
        <v>2</v>
      </c>
      <c r="AF845" s="9">
        <v>2</v>
      </c>
      <c r="AG845" s="9">
        <v>2</v>
      </c>
      <c r="AH845" s="3">
        <v>0</v>
      </c>
      <c r="AI845" s="3">
        <v>0</v>
      </c>
      <c r="AJ845" s="3">
        <v>0</v>
      </c>
      <c r="AK845" s="3">
        <v>0</v>
      </c>
      <c r="AL845" s="3">
        <v>1</v>
      </c>
      <c r="AM845" s="3">
        <v>1</v>
      </c>
      <c r="AN845" s="3">
        <v>1</v>
      </c>
      <c r="AO845" s="3">
        <v>1</v>
      </c>
      <c r="AP845" s="3">
        <v>0</v>
      </c>
      <c r="AQ845" s="3">
        <v>0</v>
      </c>
      <c r="AR845" s="2" t="s">
        <v>5</v>
      </c>
      <c r="AS845" s="2" t="s">
        <v>46</v>
      </c>
      <c r="AT845" s="5" t="str">
        <f>HYPERLINK("http://catalog.hathitrust.org/Record/101096194","HathiTrust Record")</f>
        <v>HathiTrust Record</v>
      </c>
      <c r="AU845" s="5" t="str">
        <f>HYPERLINK("https://creighton-primo.hosted.exlibrisgroup.com/primo-explore/search?tab=default_tab&amp;search_scope=EVERYTHING&amp;vid=01CRU&amp;lang=en_US&amp;offset=0&amp;query=any,contains,991003813649702656","Catalog Record")</f>
        <v>Catalog Record</v>
      </c>
      <c r="AV845" s="5" t="str">
        <f>HYPERLINK("http://www.worldcat.org/oclc/15136064","WorldCat Record")</f>
        <v>WorldCat Record</v>
      </c>
      <c r="AW845" s="2" t="s">
        <v>10521</v>
      </c>
      <c r="AX845" s="2" t="s">
        <v>10522</v>
      </c>
      <c r="AY845" s="2" t="s">
        <v>10523</v>
      </c>
      <c r="AZ845" s="2" t="s">
        <v>10523</v>
      </c>
      <c r="BA845" s="2" t="s">
        <v>10524</v>
      </c>
      <c r="BB845" s="2" t="s">
        <v>20</v>
      </c>
      <c r="BE845" s="2" t="s">
        <v>10525</v>
      </c>
      <c r="BF845" s="2" t="s">
        <v>10526</v>
      </c>
    </row>
    <row r="846" spans="1:58" ht="39.75" customHeight="1" x14ac:dyDescent="0.25">
      <c r="A846" s="7" t="s">
        <v>5</v>
      </c>
      <c r="B846" s="1" t="s">
        <v>0</v>
      </c>
      <c r="C846" s="1" t="s">
        <v>1</v>
      </c>
      <c r="D846" s="1" t="s">
        <v>10527</v>
      </c>
      <c r="E846" s="1" t="s">
        <v>10528</v>
      </c>
      <c r="F846" s="1" t="s">
        <v>10529</v>
      </c>
      <c r="H846" s="2" t="s">
        <v>5</v>
      </c>
      <c r="I846" s="2" t="s">
        <v>6</v>
      </c>
      <c r="J846" s="2" t="s">
        <v>5</v>
      </c>
      <c r="K846" s="2" t="s">
        <v>5</v>
      </c>
      <c r="L846" s="2" t="s">
        <v>7</v>
      </c>
      <c r="N846" s="1" t="s">
        <v>10530</v>
      </c>
      <c r="O846" s="2" t="s">
        <v>1390</v>
      </c>
      <c r="Q846" s="2" t="s">
        <v>1151</v>
      </c>
      <c r="R846" s="2" t="s">
        <v>4146</v>
      </c>
      <c r="S846" s="1" t="s">
        <v>10531</v>
      </c>
      <c r="T846" s="2" t="s">
        <v>13</v>
      </c>
      <c r="U846" s="3">
        <v>2</v>
      </c>
      <c r="V846" s="3">
        <v>2</v>
      </c>
      <c r="W846" s="4" t="s">
        <v>10532</v>
      </c>
      <c r="X846" s="4" t="s">
        <v>10532</v>
      </c>
      <c r="Y846" s="4" t="s">
        <v>10532</v>
      </c>
      <c r="Z846" s="4" t="s">
        <v>10532</v>
      </c>
      <c r="AA846" s="3">
        <v>160</v>
      </c>
      <c r="AB846" s="3">
        <v>115</v>
      </c>
      <c r="AC846" s="3">
        <v>134</v>
      </c>
      <c r="AD846" s="3">
        <v>2</v>
      </c>
      <c r="AE846" s="9">
        <v>2</v>
      </c>
      <c r="AF846" s="9">
        <v>8</v>
      </c>
      <c r="AG846" s="9">
        <v>8</v>
      </c>
      <c r="AH846" s="3">
        <v>1</v>
      </c>
      <c r="AI846" s="3">
        <v>1</v>
      </c>
      <c r="AJ846" s="3">
        <v>4</v>
      </c>
      <c r="AK846" s="3">
        <v>4</v>
      </c>
      <c r="AL846" s="3">
        <v>4</v>
      </c>
      <c r="AM846" s="3">
        <v>4</v>
      </c>
      <c r="AN846" s="3">
        <v>1</v>
      </c>
      <c r="AO846" s="3">
        <v>1</v>
      </c>
      <c r="AP846" s="3">
        <v>0</v>
      </c>
      <c r="AQ846" s="3">
        <v>0</v>
      </c>
      <c r="AR846" s="2" t="s">
        <v>5</v>
      </c>
      <c r="AS846" s="2" t="s">
        <v>46</v>
      </c>
      <c r="AT846" s="5" t="str">
        <f>HYPERLINK("http://catalog.hathitrust.org/Record/002193674","HathiTrust Record")</f>
        <v>HathiTrust Record</v>
      </c>
      <c r="AU846" s="5" t="str">
        <f>HYPERLINK("https://creighton-primo.hosted.exlibrisgroup.com/primo-explore/search?tab=default_tab&amp;search_scope=EVERYTHING&amp;vid=01CRU&amp;lang=en_US&amp;offset=0&amp;query=any,contains,991003681849702656","Catalog Record")</f>
        <v>Catalog Record</v>
      </c>
      <c r="AV846" s="5" t="str">
        <f>HYPERLINK("http://www.worldcat.org/oclc/7179193","WorldCat Record")</f>
        <v>WorldCat Record</v>
      </c>
      <c r="AW846" s="2" t="s">
        <v>10533</v>
      </c>
      <c r="AX846" s="2" t="s">
        <v>10534</v>
      </c>
      <c r="AY846" s="2" t="s">
        <v>10535</v>
      </c>
      <c r="AZ846" s="2" t="s">
        <v>10535</v>
      </c>
      <c r="BA846" s="2" t="s">
        <v>10536</v>
      </c>
      <c r="BB846" s="2" t="s">
        <v>20</v>
      </c>
      <c r="BD846" s="2" t="s">
        <v>10537</v>
      </c>
      <c r="BE846" s="2" t="s">
        <v>10538</v>
      </c>
      <c r="BF846" s="2" t="s">
        <v>10539</v>
      </c>
    </row>
    <row r="847" spans="1:58" ht="39.75" customHeight="1" x14ac:dyDescent="0.25">
      <c r="A847" s="7" t="s">
        <v>5</v>
      </c>
      <c r="B847" s="1" t="s">
        <v>0</v>
      </c>
      <c r="C847" s="1" t="s">
        <v>1</v>
      </c>
      <c r="D847" s="1" t="s">
        <v>10540</v>
      </c>
      <c r="E847" s="1" t="s">
        <v>10541</v>
      </c>
      <c r="F847" s="1" t="s">
        <v>10542</v>
      </c>
      <c r="H847" s="2" t="s">
        <v>5</v>
      </c>
      <c r="I847" s="2" t="s">
        <v>6</v>
      </c>
      <c r="J847" s="2" t="s">
        <v>5</v>
      </c>
      <c r="K847" s="2" t="s">
        <v>5</v>
      </c>
      <c r="L847" s="2" t="s">
        <v>7</v>
      </c>
      <c r="N847" s="1" t="s">
        <v>10543</v>
      </c>
      <c r="O847" s="2" t="s">
        <v>322</v>
      </c>
      <c r="Q847" s="2" t="s">
        <v>1151</v>
      </c>
      <c r="R847" s="2" t="s">
        <v>4146</v>
      </c>
      <c r="T847" s="2" t="s">
        <v>13</v>
      </c>
      <c r="U847" s="3">
        <v>1</v>
      </c>
      <c r="V847" s="3">
        <v>1</v>
      </c>
      <c r="W847" s="4" t="s">
        <v>6701</v>
      </c>
      <c r="X847" s="4" t="s">
        <v>6701</v>
      </c>
      <c r="Y847" s="4" t="s">
        <v>10209</v>
      </c>
      <c r="Z847" s="4" t="s">
        <v>10209</v>
      </c>
      <c r="AA847" s="3">
        <v>19</v>
      </c>
      <c r="AB847" s="3">
        <v>18</v>
      </c>
      <c r="AC847" s="3">
        <v>18</v>
      </c>
      <c r="AD847" s="3">
        <v>1</v>
      </c>
      <c r="AE847" s="9">
        <v>1</v>
      </c>
      <c r="AF847" s="9">
        <v>1</v>
      </c>
      <c r="AG847" s="9">
        <v>1</v>
      </c>
      <c r="AH847" s="3">
        <v>0</v>
      </c>
      <c r="AI847" s="3">
        <v>0</v>
      </c>
      <c r="AJ847" s="3">
        <v>0</v>
      </c>
      <c r="AK847" s="3">
        <v>0</v>
      </c>
      <c r="AL847" s="3">
        <v>1</v>
      </c>
      <c r="AM847" s="3">
        <v>1</v>
      </c>
      <c r="AN847" s="3">
        <v>0</v>
      </c>
      <c r="AO847" s="3">
        <v>0</v>
      </c>
      <c r="AP847" s="3">
        <v>0</v>
      </c>
      <c r="AQ847" s="3">
        <v>0</v>
      </c>
      <c r="AR847" s="2" t="s">
        <v>5</v>
      </c>
      <c r="AS847" s="2" t="s">
        <v>5</v>
      </c>
      <c r="AU847" s="5" t="str">
        <f>HYPERLINK("https://creighton-primo.hosted.exlibrisgroup.com/primo-explore/search?tab=default_tab&amp;search_scope=EVERYTHING&amp;vid=01CRU&amp;lang=en_US&amp;offset=0&amp;query=any,contains,991003757969702656","Catalog Record")</f>
        <v>Catalog Record</v>
      </c>
      <c r="AV847" s="5" t="str">
        <f>HYPERLINK("http://www.worldcat.org/oclc/29342331","WorldCat Record")</f>
        <v>WorldCat Record</v>
      </c>
      <c r="AW847" s="2" t="s">
        <v>10544</v>
      </c>
      <c r="AX847" s="2" t="s">
        <v>10545</v>
      </c>
      <c r="AY847" s="2" t="s">
        <v>10546</v>
      </c>
      <c r="AZ847" s="2" t="s">
        <v>10546</v>
      </c>
      <c r="BA847" s="2" t="s">
        <v>10547</v>
      </c>
      <c r="BB847" s="2" t="s">
        <v>20</v>
      </c>
      <c r="BD847" s="2" t="s">
        <v>10548</v>
      </c>
      <c r="BE847" s="2" t="s">
        <v>10549</v>
      </c>
      <c r="BF847" s="2" t="s">
        <v>10550</v>
      </c>
    </row>
    <row r="848" spans="1:58" ht="39.75" customHeight="1" x14ac:dyDescent="0.25">
      <c r="A848" s="7" t="s">
        <v>5</v>
      </c>
      <c r="B848" s="1" t="s">
        <v>0</v>
      </c>
      <c r="C848" s="1" t="s">
        <v>1</v>
      </c>
      <c r="D848" s="1" t="s">
        <v>10551</v>
      </c>
      <c r="E848" s="1" t="s">
        <v>10552</v>
      </c>
      <c r="F848" s="1" t="s">
        <v>10553</v>
      </c>
      <c r="H848" s="2" t="s">
        <v>5</v>
      </c>
      <c r="I848" s="2" t="s">
        <v>6</v>
      </c>
      <c r="J848" s="2" t="s">
        <v>5</v>
      </c>
      <c r="K848" s="2" t="s">
        <v>5</v>
      </c>
      <c r="L848" s="2" t="s">
        <v>7</v>
      </c>
      <c r="N848" s="1" t="s">
        <v>10554</v>
      </c>
      <c r="O848" s="2" t="s">
        <v>639</v>
      </c>
      <c r="P848" s="1" t="s">
        <v>5939</v>
      </c>
      <c r="Q848" s="2" t="s">
        <v>1151</v>
      </c>
      <c r="R848" s="2" t="s">
        <v>5403</v>
      </c>
      <c r="S848" s="1" t="s">
        <v>10446</v>
      </c>
      <c r="T848" s="2" t="s">
        <v>13</v>
      </c>
      <c r="U848" s="3">
        <v>6</v>
      </c>
      <c r="V848" s="3">
        <v>6</v>
      </c>
      <c r="W848" s="4" t="s">
        <v>3185</v>
      </c>
      <c r="X848" s="4" t="s">
        <v>3185</v>
      </c>
      <c r="Y848" s="4" t="s">
        <v>10555</v>
      </c>
      <c r="Z848" s="4" t="s">
        <v>10555</v>
      </c>
      <c r="AA848" s="3">
        <v>49</v>
      </c>
      <c r="AB848" s="3">
        <v>44</v>
      </c>
      <c r="AC848" s="3">
        <v>215</v>
      </c>
      <c r="AD848" s="3">
        <v>1</v>
      </c>
      <c r="AE848" s="9">
        <v>2</v>
      </c>
      <c r="AF848" s="9">
        <v>5</v>
      </c>
      <c r="AG848" s="9">
        <v>13</v>
      </c>
      <c r="AH848" s="3">
        <v>1</v>
      </c>
      <c r="AI848" s="3">
        <v>3</v>
      </c>
      <c r="AJ848" s="3">
        <v>2</v>
      </c>
      <c r="AK848" s="3">
        <v>4</v>
      </c>
      <c r="AL848" s="3">
        <v>3</v>
      </c>
      <c r="AM848" s="3">
        <v>8</v>
      </c>
      <c r="AN848" s="3">
        <v>0</v>
      </c>
      <c r="AO848" s="3">
        <v>1</v>
      </c>
      <c r="AP848" s="3">
        <v>0</v>
      </c>
      <c r="AQ848" s="3">
        <v>0</v>
      </c>
      <c r="AR848" s="2" t="s">
        <v>5</v>
      </c>
      <c r="AS848" s="2" t="s">
        <v>46</v>
      </c>
      <c r="AT848" s="5" t="str">
        <f>HYPERLINK("http://catalog.hathitrust.org/Record/002629911","HathiTrust Record")</f>
        <v>HathiTrust Record</v>
      </c>
      <c r="AU848" s="5" t="str">
        <f>HYPERLINK("https://creighton-primo.hosted.exlibrisgroup.com/primo-explore/search?tab=default_tab&amp;search_scope=EVERYTHING&amp;vid=01CRU&amp;lang=en_US&amp;offset=0&amp;query=any,contains,991001446839702656","Catalog Record")</f>
        <v>Catalog Record</v>
      </c>
      <c r="AV848" s="5" t="str">
        <f>HYPERLINK("http://www.worldcat.org/oclc/19289355","WorldCat Record")</f>
        <v>WorldCat Record</v>
      </c>
      <c r="AW848" s="2" t="s">
        <v>10556</v>
      </c>
      <c r="AX848" s="2" t="s">
        <v>10557</v>
      </c>
      <c r="AY848" s="2" t="s">
        <v>10558</v>
      </c>
      <c r="AZ848" s="2" t="s">
        <v>10558</v>
      </c>
      <c r="BA848" s="2" t="s">
        <v>10559</v>
      </c>
      <c r="BB848" s="2" t="s">
        <v>20</v>
      </c>
      <c r="BD848" s="2" t="s">
        <v>10560</v>
      </c>
      <c r="BE848" s="2" t="s">
        <v>10561</v>
      </c>
      <c r="BF848" s="2" t="s">
        <v>10562</v>
      </c>
    </row>
    <row r="849" spans="1:58" ht="39.75" customHeight="1" x14ac:dyDescent="0.25">
      <c r="A849" s="7" t="s">
        <v>5</v>
      </c>
      <c r="B849" s="1" t="s">
        <v>0</v>
      </c>
      <c r="C849" s="1" t="s">
        <v>1</v>
      </c>
      <c r="D849" s="1" t="s">
        <v>10563</v>
      </c>
      <c r="E849" s="1" t="s">
        <v>10564</v>
      </c>
      <c r="F849" s="1" t="s">
        <v>10565</v>
      </c>
      <c r="H849" s="2" t="s">
        <v>5</v>
      </c>
      <c r="I849" s="2" t="s">
        <v>6</v>
      </c>
      <c r="J849" s="2" t="s">
        <v>5</v>
      </c>
      <c r="K849" s="2" t="s">
        <v>5</v>
      </c>
      <c r="L849" s="2" t="s">
        <v>7</v>
      </c>
      <c r="N849" s="1" t="s">
        <v>10566</v>
      </c>
      <c r="O849" s="2" t="s">
        <v>569</v>
      </c>
      <c r="P849" s="1" t="s">
        <v>2908</v>
      </c>
      <c r="Q849" s="2" t="s">
        <v>1151</v>
      </c>
      <c r="R849" s="2" t="s">
        <v>3002</v>
      </c>
      <c r="T849" s="2" t="s">
        <v>13</v>
      </c>
      <c r="U849" s="3">
        <v>1</v>
      </c>
      <c r="V849" s="3">
        <v>1</v>
      </c>
      <c r="W849" s="4" t="s">
        <v>10567</v>
      </c>
      <c r="X849" s="4" t="s">
        <v>10567</v>
      </c>
      <c r="Y849" s="4" t="s">
        <v>8230</v>
      </c>
      <c r="Z849" s="4" t="s">
        <v>8230</v>
      </c>
      <c r="AA849" s="3">
        <v>60</v>
      </c>
      <c r="AB849" s="3">
        <v>55</v>
      </c>
      <c r="AC849" s="3">
        <v>88</v>
      </c>
      <c r="AD849" s="3">
        <v>1</v>
      </c>
      <c r="AE849" s="9">
        <v>2</v>
      </c>
      <c r="AF849" s="9">
        <v>2</v>
      </c>
      <c r="AG849" s="9">
        <v>4</v>
      </c>
      <c r="AH849" s="3">
        <v>0</v>
      </c>
      <c r="AI849" s="3">
        <v>0</v>
      </c>
      <c r="AJ849" s="3">
        <v>1</v>
      </c>
      <c r="AK849" s="3">
        <v>2</v>
      </c>
      <c r="AL849" s="3">
        <v>2</v>
      </c>
      <c r="AM849" s="3">
        <v>3</v>
      </c>
      <c r="AN849" s="3">
        <v>0</v>
      </c>
      <c r="AO849" s="3">
        <v>0</v>
      </c>
      <c r="AP849" s="3">
        <v>0</v>
      </c>
      <c r="AQ849" s="3">
        <v>0</v>
      </c>
      <c r="AR849" s="2" t="s">
        <v>5</v>
      </c>
      <c r="AS849" s="2" t="s">
        <v>46</v>
      </c>
      <c r="AT849" s="5" t="str">
        <f>HYPERLINK("http://catalog.hathitrust.org/Record/004259866","HathiTrust Record")</f>
        <v>HathiTrust Record</v>
      </c>
      <c r="AU849" s="5" t="str">
        <f>HYPERLINK("https://creighton-primo.hosted.exlibrisgroup.com/primo-explore/search?tab=default_tab&amp;search_scope=EVERYTHING&amp;vid=01CRU&amp;lang=en_US&amp;offset=0&amp;query=any,contains,991003254179702656","Catalog Record")</f>
        <v>Catalog Record</v>
      </c>
      <c r="AV849" s="5" t="str">
        <f>HYPERLINK("http://www.worldcat.org/oclc/41635971","WorldCat Record")</f>
        <v>WorldCat Record</v>
      </c>
      <c r="AW849" s="2" t="s">
        <v>10568</v>
      </c>
      <c r="AX849" s="2" t="s">
        <v>10569</v>
      </c>
      <c r="AY849" s="2" t="s">
        <v>10570</v>
      </c>
      <c r="AZ849" s="2" t="s">
        <v>10570</v>
      </c>
      <c r="BA849" s="2" t="s">
        <v>10571</v>
      </c>
      <c r="BB849" s="2" t="s">
        <v>20</v>
      </c>
      <c r="BD849" s="2" t="s">
        <v>10572</v>
      </c>
      <c r="BE849" s="2" t="s">
        <v>10573</v>
      </c>
      <c r="BF849" s="2" t="s">
        <v>10574</v>
      </c>
    </row>
    <row r="850" spans="1:58" ht="39.75" customHeight="1" x14ac:dyDescent="0.25">
      <c r="A850" s="7" t="s">
        <v>5</v>
      </c>
      <c r="B850" s="1" t="s">
        <v>0</v>
      </c>
      <c r="C850" s="1" t="s">
        <v>1</v>
      </c>
      <c r="D850" s="1" t="s">
        <v>10575</v>
      </c>
      <c r="E850" s="1" t="s">
        <v>10576</v>
      </c>
      <c r="F850" s="1" t="s">
        <v>10577</v>
      </c>
      <c r="H850" s="2" t="s">
        <v>5</v>
      </c>
      <c r="I850" s="2" t="s">
        <v>6</v>
      </c>
      <c r="J850" s="2" t="s">
        <v>5</v>
      </c>
      <c r="K850" s="2" t="s">
        <v>5</v>
      </c>
      <c r="L850" s="2" t="s">
        <v>7</v>
      </c>
      <c r="N850" s="1" t="s">
        <v>260</v>
      </c>
      <c r="O850" s="2" t="s">
        <v>261</v>
      </c>
      <c r="Q850" s="2" t="s">
        <v>60</v>
      </c>
      <c r="R850" s="2" t="s">
        <v>262</v>
      </c>
      <c r="T850" s="2" t="s">
        <v>13</v>
      </c>
      <c r="U850" s="3">
        <v>1</v>
      </c>
      <c r="V850" s="3">
        <v>1</v>
      </c>
      <c r="W850" s="4" t="s">
        <v>10578</v>
      </c>
      <c r="X850" s="4" t="s">
        <v>10578</v>
      </c>
      <c r="Y850" s="4" t="s">
        <v>9376</v>
      </c>
      <c r="Z850" s="4" t="s">
        <v>9376</v>
      </c>
      <c r="AA850" s="3">
        <v>205</v>
      </c>
      <c r="AB850" s="3">
        <v>187</v>
      </c>
      <c r="AC850" s="3">
        <v>189</v>
      </c>
      <c r="AD850" s="3">
        <v>3</v>
      </c>
      <c r="AE850" s="9">
        <v>3</v>
      </c>
      <c r="AF850" s="9">
        <v>9</v>
      </c>
      <c r="AG850" s="9">
        <v>9</v>
      </c>
      <c r="AH850" s="3">
        <v>0</v>
      </c>
      <c r="AI850" s="3">
        <v>0</v>
      </c>
      <c r="AJ850" s="3">
        <v>5</v>
      </c>
      <c r="AK850" s="3">
        <v>5</v>
      </c>
      <c r="AL850" s="3">
        <v>4</v>
      </c>
      <c r="AM850" s="3">
        <v>4</v>
      </c>
      <c r="AN850" s="3">
        <v>2</v>
      </c>
      <c r="AO850" s="3">
        <v>2</v>
      </c>
      <c r="AP850" s="3">
        <v>0</v>
      </c>
      <c r="AQ850" s="3">
        <v>0</v>
      </c>
      <c r="AR850" s="2" t="s">
        <v>5</v>
      </c>
      <c r="AS850" s="2" t="s">
        <v>46</v>
      </c>
      <c r="AT850" s="5" t="str">
        <f>HYPERLINK("http://catalog.hathitrust.org/Record/008321463","HathiTrust Record")</f>
        <v>HathiTrust Record</v>
      </c>
      <c r="AU850" s="5" t="str">
        <f>HYPERLINK("https://creighton-primo.hosted.exlibrisgroup.com/primo-explore/search?tab=default_tab&amp;search_scope=EVERYTHING&amp;vid=01CRU&amp;lang=en_US&amp;offset=0&amp;query=any,contains,991000024089702656","Catalog Record")</f>
        <v>Catalog Record</v>
      </c>
      <c r="AV850" s="5" t="str">
        <f>HYPERLINK("http://www.worldcat.org/oclc/8587778","WorldCat Record")</f>
        <v>WorldCat Record</v>
      </c>
      <c r="AW850" s="2" t="s">
        <v>10579</v>
      </c>
      <c r="AX850" s="2" t="s">
        <v>10580</v>
      </c>
      <c r="AY850" s="2" t="s">
        <v>10581</v>
      </c>
      <c r="AZ850" s="2" t="s">
        <v>10581</v>
      </c>
      <c r="BA850" s="2" t="s">
        <v>10582</v>
      </c>
      <c r="BB850" s="2" t="s">
        <v>20</v>
      </c>
      <c r="BD850" s="2" t="s">
        <v>10583</v>
      </c>
      <c r="BE850" s="2" t="s">
        <v>10584</v>
      </c>
      <c r="BF850" s="2" t="s">
        <v>10585</v>
      </c>
    </row>
    <row r="851" spans="1:58" ht="39.75" customHeight="1" x14ac:dyDescent="0.25">
      <c r="A851" s="7" t="s">
        <v>5</v>
      </c>
      <c r="B851" s="1" t="s">
        <v>0</v>
      </c>
      <c r="C851" s="1" t="s">
        <v>1</v>
      </c>
      <c r="D851" s="1" t="s">
        <v>10586</v>
      </c>
      <c r="E851" s="1" t="s">
        <v>10587</v>
      </c>
      <c r="F851" s="1" t="s">
        <v>10588</v>
      </c>
      <c r="H851" s="2" t="s">
        <v>5</v>
      </c>
      <c r="I851" s="2" t="s">
        <v>6</v>
      </c>
      <c r="J851" s="2" t="s">
        <v>5</v>
      </c>
      <c r="K851" s="2" t="s">
        <v>5</v>
      </c>
      <c r="L851" s="2" t="s">
        <v>7</v>
      </c>
      <c r="N851" s="1" t="s">
        <v>10589</v>
      </c>
      <c r="O851" s="2" t="s">
        <v>27</v>
      </c>
      <c r="Q851" s="2" t="s">
        <v>60</v>
      </c>
      <c r="R851" s="2" t="s">
        <v>422</v>
      </c>
      <c r="T851" s="2" t="s">
        <v>13</v>
      </c>
      <c r="U851" s="3">
        <v>2</v>
      </c>
      <c r="V851" s="3">
        <v>2</v>
      </c>
      <c r="W851" s="4" t="s">
        <v>10590</v>
      </c>
      <c r="X851" s="4" t="s">
        <v>10590</v>
      </c>
      <c r="Y851" s="4" t="s">
        <v>10591</v>
      </c>
      <c r="Z851" s="4" t="s">
        <v>10591</v>
      </c>
      <c r="AA851" s="3">
        <v>169</v>
      </c>
      <c r="AB851" s="3">
        <v>148</v>
      </c>
      <c r="AC851" s="3">
        <v>150</v>
      </c>
      <c r="AD851" s="3">
        <v>1</v>
      </c>
      <c r="AE851" s="9">
        <v>1</v>
      </c>
      <c r="AF851" s="9">
        <v>6</v>
      </c>
      <c r="AG851" s="9">
        <v>6</v>
      </c>
      <c r="AH851" s="3">
        <v>2</v>
      </c>
      <c r="AI851" s="3">
        <v>2</v>
      </c>
      <c r="AJ851" s="3">
        <v>2</v>
      </c>
      <c r="AK851" s="3">
        <v>2</v>
      </c>
      <c r="AL851" s="3">
        <v>5</v>
      </c>
      <c r="AM851" s="3">
        <v>5</v>
      </c>
      <c r="AN851" s="3">
        <v>0</v>
      </c>
      <c r="AO851" s="3">
        <v>0</v>
      </c>
      <c r="AP851" s="3">
        <v>0</v>
      </c>
      <c r="AQ851" s="3">
        <v>0</v>
      </c>
      <c r="AR851" s="2" t="s">
        <v>5</v>
      </c>
      <c r="AS851" s="2" t="s">
        <v>46</v>
      </c>
      <c r="AT851" s="5" t="str">
        <f>HYPERLINK("http://catalog.hathitrust.org/Record/002571790","HathiTrust Record")</f>
        <v>HathiTrust Record</v>
      </c>
      <c r="AU851" s="5" t="str">
        <f>HYPERLINK("https://creighton-primo.hosted.exlibrisgroup.com/primo-explore/search?tab=default_tab&amp;search_scope=EVERYTHING&amp;vid=01CRU&amp;lang=en_US&amp;offset=0&amp;query=any,contains,991001917579702656","Catalog Record")</f>
        <v>Catalog Record</v>
      </c>
      <c r="AV851" s="5" t="str">
        <f>HYPERLINK("http://www.worldcat.org/oclc/24214491","WorldCat Record")</f>
        <v>WorldCat Record</v>
      </c>
      <c r="AW851" s="2" t="s">
        <v>10592</v>
      </c>
      <c r="AX851" s="2" t="s">
        <v>10593</v>
      </c>
      <c r="AY851" s="2" t="s">
        <v>10594</v>
      </c>
      <c r="AZ851" s="2" t="s">
        <v>10594</v>
      </c>
      <c r="BA851" s="2" t="s">
        <v>10595</v>
      </c>
      <c r="BB851" s="2" t="s">
        <v>20</v>
      </c>
      <c r="BD851" s="2" t="s">
        <v>10596</v>
      </c>
      <c r="BE851" s="2" t="s">
        <v>10597</v>
      </c>
      <c r="BF851" s="2" t="s">
        <v>10598</v>
      </c>
    </row>
    <row r="852" spans="1:58" ht="39.75" customHeight="1" x14ac:dyDescent="0.25">
      <c r="A852" s="7" t="s">
        <v>5</v>
      </c>
      <c r="B852" s="1" t="s">
        <v>0</v>
      </c>
      <c r="C852" s="1" t="s">
        <v>1</v>
      </c>
      <c r="D852" s="1" t="s">
        <v>10599</v>
      </c>
      <c r="E852" s="1" t="s">
        <v>10600</v>
      </c>
      <c r="F852" s="1" t="s">
        <v>10601</v>
      </c>
      <c r="H852" s="2" t="s">
        <v>5</v>
      </c>
      <c r="I852" s="2" t="s">
        <v>6</v>
      </c>
      <c r="J852" s="2" t="s">
        <v>5</v>
      </c>
      <c r="K852" s="2" t="s">
        <v>5</v>
      </c>
      <c r="L852" s="2" t="s">
        <v>7</v>
      </c>
      <c r="N852" s="1" t="s">
        <v>10602</v>
      </c>
      <c r="O852" s="2" t="s">
        <v>2448</v>
      </c>
      <c r="P852" s="1" t="s">
        <v>5911</v>
      </c>
      <c r="Q852" s="2" t="s">
        <v>1151</v>
      </c>
      <c r="R852" s="2" t="s">
        <v>5403</v>
      </c>
      <c r="S852" s="1" t="s">
        <v>10603</v>
      </c>
      <c r="T852" s="2" t="s">
        <v>13</v>
      </c>
      <c r="U852" s="3">
        <v>1</v>
      </c>
      <c r="V852" s="3">
        <v>1</v>
      </c>
      <c r="W852" s="4" t="s">
        <v>10422</v>
      </c>
      <c r="X852" s="4" t="s">
        <v>10422</v>
      </c>
      <c r="Y852" s="4" t="s">
        <v>10422</v>
      </c>
      <c r="Z852" s="4" t="s">
        <v>10422</v>
      </c>
      <c r="AA852" s="3">
        <v>110</v>
      </c>
      <c r="AB852" s="3">
        <v>91</v>
      </c>
      <c r="AC852" s="3">
        <v>103</v>
      </c>
      <c r="AD852" s="3">
        <v>1</v>
      </c>
      <c r="AE852" s="9">
        <v>1</v>
      </c>
      <c r="AF852" s="9">
        <v>1</v>
      </c>
      <c r="AG852" s="9">
        <v>1</v>
      </c>
      <c r="AH852" s="3">
        <v>0</v>
      </c>
      <c r="AI852" s="3">
        <v>0</v>
      </c>
      <c r="AJ852" s="3">
        <v>0</v>
      </c>
      <c r="AK852" s="3">
        <v>0</v>
      </c>
      <c r="AL852" s="3">
        <v>1</v>
      </c>
      <c r="AM852" s="3">
        <v>1</v>
      </c>
      <c r="AN852" s="3">
        <v>0</v>
      </c>
      <c r="AO852" s="3">
        <v>0</v>
      </c>
      <c r="AP852" s="3">
        <v>0</v>
      </c>
      <c r="AQ852" s="3">
        <v>0</v>
      </c>
      <c r="AR852" s="2" t="s">
        <v>5</v>
      </c>
      <c r="AS852" s="2" t="s">
        <v>46</v>
      </c>
      <c r="AT852" s="5" t="str">
        <f>HYPERLINK("http://catalog.hathitrust.org/Record/004088136","HathiTrust Record")</f>
        <v>HathiTrust Record</v>
      </c>
      <c r="AU852" s="5" t="str">
        <f>HYPERLINK("https://creighton-primo.hosted.exlibrisgroup.com/primo-explore/search?tab=default_tab&amp;search_scope=EVERYTHING&amp;vid=01CRU&amp;lang=en_US&amp;offset=0&amp;query=any,contains,991003255249702656","Catalog Record")</f>
        <v>Catalog Record</v>
      </c>
      <c r="AV852" s="5" t="str">
        <f>HYPERLINK("http://www.worldcat.org/oclc/44131218","WorldCat Record")</f>
        <v>WorldCat Record</v>
      </c>
      <c r="AW852" s="2" t="s">
        <v>10604</v>
      </c>
      <c r="AX852" s="2" t="s">
        <v>10605</v>
      </c>
      <c r="AY852" s="2" t="s">
        <v>10606</v>
      </c>
      <c r="AZ852" s="2" t="s">
        <v>10606</v>
      </c>
      <c r="BA852" s="2" t="s">
        <v>10607</v>
      </c>
      <c r="BB852" s="2" t="s">
        <v>20</v>
      </c>
      <c r="BD852" s="2" t="s">
        <v>10608</v>
      </c>
      <c r="BE852" s="2" t="s">
        <v>10609</v>
      </c>
      <c r="BF852" s="2" t="s">
        <v>10610</v>
      </c>
    </row>
    <row r="853" spans="1:58" ht="39.75" customHeight="1" x14ac:dyDescent="0.25">
      <c r="A853" s="7" t="s">
        <v>5</v>
      </c>
      <c r="B853" s="1" t="s">
        <v>0</v>
      </c>
      <c r="C853" s="1" t="s">
        <v>1</v>
      </c>
      <c r="D853" s="1" t="s">
        <v>10611</v>
      </c>
      <c r="E853" s="1" t="s">
        <v>10612</v>
      </c>
      <c r="F853" s="1" t="s">
        <v>10613</v>
      </c>
      <c r="H853" s="2" t="s">
        <v>5</v>
      </c>
      <c r="I853" s="2" t="s">
        <v>6</v>
      </c>
      <c r="J853" s="2" t="s">
        <v>5</v>
      </c>
      <c r="K853" s="2" t="s">
        <v>5</v>
      </c>
      <c r="L853" s="2" t="s">
        <v>7</v>
      </c>
      <c r="N853" s="1" t="s">
        <v>10614</v>
      </c>
      <c r="O853" s="2" t="s">
        <v>708</v>
      </c>
      <c r="P853" s="1" t="s">
        <v>10615</v>
      </c>
      <c r="Q853" s="2" t="s">
        <v>60</v>
      </c>
      <c r="R853" s="2" t="s">
        <v>871</v>
      </c>
      <c r="S853" s="1" t="s">
        <v>8405</v>
      </c>
      <c r="T853" s="2" t="s">
        <v>13</v>
      </c>
      <c r="U853" s="3">
        <v>2</v>
      </c>
      <c r="V853" s="3">
        <v>2</v>
      </c>
      <c r="W853" s="4" t="s">
        <v>5389</v>
      </c>
      <c r="X853" s="4" t="s">
        <v>5389</v>
      </c>
      <c r="Y853" s="4" t="s">
        <v>5390</v>
      </c>
      <c r="Z853" s="4" t="s">
        <v>5390</v>
      </c>
      <c r="AA853" s="3">
        <v>286</v>
      </c>
      <c r="AB853" s="3">
        <v>266</v>
      </c>
      <c r="AC853" s="3">
        <v>574</v>
      </c>
      <c r="AD853" s="3">
        <v>2</v>
      </c>
      <c r="AE853" s="9">
        <v>6</v>
      </c>
      <c r="AF853" s="9">
        <v>10</v>
      </c>
      <c r="AG853" s="9">
        <v>28</v>
      </c>
      <c r="AH853" s="3">
        <v>4</v>
      </c>
      <c r="AI853" s="3">
        <v>10</v>
      </c>
      <c r="AJ853" s="3">
        <v>1</v>
      </c>
      <c r="AK853" s="3">
        <v>6</v>
      </c>
      <c r="AL853" s="3">
        <v>6</v>
      </c>
      <c r="AM853" s="3">
        <v>11</v>
      </c>
      <c r="AN853" s="3">
        <v>1</v>
      </c>
      <c r="AO853" s="3">
        <v>5</v>
      </c>
      <c r="AP853" s="3">
        <v>0</v>
      </c>
      <c r="AQ853" s="3">
        <v>0</v>
      </c>
      <c r="AR853" s="2" t="s">
        <v>5</v>
      </c>
      <c r="AS853" s="2" t="s">
        <v>46</v>
      </c>
      <c r="AT853" s="5" t="str">
        <f>HYPERLINK("http://catalog.hathitrust.org/Record/001072906","HathiTrust Record")</f>
        <v>HathiTrust Record</v>
      </c>
      <c r="AU853" s="5" t="str">
        <f>HYPERLINK("https://creighton-primo.hosted.exlibrisgroup.com/primo-explore/search?tab=default_tab&amp;search_scope=EVERYTHING&amp;vid=01CRU&amp;lang=en_US&amp;offset=0&amp;query=any,contains,991003764269702656","Catalog Record")</f>
        <v>Catalog Record</v>
      </c>
      <c r="AV853" s="5" t="str">
        <f>HYPERLINK("http://www.worldcat.org/oclc/18223043","WorldCat Record")</f>
        <v>WorldCat Record</v>
      </c>
      <c r="AW853" s="2" t="s">
        <v>10616</v>
      </c>
      <c r="AX853" s="2" t="s">
        <v>10617</v>
      </c>
      <c r="AY853" s="2" t="s">
        <v>10618</v>
      </c>
      <c r="AZ853" s="2" t="s">
        <v>10618</v>
      </c>
      <c r="BA853" s="2" t="s">
        <v>10619</v>
      </c>
      <c r="BB853" s="2" t="s">
        <v>20</v>
      </c>
      <c r="BD853" s="2" t="s">
        <v>10620</v>
      </c>
      <c r="BE853" s="2" t="s">
        <v>10621</v>
      </c>
      <c r="BF853" s="2" t="s">
        <v>10622</v>
      </c>
    </row>
    <row r="854" spans="1:58" ht="39.75" customHeight="1" x14ac:dyDescent="0.25">
      <c r="A854" s="7" t="s">
        <v>5</v>
      </c>
      <c r="B854" s="1" t="s">
        <v>0</v>
      </c>
      <c r="C854" s="1" t="s">
        <v>1</v>
      </c>
      <c r="D854" s="1" t="s">
        <v>10623</v>
      </c>
      <c r="E854" s="1" t="s">
        <v>10624</v>
      </c>
      <c r="F854" s="1" t="s">
        <v>10625</v>
      </c>
      <c r="H854" s="2" t="s">
        <v>5</v>
      </c>
      <c r="I854" s="2" t="s">
        <v>6</v>
      </c>
      <c r="J854" s="2" t="s">
        <v>5</v>
      </c>
      <c r="K854" s="2" t="s">
        <v>5</v>
      </c>
      <c r="L854" s="2" t="s">
        <v>7</v>
      </c>
      <c r="M854" s="1" t="s">
        <v>10626</v>
      </c>
      <c r="N854" s="1" t="s">
        <v>10627</v>
      </c>
      <c r="O854" s="2" t="s">
        <v>6611</v>
      </c>
      <c r="P854" s="1" t="s">
        <v>2908</v>
      </c>
      <c r="Q854" s="2" t="s">
        <v>1151</v>
      </c>
      <c r="R854" s="2" t="s">
        <v>5403</v>
      </c>
      <c r="T854" s="2" t="s">
        <v>13</v>
      </c>
      <c r="U854" s="3">
        <v>3</v>
      </c>
      <c r="V854" s="3">
        <v>3</v>
      </c>
      <c r="W854" s="4" t="s">
        <v>10628</v>
      </c>
      <c r="X854" s="4" t="s">
        <v>10628</v>
      </c>
      <c r="Y854" s="4" t="s">
        <v>10629</v>
      </c>
      <c r="Z854" s="4" t="s">
        <v>10629</v>
      </c>
      <c r="AA854" s="3">
        <v>46</v>
      </c>
      <c r="AB854" s="3">
        <v>36</v>
      </c>
      <c r="AC854" s="3">
        <v>36</v>
      </c>
      <c r="AD854" s="3">
        <v>1</v>
      </c>
      <c r="AE854" s="9">
        <v>1</v>
      </c>
      <c r="AF854" s="9">
        <v>1</v>
      </c>
      <c r="AG854" s="9">
        <v>1</v>
      </c>
      <c r="AH854" s="3">
        <v>1</v>
      </c>
      <c r="AI854" s="3">
        <v>1</v>
      </c>
      <c r="AJ854" s="3">
        <v>0</v>
      </c>
      <c r="AK854" s="3">
        <v>0</v>
      </c>
      <c r="AL854" s="3">
        <v>1</v>
      </c>
      <c r="AM854" s="3">
        <v>1</v>
      </c>
      <c r="AN854" s="3">
        <v>0</v>
      </c>
      <c r="AO854" s="3">
        <v>0</v>
      </c>
      <c r="AP854" s="3">
        <v>0</v>
      </c>
      <c r="AQ854" s="3">
        <v>0</v>
      </c>
      <c r="AR854" s="2" t="s">
        <v>5</v>
      </c>
      <c r="AS854" s="2" t="s">
        <v>5</v>
      </c>
      <c r="AU854" s="5" t="str">
        <f>HYPERLINK("https://creighton-primo.hosted.exlibrisgroup.com/primo-explore/search?tab=default_tab&amp;search_scope=EVERYTHING&amp;vid=01CRU&amp;lang=en_US&amp;offset=0&amp;query=any,contains,991002696959702656","Catalog Record")</f>
        <v>Catalog Record</v>
      </c>
      <c r="AV854" s="5" t="str">
        <f>HYPERLINK("http://www.worldcat.org/oclc/35209641","WorldCat Record")</f>
        <v>WorldCat Record</v>
      </c>
      <c r="AW854" s="2" t="s">
        <v>10630</v>
      </c>
      <c r="AX854" s="2" t="s">
        <v>10631</v>
      </c>
      <c r="AY854" s="2" t="s">
        <v>10632</v>
      </c>
      <c r="AZ854" s="2" t="s">
        <v>10632</v>
      </c>
      <c r="BA854" s="2" t="s">
        <v>10633</v>
      </c>
      <c r="BB854" s="2" t="s">
        <v>20</v>
      </c>
      <c r="BD854" s="2" t="s">
        <v>10634</v>
      </c>
      <c r="BE854" s="2" t="s">
        <v>10635</v>
      </c>
      <c r="BF854" s="2" t="s">
        <v>10636</v>
      </c>
    </row>
    <row r="855" spans="1:58" ht="39.75" customHeight="1" x14ac:dyDescent="0.25">
      <c r="A855" s="7" t="s">
        <v>5</v>
      </c>
      <c r="B855" s="1" t="s">
        <v>0</v>
      </c>
      <c r="C855" s="1" t="s">
        <v>1</v>
      </c>
      <c r="D855" s="1" t="s">
        <v>10637</v>
      </c>
      <c r="E855" s="1" t="s">
        <v>10638</v>
      </c>
      <c r="F855" s="1" t="s">
        <v>10639</v>
      </c>
      <c r="H855" s="2" t="s">
        <v>5</v>
      </c>
      <c r="I855" s="2" t="s">
        <v>6</v>
      </c>
      <c r="J855" s="2" t="s">
        <v>5</v>
      </c>
      <c r="K855" s="2" t="s">
        <v>5</v>
      </c>
      <c r="L855" s="2" t="s">
        <v>7</v>
      </c>
      <c r="M855" s="1" t="s">
        <v>10640</v>
      </c>
      <c r="N855" s="1" t="s">
        <v>10641</v>
      </c>
      <c r="O855" s="2" t="s">
        <v>1418</v>
      </c>
      <c r="P855" s="1" t="s">
        <v>10642</v>
      </c>
      <c r="Q855" s="2" t="s">
        <v>60</v>
      </c>
      <c r="R855" s="2" t="s">
        <v>1066</v>
      </c>
      <c r="T855" s="2" t="s">
        <v>13</v>
      </c>
      <c r="U855" s="3">
        <v>4</v>
      </c>
      <c r="V855" s="3">
        <v>4</v>
      </c>
      <c r="W855" s="4" t="s">
        <v>10643</v>
      </c>
      <c r="X855" s="4" t="s">
        <v>10643</v>
      </c>
      <c r="Y855" s="4" t="s">
        <v>8825</v>
      </c>
      <c r="Z855" s="4" t="s">
        <v>8825</v>
      </c>
      <c r="AA855" s="3">
        <v>912</v>
      </c>
      <c r="AB855" s="3">
        <v>876</v>
      </c>
      <c r="AC855" s="3">
        <v>1171</v>
      </c>
      <c r="AD855" s="3">
        <v>5</v>
      </c>
      <c r="AE855" s="9">
        <v>9</v>
      </c>
      <c r="AF855" s="9">
        <v>35</v>
      </c>
      <c r="AG855" s="9">
        <v>44</v>
      </c>
      <c r="AH855" s="3">
        <v>17</v>
      </c>
      <c r="AI855" s="3">
        <v>18</v>
      </c>
      <c r="AJ855" s="3">
        <v>7</v>
      </c>
      <c r="AK855" s="3">
        <v>10</v>
      </c>
      <c r="AL855" s="3">
        <v>15</v>
      </c>
      <c r="AM855" s="3">
        <v>18</v>
      </c>
      <c r="AN855" s="3">
        <v>4</v>
      </c>
      <c r="AO855" s="3">
        <v>8</v>
      </c>
      <c r="AP855" s="3">
        <v>0</v>
      </c>
      <c r="AQ855" s="3">
        <v>0</v>
      </c>
      <c r="AR855" s="2" t="s">
        <v>5</v>
      </c>
      <c r="AS855" s="2" t="s">
        <v>46</v>
      </c>
      <c r="AT855" s="5" t="str">
        <f>HYPERLINK("http://catalog.hathitrust.org/Record/001111734","HathiTrust Record")</f>
        <v>HathiTrust Record</v>
      </c>
      <c r="AU855" s="5" t="str">
        <f>HYPERLINK("https://creighton-primo.hosted.exlibrisgroup.com/primo-explore/search?tab=default_tab&amp;search_scope=EVERYTHING&amp;vid=01CRU&amp;lang=en_US&amp;offset=0&amp;query=any,contains,991002790809702656","Catalog Record")</f>
        <v>Catalog Record</v>
      </c>
      <c r="AV855" s="5" t="str">
        <f>HYPERLINK("http://www.worldcat.org/oclc/443272","WorldCat Record")</f>
        <v>WorldCat Record</v>
      </c>
      <c r="AW855" s="2" t="s">
        <v>10644</v>
      </c>
      <c r="AX855" s="2" t="s">
        <v>10645</v>
      </c>
      <c r="AY855" s="2" t="s">
        <v>10646</v>
      </c>
      <c r="AZ855" s="2" t="s">
        <v>10646</v>
      </c>
      <c r="BA855" s="2" t="s">
        <v>10647</v>
      </c>
      <c r="BB855" s="2" t="s">
        <v>20</v>
      </c>
      <c r="BE855" s="2" t="s">
        <v>10648</v>
      </c>
      <c r="BF855" s="2" t="s">
        <v>10649</v>
      </c>
    </row>
    <row r="856" spans="1:58" ht="39.75" customHeight="1" x14ac:dyDescent="0.25">
      <c r="A856" s="7" t="s">
        <v>5</v>
      </c>
      <c r="B856" s="1" t="s">
        <v>0</v>
      </c>
      <c r="C856" s="1" t="s">
        <v>1</v>
      </c>
      <c r="D856" s="1" t="s">
        <v>10650</v>
      </c>
      <c r="E856" s="1" t="s">
        <v>10651</v>
      </c>
      <c r="F856" s="1" t="s">
        <v>10652</v>
      </c>
      <c r="G856" s="2" t="s">
        <v>101</v>
      </c>
      <c r="H856" s="2" t="s">
        <v>5</v>
      </c>
      <c r="I856" s="2" t="s">
        <v>6</v>
      </c>
      <c r="J856" s="2" t="s">
        <v>5</v>
      </c>
      <c r="K856" s="2" t="s">
        <v>5</v>
      </c>
      <c r="L856" s="2" t="s">
        <v>7</v>
      </c>
      <c r="N856" s="1" t="s">
        <v>10653</v>
      </c>
      <c r="O856" s="2" t="s">
        <v>452</v>
      </c>
      <c r="P856" s="1" t="s">
        <v>2908</v>
      </c>
      <c r="Q856" s="2" t="s">
        <v>1151</v>
      </c>
      <c r="R856" s="2" t="s">
        <v>5403</v>
      </c>
      <c r="S856" s="1" t="s">
        <v>5388</v>
      </c>
      <c r="T856" s="2" t="s">
        <v>13</v>
      </c>
      <c r="U856" s="3">
        <v>5</v>
      </c>
      <c r="V856" s="3">
        <v>5</v>
      </c>
      <c r="W856" s="4" t="s">
        <v>10654</v>
      </c>
      <c r="X856" s="4" t="s">
        <v>10654</v>
      </c>
      <c r="Y856" s="4" t="s">
        <v>10655</v>
      </c>
      <c r="Z856" s="4" t="s">
        <v>10655</v>
      </c>
      <c r="AA856" s="3">
        <v>166</v>
      </c>
      <c r="AB856" s="3">
        <v>140</v>
      </c>
      <c r="AC856" s="3">
        <v>144</v>
      </c>
      <c r="AD856" s="3">
        <v>1</v>
      </c>
      <c r="AE856" s="9">
        <v>1</v>
      </c>
      <c r="AF856" s="9">
        <v>7</v>
      </c>
      <c r="AG856" s="9">
        <v>7</v>
      </c>
      <c r="AH856" s="3">
        <v>0</v>
      </c>
      <c r="AI856" s="3">
        <v>0</v>
      </c>
      <c r="AJ856" s="3">
        <v>2</v>
      </c>
      <c r="AK856" s="3">
        <v>2</v>
      </c>
      <c r="AL856" s="3">
        <v>6</v>
      </c>
      <c r="AM856" s="3">
        <v>6</v>
      </c>
      <c r="AN856" s="3">
        <v>0</v>
      </c>
      <c r="AO856" s="3">
        <v>0</v>
      </c>
      <c r="AP856" s="3">
        <v>0</v>
      </c>
      <c r="AQ856" s="3">
        <v>0</v>
      </c>
      <c r="AR856" s="2" t="s">
        <v>5</v>
      </c>
      <c r="AS856" s="2" t="s">
        <v>46</v>
      </c>
      <c r="AT856" s="5" t="str">
        <f>HYPERLINK("http://catalog.hathitrust.org/Record/004316572","HathiTrust Record")</f>
        <v>HathiTrust Record</v>
      </c>
      <c r="AU856" s="5" t="str">
        <f>HYPERLINK("https://creighton-primo.hosted.exlibrisgroup.com/primo-explore/search?tab=default_tab&amp;search_scope=EVERYTHING&amp;vid=01CRU&amp;lang=en_US&amp;offset=0&amp;query=any,contains,991005426139702656","Catalog Record")</f>
        <v>Catalog Record</v>
      </c>
      <c r="AV856" s="5" t="str">
        <f>HYPERLINK("http://www.worldcat.org/oclc/36704181","WorldCat Record")</f>
        <v>WorldCat Record</v>
      </c>
      <c r="AW856" s="2" t="s">
        <v>10656</v>
      </c>
      <c r="AX856" s="2" t="s">
        <v>10657</v>
      </c>
      <c r="AY856" s="2" t="s">
        <v>10658</v>
      </c>
      <c r="AZ856" s="2" t="s">
        <v>10658</v>
      </c>
      <c r="BA856" s="2" t="s">
        <v>10659</v>
      </c>
      <c r="BB856" s="2" t="s">
        <v>20</v>
      </c>
      <c r="BD856" s="2" t="s">
        <v>10660</v>
      </c>
      <c r="BE856" s="2" t="s">
        <v>10661</v>
      </c>
      <c r="BF856" s="2" t="s">
        <v>10662</v>
      </c>
    </row>
    <row r="857" spans="1:58" ht="39.75" customHeight="1" x14ac:dyDescent="0.25">
      <c r="A857" s="7" t="s">
        <v>5</v>
      </c>
      <c r="B857" s="1" t="s">
        <v>0</v>
      </c>
      <c r="C857" s="1" t="s">
        <v>1</v>
      </c>
      <c r="D857" s="1" t="s">
        <v>10663</v>
      </c>
      <c r="E857" s="1" t="s">
        <v>10664</v>
      </c>
      <c r="F857" s="1" t="s">
        <v>10665</v>
      </c>
      <c r="H857" s="2" t="s">
        <v>5</v>
      </c>
      <c r="I857" s="2" t="s">
        <v>6</v>
      </c>
      <c r="J857" s="2" t="s">
        <v>5</v>
      </c>
      <c r="K857" s="2" t="s">
        <v>5</v>
      </c>
      <c r="L857" s="2" t="s">
        <v>7</v>
      </c>
      <c r="M857" s="1" t="s">
        <v>10666</v>
      </c>
      <c r="N857" s="1" t="s">
        <v>10667</v>
      </c>
      <c r="O857" s="2" t="s">
        <v>886</v>
      </c>
      <c r="P857" s="1" t="s">
        <v>2908</v>
      </c>
      <c r="Q857" s="2" t="s">
        <v>1151</v>
      </c>
      <c r="R857" s="2" t="s">
        <v>5403</v>
      </c>
      <c r="S857" s="1" t="s">
        <v>10668</v>
      </c>
      <c r="T857" s="2" t="s">
        <v>13</v>
      </c>
      <c r="U857" s="3">
        <v>1</v>
      </c>
      <c r="V857" s="3">
        <v>1</v>
      </c>
      <c r="W857" s="4" t="s">
        <v>5518</v>
      </c>
      <c r="X857" s="4" t="s">
        <v>5518</v>
      </c>
      <c r="Y857" s="4" t="s">
        <v>5518</v>
      </c>
      <c r="Z857" s="4" t="s">
        <v>5518</v>
      </c>
      <c r="AA857" s="3">
        <v>107</v>
      </c>
      <c r="AB857" s="3">
        <v>87</v>
      </c>
      <c r="AC857" s="3">
        <v>93</v>
      </c>
      <c r="AD857" s="3">
        <v>2</v>
      </c>
      <c r="AE857" s="9">
        <v>2</v>
      </c>
      <c r="AF857" s="9">
        <v>4</v>
      </c>
      <c r="AG857" s="9">
        <v>4</v>
      </c>
      <c r="AH857" s="3">
        <v>0</v>
      </c>
      <c r="AI857" s="3">
        <v>0</v>
      </c>
      <c r="AJ857" s="3">
        <v>2</v>
      </c>
      <c r="AK857" s="3">
        <v>2</v>
      </c>
      <c r="AL857" s="3">
        <v>2</v>
      </c>
      <c r="AM857" s="3">
        <v>2</v>
      </c>
      <c r="AN857" s="3">
        <v>1</v>
      </c>
      <c r="AO857" s="3">
        <v>1</v>
      </c>
      <c r="AP857" s="3">
        <v>0</v>
      </c>
      <c r="AQ857" s="3">
        <v>0</v>
      </c>
      <c r="AR857" s="2" t="s">
        <v>5</v>
      </c>
      <c r="AS857" s="2" t="s">
        <v>46</v>
      </c>
      <c r="AT857" s="5" t="str">
        <f>HYPERLINK("http://catalog.hathitrust.org/Record/000026311","HathiTrust Record")</f>
        <v>HathiTrust Record</v>
      </c>
      <c r="AU857" s="5" t="str">
        <f>HYPERLINK("https://creighton-primo.hosted.exlibrisgroup.com/primo-explore/search?tab=default_tab&amp;search_scope=EVERYTHING&amp;vid=01CRU&amp;lang=en_US&amp;offset=0&amp;query=any,contains,991004508799702656","Catalog Record")</f>
        <v>Catalog Record</v>
      </c>
      <c r="AV857" s="5" t="str">
        <f>HYPERLINK("http://www.worldcat.org/oclc/1076539","WorldCat Record")</f>
        <v>WorldCat Record</v>
      </c>
      <c r="AW857" s="2" t="s">
        <v>10669</v>
      </c>
      <c r="AX857" s="2" t="s">
        <v>10670</v>
      </c>
      <c r="AY857" s="2" t="s">
        <v>10671</v>
      </c>
      <c r="AZ857" s="2" t="s">
        <v>10671</v>
      </c>
      <c r="BA857" s="2" t="s">
        <v>10672</v>
      </c>
      <c r="BB857" s="2" t="s">
        <v>20</v>
      </c>
      <c r="BE857" s="2" t="s">
        <v>10673</v>
      </c>
      <c r="BF857" s="2" t="s">
        <v>10674</v>
      </c>
    </row>
    <row r="858" spans="1:58" ht="39.75" customHeight="1" x14ac:dyDescent="0.25">
      <c r="A858" s="7" t="s">
        <v>5</v>
      </c>
      <c r="B858" s="1" t="s">
        <v>0</v>
      </c>
      <c r="C858" s="1" t="s">
        <v>1</v>
      </c>
      <c r="D858" s="1" t="s">
        <v>10675</v>
      </c>
      <c r="E858" s="1" t="s">
        <v>10676</v>
      </c>
      <c r="F858" s="1" t="s">
        <v>10677</v>
      </c>
      <c r="H858" s="2" t="s">
        <v>5</v>
      </c>
      <c r="I858" s="2" t="s">
        <v>6</v>
      </c>
      <c r="J858" s="2" t="s">
        <v>5</v>
      </c>
      <c r="K858" s="2" t="s">
        <v>5</v>
      </c>
      <c r="L858" s="2" t="s">
        <v>7</v>
      </c>
      <c r="M858" s="1" t="s">
        <v>10678</v>
      </c>
      <c r="N858" s="1" t="s">
        <v>10679</v>
      </c>
      <c r="O858" s="2" t="s">
        <v>508</v>
      </c>
      <c r="P858" s="1" t="s">
        <v>2908</v>
      </c>
      <c r="Q858" s="2" t="s">
        <v>1151</v>
      </c>
      <c r="R858" s="2" t="s">
        <v>5403</v>
      </c>
      <c r="S858" s="1" t="s">
        <v>10680</v>
      </c>
      <c r="T858" s="2" t="s">
        <v>13</v>
      </c>
      <c r="U858" s="3">
        <v>2</v>
      </c>
      <c r="V858" s="3">
        <v>2</v>
      </c>
      <c r="W858" s="4" t="s">
        <v>10681</v>
      </c>
      <c r="X858" s="4" t="s">
        <v>10681</v>
      </c>
      <c r="Y858" s="4" t="s">
        <v>10681</v>
      </c>
      <c r="Z858" s="4" t="s">
        <v>10681</v>
      </c>
      <c r="AA858" s="3">
        <v>131</v>
      </c>
      <c r="AB858" s="3">
        <v>106</v>
      </c>
      <c r="AC858" s="3">
        <v>165</v>
      </c>
      <c r="AD858" s="3">
        <v>2</v>
      </c>
      <c r="AE858" s="9">
        <v>2</v>
      </c>
      <c r="AF858" s="9">
        <v>3</v>
      </c>
      <c r="AG858" s="9">
        <v>3</v>
      </c>
      <c r="AH858" s="3">
        <v>0</v>
      </c>
      <c r="AI858" s="3">
        <v>0</v>
      </c>
      <c r="AJ858" s="3">
        <v>1</v>
      </c>
      <c r="AK858" s="3">
        <v>1</v>
      </c>
      <c r="AL858" s="3">
        <v>2</v>
      </c>
      <c r="AM858" s="3">
        <v>2</v>
      </c>
      <c r="AN858" s="3">
        <v>0</v>
      </c>
      <c r="AO858" s="3">
        <v>0</v>
      </c>
      <c r="AP858" s="3">
        <v>0</v>
      </c>
      <c r="AQ858" s="3">
        <v>0</v>
      </c>
      <c r="AR858" s="2" t="s">
        <v>5</v>
      </c>
      <c r="AS858" s="2" t="s">
        <v>46</v>
      </c>
      <c r="AT858" s="5" t="str">
        <f>HYPERLINK("http://catalog.hathitrust.org/Record/004157430","HathiTrust Record")</f>
        <v>HathiTrust Record</v>
      </c>
      <c r="AU858" s="5" t="str">
        <f>HYPERLINK("https://creighton-primo.hosted.exlibrisgroup.com/primo-explore/search?tab=default_tab&amp;search_scope=EVERYTHING&amp;vid=01CRU&amp;lang=en_US&amp;offset=0&amp;query=any,contains,991003926009702656","Catalog Record")</f>
        <v>Catalog Record</v>
      </c>
      <c r="AV858" s="5" t="str">
        <f>HYPERLINK("http://www.worldcat.org/oclc/45723952","WorldCat Record")</f>
        <v>WorldCat Record</v>
      </c>
      <c r="AW858" s="2" t="s">
        <v>10682</v>
      </c>
      <c r="AX858" s="2" t="s">
        <v>10683</v>
      </c>
      <c r="AY858" s="2" t="s">
        <v>10684</v>
      </c>
      <c r="AZ858" s="2" t="s">
        <v>10684</v>
      </c>
      <c r="BA858" s="2" t="s">
        <v>10685</v>
      </c>
      <c r="BB858" s="2" t="s">
        <v>20</v>
      </c>
      <c r="BD858" s="2" t="s">
        <v>10686</v>
      </c>
      <c r="BE858" s="2" t="s">
        <v>10687</v>
      </c>
      <c r="BF858" s="2" t="s">
        <v>10688</v>
      </c>
    </row>
    <row r="859" spans="1:58" ht="39.75" customHeight="1" x14ac:dyDescent="0.25">
      <c r="A859" s="7" t="s">
        <v>5</v>
      </c>
      <c r="B859" s="1" t="s">
        <v>0</v>
      </c>
      <c r="C859" s="1" t="s">
        <v>1</v>
      </c>
      <c r="D859" s="1" t="s">
        <v>10689</v>
      </c>
      <c r="E859" s="1" t="s">
        <v>10690</v>
      </c>
      <c r="F859" s="1" t="s">
        <v>10691</v>
      </c>
      <c r="H859" s="2" t="s">
        <v>5</v>
      </c>
      <c r="I859" s="2" t="s">
        <v>6</v>
      </c>
      <c r="J859" s="2" t="s">
        <v>5</v>
      </c>
      <c r="K859" s="2" t="s">
        <v>5</v>
      </c>
      <c r="L859" s="2" t="s">
        <v>7</v>
      </c>
      <c r="M859" s="1" t="s">
        <v>10692</v>
      </c>
      <c r="N859" s="1" t="s">
        <v>10693</v>
      </c>
      <c r="O859" s="2" t="s">
        <v>3941</v>
      </c>
      <c r="P859" s="1" t="s">
        <v>2908</v>
      </c>
      <c r="Q859" s="2" t="s">
        <v>1151</v>
      </c>
      <c r="R859" s="2" t="s">
        <v>5403</v>
      </c>
      <c r="S859" s="1" t="s">
        <v>10694</v>
      </c>
      <c r="T859" s="2" t="s">
        <v>13</v>
      </c>
      <c r="U859" s="3">
        <v>1</v>
      </c>
      <c r="V859" s="3">
        <v>1</v>
      </c>
      <c r="W859" s="4" t="s">
        <v>10695</v>
      </c>
      <c r="X859" s="4" t="s">
        <v>10695</v>
      </c>
      <c r="Y859" s="4" t="s">
        <v>10695</v>
      </c>
      <c r="Z859" s="4" t="s">
        <v>10695</v>
      </c>
      <c r="AA859" s="3">
        <v>108</v>
      </c>
      <c r="AB859" s="3">
        <v>83</v>
      </c>
      <c r="AC859" s="3">
        <v>85</v>
      </c>
      <c r="AD859" s="3">
        <v>1</v>
      </c>
      <c r="AE859" s="9">
        <v>1</v>
      </c>
      <c r="AF859" s="9">
        <v>1</v>
      </c>
      <c r="AG859" s="9">
        <v>1</v>
      </c>
      <c r="AH859" s="3">
        <v>0</v>
      </c>
      <c r="AI859" s="3">
        <v>0</v>
      </c>
      <c r="AJ859" s="3">
        <v>1</v>
      </c>
      <c r="AK859" s="3">
        <v>1</v>
      </c>
      <c r="AL859" s="3">
        <v>1</v>
      </c>
      <c r="AM859" s="3">
        <v>1</v>
      </c>
      <c r="AN859" s="3">
        <v>0</v>
      </c>
      <c r="AO859" s="3">
        <v>0</v>
      </c>
      <c r="AP859" s="3">
        <v>0</v>
      </c>
      <c r="AQ859" s="3">
        <v>0</v>
      </c>
      <c r="AR859" s="2" t="s">
        <v>5</v>
      </c>
      <c r="AS859" s="2" t="s">
        <v>46</v>
      </c>
      <c r="AT859" s="5" t="str">
        <f>HYPERLINK("http://catalog.hathitrust.org/Record/004303767","HathiTrust Record")</f>
        <v>HathiTrust Record</v>
      </c>
      <c r="AU859" s="5" t="str">
        <f>HYPERLINK("https://creighton-primo.hosted.exlibrisgroup.com/primo-explore/search?tab=default_tab&amp;search_scope=EVERYTHING&amp;vid=01CRU&amp;lang=en_US&amp;offset=0&amp;query=any,contains,991003924999702656","Catalog Record")</f>
        <v>Catalog Record</v>
      </c>
      <c r="AV859" s="5" t="str">
        <f>HYPERLINK("http://www.worldcat.org/oclc/49522869","WorldCat Record")</f>
        <v>WorldCat Record</v>
      </c>
      <c r="AW859" s="2" t="s">
        <v>10696</v>
      </c>
      <c r="AX859" s="2" t="s">
        <v>10697</v>
      </c>
      <c r="AY859" s="2" t="s">
        <v>10698</v>
      </c>
      <c r="AZ859" s="2" t="s">
        <v>10698</v>
      </c>
      <c r="BA859" s="2" t="s">
        <v>10699</v>
      </c>
      <c r="BB859" s="2" t="s">
        <v>20</v>
      </c>
      <c r="BD859" s="2" t="s">
        <v>10700</v>
      </c>
      <c r="BE859" s="2" t="s">
        <v>10701</v>
      </c>
      <c r="BF859" s="2" t="s">
        <v>10702</v>
      </c>
    </row>
    <row r="860" spans="1:58" ht="39.75" customHeight="1" x14ac:dyDescent="0.25">
      <c r="A860" s="7" t="s">
        <v>5</v>
      </c>
      <c r="B860" s="1" t="s">
        <v>0</v>
      </c>
      <c r="C860" s="1" t="s">
        <v>1</v>
      </c>
      <c r="D860" s="1" t="s">
        <v>10703</v>
      </c>
      <c r="E860" s="1" t="s">
        <v>10704</v>
      </c>
      <c r="F860" s="1" t="s">
        <v>10705</v>
      </c>
      <c r="H860" s="2" t="s">
        <v>5</v>
      </c>
      <c r="I860" s="2" t="s">
        <v>6</v>
      </c>
      <c r="J860" s="2" t="s">
        <v>5</v>
      </c>
      <c r="K860" s="2" t="s">
        <v>5</v>
      </c>
      <c r="L860" s="2" t="s">
        <v>7</v>
      </c>
      <c r="M860" s="1" t="s">
        <v>10706</v>
      </c>
      <c r="N860" s="1" t="s">
        <v>10707</v>
      </c>
      <c r="O860" s="2" t="s">
        <v>192</v>
      </c>
      <c r="Q860" s="2" t="s">
        <v>1151</v>
      </c>
      <c r="R860" s="2" t="s">
        <v>1152</v>
      </c>
      <c r="S860" s="1" t="s">
        <v>10708</v>
      </c>
      <c r="T860" s="2" t="s">
        <v>13</v>
      </c>
      <c r="U860" s="3">
        <v>1</v>
      </c>
      <c r="V860" s="3">
        <v>1</v>
      </c>
      <c r="W860" s="4" t="s">
        <v>5086</v>
      </c>
      <c r="X860" s="4" t="s">
        <v>5086</v>
      </c>
      <c r="Y860" s="4" t="s">
        <v>5086</v>
      </c>
      <c r="Z860" s="4" t="s">
        <v>5086</v>
      </c>
      <c r="AA860" s="3">
        <v>163</v>
      </c>
      <c r="AB860" s="3">
        <v>129</v>
      </c>
      <c r="AC860" s="3">
        <v>133</v>
      </c>
      <c r="AD860" s="3">
        <v>2</v>
      </c>
      <c r="AE860" s="9">
        <v>2</v>
      </c>
      <c r="AF860" s="9">
        <v>5</v>
      </c>
      <c r="AG860" s="9">
        <v>5</v>
      </c>
      <c r="AH860" s="3">
        <v>0</v>
      </c>
      <c r="AI860" s="3">
        <v>0</v>
      </c>
      <c r="AJ860" s="3">
        <v>2</v>
      </c>
      <c r="AK860" s="3">
        <v>2</v>
      </c>
      <c r="AL860" s="3">
        <v>2</v>
      </c>
      <c r="AM860" s="3">
        <v>2</v>
      </c>
      <c r="AN860" s="3">
        <v>1</v>
      </c>
      <c r="AO860" s="3">
        <v>1</v>
      </c>
      <c r="AP860" s="3">
        <v>0</v>
      </c>
      <c r="AQ860" s="3">
        <v>0</v>
      </c>
      <c r="AR860" s="2" t="s">
        <v>5</v>
      </c>
      <c r="AS860" s="2" t="s">
        <v>46</v>
      </c>
      <c r="AT860" s="5" t="str">
        <f>HYPERLINK("http://catalog.hathitrust.org/Record/001036978","HathiTrust Record")</f>
        <v>HathiTrust Record</v>
      </c>
      <c r="AU860" s="5" t="str">
        <f>HYPERLINK("https://creighton-primo.hosted.exlibrisgroup.com/primo-explore/search?tab=default_tab&amp;search_scope=EVERYTHING&amp;vid=01CRU&amp;lang=en_US&amp;offset=0&amp;query=any,contains,991004523769702656","Catalog Record")</f>
        <v>Catalog Record</v>
      </c>
      <c r="AV860" s="5" t="str">
        <f>HYPERLINK("http://www.worldcat.org/oclc/1591341","WorldCat Record")</f>
        <v>WorldCat Record</v>
      </c>
      <c r="AW860" s="2" t="s">
        <v>10709</v>
      </c>
      <c r="AX860" s="2" t="s">
        <v>10710</v>
      </c>
      <c r="AY860" s="2" t="s">
        <v>10711</v>
      </c>
      <c r="AZ860" s="2" t="s">
        <v>10711</v>
      </c>
      <c r="BA860" s="2" t="s">
        <v>10712</v>
      </c>
      <c r="BB860" s="2" t="s">
        <v>20</v>
      </c>
      <c r="BE860" s="2" t="s">
        <v>10713</v>
      </c>
      <c r="BF860" s="2" t="s">
        <v>10714</v>
      </c>
    </row>
    <row r="861" spans="1:58" ht="39.75" customHeight="1" x14ac:dyDescent="0.25">
      <c r="A861" s="7" t="s">
        <v>5</v>
      </c>
      <c r="B861" s="1" t="s">
        <v>0</v>
      </c>
      <c r="C861" s="1" t="s">
        <v>1</v>
      </c>
      <c r="D861" s="1" t="s">
        <v>10715</v>
      </c>
      <c r="E861" s="1" t="s">
        <v>10716</v>
      </c>
      <c r="F861" s="1" t="s">
        <v>10717</v>
      </c>
      <c r="H861" s="2" t="s">
        <v>5</v>
      </c>
      <c r="I861" s="2" t="s">
        <v>6</v>
      </c>
      <c r="J861" s="2" t="s">
        <v>5</v>
      </c>
      <c r="K861" s="2" t="s">
        <v>5</v>
      </c>
      <c r="L861" s="2" t="s">
        <v>7</v>
      </c>
      <c r="M861" s="1" t="s">
        <v>10718</v>
      </c>
      <c r="N861" s="1" t="s">
        <v>10719</v>
      </c>
      <c r="O861" s="2" t="s">
        <v>162</v>
      </c>
      <c r="Q861" s="2" t="s">
        <v>1151</v>
      </c>
      <c r="R861" s="2" t="s">
        <v>234</v>
      </c>
      <c r="S861" s="1" t="s">
        <v>10720</v>
      </c>
      <c r="T861" s="2" t="s">
        <v>13</v>
      </c>
      <c r="U861" s="3">
        <v>2</v>
      </c>
      <c r="V861" s="3">
        <v>2</v>
      </c>
      <c r="W861" s="4" t="s">
        <v>10628</v>
      </c>
      <c r="X861" s="4" t="s">
        <v>10628</v>
      </c>
      <c r="Y861" s="4" t="s">
        <v>8825</v>
      </c>
      <c r="Z861" s="4" t="s">
        <v>8825</v>
      </c>
      <c r="AA861" s="3">
        <v>149</v>
      </c>
      <c r="AB861" s="3">
        <v>132</v>
      </c>
      <c r="AC861" s="3">
        <v>231</v>
      </c>
      <c r="AD861" s="3">
        <v>2</v>
      </c>
      <c r="AE861" s="9">
        <v>3</v>
      </c>
      <c r="AF861" s="9">
        <v>5</v>
      </c>
      <c r="AG861" s="9">
        <v>10</v>
      </c>
      <c r="AH861" s="3">
        <v>1</v>
      </c>
      <c r="AI861" s="3">
        <v>1</v>
      </c>
      <c r="AJ861" s="3">
        <v>1</v>
      </c>
      <c r="AK861" s="3">
        <v>3</v>
      </c>
      <c r="AL861" s="3">
        <v>3</v>
      </c>
      <c r="AM861" s="3">
        <v>6</v>
      </c>
      <c r="AN861" s="3">
        <v>1</v>
      </c>
      <c r="AO861" s="3">
        <v>2</v>
      </c>
      <c r="AP861" s="3">
        <v>0</v>
      </c>
      <c r="AQ861" s="3">
        <v>0</v>
      </c>
      <c r="AR861" s="2" t="s">
        <v>5</v>
      </c>
      <c r="AS861" s="2" t="s">
        <v>46</v>
      </c>
      <c r="AT861" s="5" t="str">
        <f>HYPERLINK("http://catalog.hathitrust.org/Record/004469420","HathiTrust Record")</f>
        <v>HathiTrust Record</v>
      </c>
      <c r="AU861" s="5" t="str">
        <f>HYPERLINK("https://creighton-primo.hosted.exlibrisgroup.com/primo-explore/search?tab=default_tab&amp;search_scope=EVERYTHING&amp;vid=01CRU&amp;lang=en_US&amp;offset=0&amp;query=any,contains,991002889799702656","Catalog Record")</f>
        <v>Catalog Record</v>
      </c>
      <c r="AV861" s="5" t="str">
        <f>HYPERLINK("http://www.worldcat.org/oclc/511031","WorldCat Record")</f>
        <v>WorldCat Record</v>
      </c>
      <c r="AW861" s="2" t="s">
        <v>10721</v>
      </c>
      <c r="AX861" s="2" t="s">
        <v>10722</v>
      </c>
      <c r="AY861" s="2" t="s">
        <v>10723</v>
      </c>
      <c r="AZ861" s="2" t="s">
        <v>10723</v>
      </c>
      <c r="BA861" s="2" t="s">
        <v>10724</v>
      </c>
      <c r="BB861" s="2" t="s">
        <v>20</v>
      </c>
      <c r="BD861" s="2" t="s">
        <v>10725</v>
      </c>
      <c r="BE861" s="2" t="s">
        <v>10726</v>
      </c>
      <c r="BF861" s="2" t="s">
        <v>10727</v>
      </c>
    </row>
    <row r="862" spans="1:58" ht="39.75" customHeight="1" x14ac:dyDescent="0.25">
      <c r="A862" s="7" t="s">
        <v>5</v>
      </c>
      <c r="B862" s="1" t="s">
        <v>0</v>
      </c>
      <c r="C862" s="1" t="s">
        <v>1</v>
      </c>
      <c r="D862" s="1" t="s">
        <v>10728</v>
      </c>
      <c r="E862" s="1" t="s">
        <v>10729</v>
      </c>
      <c r="F862" s="1" t="s">
        <v>10730</v>
      </c>
      <c r="H862" s="2" t="s">
        <v>5</v>
      </c>
      <c r="I862" s="2" t="s">
        <v>6</v>
      </c>
      <c r="J862" s="2" t="s">
        <v>5</v>
      </c>
      <c r="K862" s="2" t="s">
        <v>5</v>
      </c>
      <c r="L862" s="2" t="s">
        <v>7</v>
      </c>
      <c r="M862" s="1" t="s">
        <v>10731</v>
      </c>
      <c r="N862" s="1" t="s">
        <v>10732</v>
      </c>
      <c r="O862" s="2" t="s">
        <v>1273</v>
      </c>
      <c r="P862" s="1" t="s">
        <v>10733</v>
      </c>
      <c r="Q862" s="2" t="s">
        <v>1151</v>
      </c>
      <c r="R862" s="2" t="s">
        <v>5403</v>
      </c>
      <c r="S862" s="1" t="s">
        <v>8720</v>
      </c>
      <c r="T862" s="2" t="s">
        <v>13</v>
      </c>
      <c r="U862" s="3">
        <v>3</v>
      </c>
      <c r="V862" s="3">
        <v>3</v>
      </c>
      <c r="W862" s="4" t="s">
        <v>3793</v>
      </c>
      <c r="X862" s="4" t="s">
        <v>3793</v>
      </c>
      <c r="Y862" s="4" t="s">
        <v>5361</v>
      </c>
      <c r="Z862" s="4" t="s">
        <v>5361</v>
      </c>
      <c r="AA862" s="3">
        <v>68</v>
      </c>
      <c r="AB862" s="3">
        <v>53</v>
      </c>
      <c r="AC862" s="3">
        <v>252</v>
      </c>
      <c r="AD862" s="3">
        <v>1</v>
      </c>
      <c r="AE862" s="9">
        <v>4</v>
      </c>
      <c r="AF862" s="9">
        <v>1</v>
      </c>
      <c r="AG862" s="9">
        <v>9</v>
      </c>
      <c r="AH862" s="3">
        <v>0</v>
      </c>
      <c r="AI862" s="3">
        <v>2</v>
      </c>
      <c r="AJ862" s="3">
        <v>1</v>
      </c>
      <c r="AK862" s="3">
        <v>3</v>
      </c>
      <c r="AL862" s="3">
        <v>0</v>
      </c>
      <c r="AM862" s="3">
        <v>3</v>
      </c>
      <c r="AN862" s="3">
        <v>0</v>
      </c>
      <c r="AO862" s="3">
        <v>3</v>
      </c>
      <c r="AP862" s="3">
        <v>0</v>
      </c>
      <c r="AQ862" s="3">
        <v>0</v>
      </c>
      <c r="AR862" s="2" t="s">
        <v>5</v>
      </c>
      <c r="AS862" s="2" t="s">
        <v>46</v>
      </c>
      <c r="AT862" s="5" t="str">
        <f>HYPERLINK("http://catalog.hathitrust.org/Record/008447908","HathiTrust Record")</f>
        <v>HathiTrust Record</v>
      </c>
      <c r="AU862" s="5" t="str">
        <f>HYPERLINK("https://creighton-primo.hosted.exlibrisgroup.com/primo-explore/search?tab=default_tab&amp;search_scope=EVERYTHING&amp;vid=01CRU&amp;lang=en_US&amp;offset=0&amp;query=any,contains,991001044639702656","Catalog Record")</f>
        <v>Catalog Record</v>
      </c>
      <c r="AV862" s="5" t="str">
        <f>HYPERLINK("http://www.worldcat.org/oclc/15606936","WorldCat Record")</f>
        <v>WorldCat Record</v>
      </c>
      <c r="AW862" s="2" t="s">
        <v>10734</v>
      </c>
      <c r="AX862" s="2" t="s">
        <v>10735</v>
      </c>
      <c r="AY862" s="2" t="s">
        <v>10736</v>
      </c>
      <c r="AZ862" s="2" t="s">
        <v>10736</v>
      </c>
      <c r="BA862" s="2" t="s">
        <v>10737</v>
      </c>
      <c r="BB862" s="2" t="s">
        <v>20</v>
      </c>
      <c r="BD862" s="2" t="s">
        <v>10738</v>
      </c>
      <c r="BE862" s="2" t="s">
        <v>10739</v>
      </c>
      <c r="BF862" s="2" t="s">
        <v>10740</v>
      </c>
    </row>
    <row r="863" spans="1:58" ht="39.75" customHeight="1" x14ac:dyDescent="0.25">
      <c r="A863" s="7" t="s">
        <v>5</v>
      </c>
      <c r="B863" s="1" t="s">
        <v>0</v>
      </c>
      <c r="C863" s="1" t="s">
        <v>1</v>
      </c>
      <c r="D863" s="1" t="s">
        <v>10741</v>
      </c>
      <c r="E863" s="1" t="s">
        <v>10742</v>
      </c>
      <c r="F863" s="1" t="s">
        <v>10743</v>
      </c>
      <c r="H863" s="2" t="s">
        <v>5</v>
      </c>
      <c r="I863" s="2" t="s">
        <v>6</v>
      </c>
      <c r="J863" s="2" t="s">
        <v>5</v>
      </c>
      <c r="K863" s="2" t="s">
        <v>5</v>
      </c>
      <c r="L863" s="2" t="s">
        <v>7</v>
      </c>
      <c r="N863" s="1" t="s">
        <v>10744</v>
      </c>
      <c r="O863" s="2" t="s">
        <v>3941</v>
      </c>
      <c r="P863" s="1" t="s">
        <v>2908</v>
      </c>
      <c r="Q863" s="2" t="s">
        <v>1151</v>
      </c>
      <c r="R863" s="2" t="s">
        <v>5403</v>
      </c>
      <c r="S863" s="1" t="s">
        <v>10694</v>
      </c>
      <c r="T863" s="2" t="s">
        <v>13</v>
      </c>
      <c r="U863" s="3">
        <v>1</v>
      </c>
      <c r="V863" s="3">
        <v>1</v>
      </c>
      <c r="W863" s="4" t="s">
        <v>5941</v>
      </c>
      <c r="X863" s="4" t="s">
        <v>5941</v>
      </c>
      <c r="Y863" s="4" t="s">
        <v>5450</v>
      </c>
      <c r="Z863" s="4" t="s">
        <v>5450</v>
      </c>
      <c r="AA863" s="3">
        <v>183</v>
      </c>
      <c r="AB863" s="3">
        <v>171</v>
      </c>
      <c r="AC863" s="3">
        <v>174</v>
      </c>
      <c r="AD863" s="3">
        <v>1</v>
      </c>
      <c r="AE863" s="9">
        <v>1</v>
      </c>
      <c r="AF863" s="9">
        <v>1</v>
      </c>
      <c r="AG863" s="9">
        <v>1</v>
      </c>
      <c r="AH863" s="3">
        <v>0</v>
      </c>
      <c r="AI863" s="3">
        <v>0</v>
      </c>
      <c r="AJ863" s="3">
        <v>0</v>
      </c>
      <c r="AK863" s="3">
        <v>0</v>
      </c>
      <c r="AL863" s="3">
        <v>1</v>
      </c>
      <c r="AM863" s="3">
        <v>1</v>
      </c>
      <c r="AN863" s="3">
        <v>0</v>
      </c>
      <c r="AO863" s="3">
        <v>0</v>
      </c>
      <c r="AP863" s="3">
        <v>0</v>
      </c>
      <c r="AQ863" s="3">
        <v>0</v>
      </c>
      <c r="AR863" s="2" t="s">
        <v>5</v>
      </c>
      <c r="AS863" s="2" t="s">
        <v>46</v>
      </c>
      <c r="AT863" s="5" t="str">
        <f>HYPERLINK("http://catalog.hathitrust.org/Record/004260168","HathiTrust Record")</f>
        <v>HathiTrust Record</v>
      </c>
      <c r="AU863" s="5" t="str">
        <f>HYPERLINK("https://creighton-primo.hosted.exlibrisgroup.com/primo-explore/search?tab=default_tab&amp;search_scope=EVERYTHING&amp;vid=01CRU&amp;lang=en_US&amp;offset=0&amp;query=any,contains,991003772349702656","Catalog Record")</f>
        <v>Catalog Record</v>
      </c>
      <c r="AV863" s="5" t="str">
        <f>HYPERLINK("http://www.worldcat.org/oclc/47633061","WorldCat Record")</f>
        <v>WorldCat Record</v>
      </c>
      <c r="AW863" s="2" t="s">
        <v>10745</v>
      </c>
      <c r="AX863" s="2" t="s">
        <v>10746</v>
      </c>
      <c r="AY863" s="2" t="s">
        <v>10747</v>
      </c>
      <c r="AZ863" s="2" t="s">
        <v>10747</v>
      </c>
      <c r="BA863" s="2" t="s">
        <v>10748</v>
      </c>
      <c r="BB863" s="2" t="s">
        <v>20</v>
      </c>
      <c r="BD863" s="2" t="s">
        <v>10749</v>
      </c>
      <c r="BE863" s="2" t="s">
        <v>10750</v>
      </c>
      <c r="BF863" s="2" t="s">
        <v>10751</v>
      </c>
    </row>
    <row r="864" spans="1:58" ht="39.75" customHeight="1" x14ac:dyDescent="0.25">
      <c r="A864" s="7" t="s">
        <v>5</v>
      </c>
      <c r="B864" s="1" t="s">
        <v>0</v>
      </c>
      <c r="C864" s="1" t="s">
        <v>1</v>
      </c>
      <c r="D864" s="1" t="s">
        <v>10752</v>
      </c>
      <c r="E864" s="1" t="s">
        <v>10753</v>
      </c>
      <c r="F864" s="1" t="s">
        <v>10754</v>
      </c>
      <c r="H864" s="2" t="s">
        <v>5</v>
      </c>
      <c r="I864" s="2" t="s">
        <v>6</v>
      </c>
      <c r="J864" s="2" t="s">
        <v>5</v>
      </c>
      <c r="K864" s="2" t="s">
        <v>5</v>
      </c>
      <c r="L864" s="2" t="s">
        <v>7</v>
      </c>
      <c r="N864" s="1" t="s">
        <v>10755</v>
      </c>
      <c r="O864" s="2" t="s">
        <v>2448</v>
      </c>
      <c r="P864" s="1" t="s">
        <v>9747</v>
      </c>
      <c r="Q864" s="2" t="s">
        <v>1151</v>
      </c>
      <c r="R864" s="2" t="s">
        <v>5403</v>
      </c>
      <c r="S864" s="1" t="s">
        <v>10756</v>
      </c>
      <c r="T864" s="2" t="s">
        <v>13</v>
      </c>
      <c r="U864" s="3">
        <v>1</v>
      </c>
      <c r="V864" s="3">
        <v>1</v>
      </c>
      <c r="W864" s="4" t="s">
        <v>10757</v>
      </c>
      <c r="X864" s="4" t="s">
        <v>10757</v>
      </c>
      <c r="Y864" s="4" t="s">
        <v>5450</v>
      </c>
      <c r="Z864" s="4" t="s">
        <v>5450</v>
      </c>
      <c r="AA864" s="3">
        <v>61</v>
      </c>
      <c r="AB864" s="3">
        <v>47</v>
      </c>
      <c r="AC864" s="3">
        <v>200</v>
      </c>
      <c r="AD864" s="3">
        <v>1</v>
      </c>
      <c r="AE864" s="9">
        <v>2</v>
      </c>
      <c r="AF864" s="9">
        <v>2</v>
      </c>
      <c r="AG864" s="9">
        <v>5</v>
      </c>
      <c r="AH864" s="3">
        <v>0</v>
      </c>
      <c r="AI864" s="3">
        <v>1</v>
      </c>
      <c r="AJ864" s="3">
        <v>1</v>
      </c>
      <c r="AK864" s="3">
        <v>2</v>
      </c>
      <c r="AL864" s="3">
        <v>2</v>
      </c>
      <c r="AM864" s="3">
        <v>3</v>
      </c>
      <c r="AN864" s="3">
        <v>0</v>
      </c>
      <c r="AO864" s="3">
        <v>1</v>
      </c>
      <c r="AP864" s="3">
        <v>0</v>
      </c>
      <c r="AQ864" s="3">
        <v>0</v>
      </c>
      <c r="AR864" s="2" t="s">
        <v>5</v>
      </c>
      <c r="AS864" s="2" t="s">
        <v>5</v>
      </c>
      <c r="AU864" s="5" t="str">
        <f>HYPERLINK("https://creighton-primo.hosted.exlibrisgroup.com/primo-explore/search?tab=default_tab&amp;search_scope=EVERYTHING&amp;vid=01CRU&amp;lang=en_US&amp;offset=0&amp;query=any,contains,991003772419702656","Catalog Record")</f>
        <v>Catalog Record</v>
      </c>
      <c r="AV864" s="5" t="str">
        <f>HYPERLINK("http://www.worldcat.org/oclc/52405721","WorldCat Record")</f>
        <v>WorldCat Record</v>
      </c>
      <c r="AW864" s="2" t="s">
        <v>10758</v>
      </c>
      <c r="AX864" s="2" t="s">
        <v>10759</v>
      </c>
      <c r="AY864" s="2" t="s">
        <v>10760</v>
      </c>
      <c r="AZ864" s="2" t="s">
        <v>10760</v>
      </c>
      <c r="BA864" s="2" t="s">
        <v>10761</v>
      </c>
      <c r="BB864" s="2" t="s">
        <v>20</v>
      </c>
      <c r="BD864" s="2" t="s">
        <v>10762</v>
      </c>
      <c r="BE864" s="2" t="s">
        <v>10763</v>
      </c>
      <c r="BF864" s="2" t="s">
        <v>10764</v>
      </c>
    </row>
    <row r="865" spans="1:58" ht="39.75" customHeight="1" x14ac:dyDescent="0.25">
      <c r="A865" s="7" t="s">
        <v>5</v>
      </c>
      <c r="B865" s="1" t="s">
        <v>0</v>
      </c>
      <c r="C865" s="1" t="s">
        <v>1</v>
      </c>
      <c r="D865" s="1" t="s">
        <v>10765</v>
      </c>
      <c r="E865" s="1" t="s">
        <v>10766</v>
      </c>
      <c r="F865" s="1" t="s">
        <v>10767</v>
      </c>
      <c r="H865" s="2" t="s">
        <v>5</v>
      </c>
      <c r="I865" s="2" t="s">
        <v>6</v>
      </c>
      <c r="J865" s="2" t="s">
        <v>5</v>
      </c>
      <c r="K865" s="2" t="s">
        <v>5</v>
      </c>
      <c r="L865" s="2" t="s">
        <v>7</v>
      </c>
      <c r="N865" s="1" t="s">
        <v>10768</v>
      </c>
      <c r="O865" s="2" t="s">
        <v>291</v>
      </c>
      <c r="Q865" s="2" t="s">
        <v>1151</v>
      </c>
      <c r="R865" s="2" t="s">
        <v>193</v>
      </c>
      <c r="S865" s="1" t="s">
        <v>10769</v>
      </c>
      <c r="T865" s="2" t="s">
        <v>13</v>
      </c>
      <c r="U865" s="3">
        <v>6</v>
      </c>
      <c r="V865" s="3">
        <v>6</v>
      </c>
      <c r="W865" s="4" t="s">
        <v>10770</v>
      </c>
      <c r="X865" s="4" t="s">
        <v>10770</v>
      </c>
      <c r="Y865" s="4" t="s">
        <v>10771</v>
      </c>
      <c r="Z865" s="4" t="s">
        <v>10771</v>
      </c>
      <c r="AA865" s="3">
        <v>138</v>
      </c>
      <c r="AB865" s="3">
        <v>124</v>
      </c>
      <c r="AC865" s="3">
        <v>205</v>
      </c>
      <c r="AD865" s="3">
        <v>3</v>
      </c>
      <c r="AE865" s="9">
        <v>3</v>
      </c>
      <c r="AF865" s="9">
        <v>7</v>
      </c>
      <c r="AG865" s="9">
        <v>9</v>
      </c>
      <c r="AH865" s="3">
        <v>2</v>
      </c>
      <c r="AI865" s="3">
        <v>2</v>
      </c>
      <c r="AJ865" s="3">
        <v>2</v>
      </c>
      <c r="AK865" s="3">
        <v>2</v>
      </c>
      <c r="AL865" s="3">
        <v>2</v>
      </c>
      <c r="AM865" s="3">
        <v>4</v>
      </c>
      <c r="AN865" s="3">
        <v>2</v>
      </c>
      <c r="AO865" s="3">
        <v>2</v>
      </c>
      <c r="AP865" s="3">
        <v>0</v>
      </c>
      <c r="AQ865" s="3">
        <v>0</v>
      </c>
      <c r="AR865" s="2" t="s">
        <v>5</v>
      </c>
      <c r="AS865" s="2" t="s">
        <v>5</v>
      </c>
      <c r="AU865" s="5" t="str">
        <f>HYPERLINK("https://creighton-primo.hosted.exlibrisgroup.com/primo-explore/search?tab=default_tab&amp;search_scope=EVERYTHING&amp;vid=01CRU&amp;lang=en_US&amp;offset=0&amp;query=any,contains,991004561279702656","Catalog Record")</f>
        <v>Catalog Record</v>
      </c>
      <c r="AV865" s="5" t="str">
        <f>HYPERLINK("http://www.worldcat.org/oclc/4001856","WorldCat Record")</f>
        <v>WorldCat Record</v>
      </c>
      <c r="AW865" s="2" t="s">
        <v>10772</v>
      </c>
      <c r="AX865" s="2" t="s">
        <v>10773</v>
      </c>
      <c r="AY865" s="2" t="s">
        <v>10774</v>
      </c>
      <c r="AZ865" s="2" t="s">
        <v>10774</v>
      </c>
      <c r="BA865" s="2" t="s">
        <v>10775</v>
      </c>
      <c r="BB865" s="2" t="s">
        <v>20</v>
      </c>
      <c r="BD865" s="2" t="s">
        <v>10776</v>
      </c>
      <c r="BE865" s="2" t="s">
        <v>10777</v>
      </c>
      <c r="BF865" s="2" t="s">
        <v>10778</v>
      </c>
    </row>
    <row r="866" spans="1:58" ht="39.75" customHeight="1" x14ac:dyDescent="0.25">
      <c r="A866" s="7" t="s">
        <v>5</v>
      </c>
      <c r="B866" s="1" t="s">
        <v>0</v>
      </c>
      <c r="C866" s="1" t="s">
        <v>1</v>
      </c>
      <c r="D866" s="1" t="s">
        <v>10779</v>
      </c>
      <c r="E866" s="1" t="s">
        <v>10780</v>
      </c>
      <c r="F866" s="1" t="s">
        <v>10781</v>
      </c>
      <c r="H866" s="2" t="s">
        <v>5</v>
      </c>
      <c r="I866" s="2" t="s">
        <v>6</v>
      </c>
      <c r="J866" s="2" t="s">
        <v>5</v>
      </c>
      <c r="K866" s="2" t="s">
        <v>5</v>
      </c>
      <c r="L866" s="2" t="s">
        <v>7</v>
      </c>
      <c r="M866" s="1" t="s">
        <v>10782</v>
      </c>
      <c r="O866" s="2" t="s">
        <v>680</v>
      </c>
      <c r="Q866" s="2" t="s">
        <v>1151</v>
      </c>
      <c r="R866" s="2" t="s">
        <v>234</v>
      </c>
      <c r="T866" s="2" t="s">
        <v>13</v>
      </c>
      <c r="U866" s="3">
        <v>2</v>
      </c>
      <c r="V866" s="3">
        <v>2</v>
      </c>
      <c r="W866" s="4" t="s">
        <v>10783</v>
      </c>
      <c r="X866" s="4" t="s">
        <v>10783</v>
      </c>
      <c r="Y866" s="4" t="s">
        <v>8825</v>
      </c>
      <c r="Z866" s="4" t="s">
        <v>8825</v>
      </c>
      <c r="AA866" s="3">
        <v>58</v>
      </c>
      <c r="AB866" s="3">
        <v>50</v>
      </c>
      <c r="AC866" s="3">
        <v>52</v>
      </c>
      <c r="AD866" s="3">
        <v>2</v>
      </c>
      <c r="AE866" s="9">
        <v>2</v>
      </c>
      <c r="AF866" s="9">
        <v>1</v>
      </c>
      <c r="AG866" s="9">
        <v>1</v>
      </c>
      <c r="AH866" s="3">
        <v>0</v>
      </c>
      <c r="AI866" s="3">
        <v>0</v>
      </c>
      <c r="AJ866" s="3">
        <v>0</v>
      </c>
      <c r="AK866" s="3">
        <v>0</v>
      </c>
      <c r="AL866" s="3">
        <v>0</v>
      </c>
      <c r="AM866" s="3">
        <v>0</v>
      </c>
      <c r="AN866" s="3">
        <v>1</v>
      </c>
      <c r="AO866" s="3">
        <v>1</v>
      </c>
      <c r="AP866" s="3">
        <v>0</v>
      </c>
      <c r="AQ866" s="3">
        <v>0</v>
      </c>
      <c r="AR866" s="2" t="s">
        <v>5</v>
      </c>
      <c r="AS866" s="2" t="s">
        <v>46</v>
      </c>
      <c r="AT866" s="5" t="str">
        <f>HYPERLINK("http://catalog.hathitrust.org/Record/001048176","HathiTrust Record")</f>
        <v>HathiTrust Record</v>
      </c>
      <c r="AU866" s="5" t="str">
        <f>HYPERLINK("https://creighton-primo.hosted.exlibrisgroup.com/primo-explore/search?tab=default_tab&amp;search_scope=EVERYTHING&amp;vid=01CRU&amp;lang=en_US&amp;offset=0&amp;query=any,contains,991004962609702656","Catalog Record")</f>
        <v>Catalog Record</v>
      </c>
      <c r="AV866" s="5" t="str">
        <f>HYPERLINK("http://www.worldcat.org/oclc/6318594","WorldCat Record")</f>
        <v>WorldCat Record</v>
      </c>
      <c r="AW866" s="2" t="s">
        <v>10784</v>
      </c>
      <c r="AX866" s="2" t="s">
        <v>10785</v>
      </c>
      <c r="AY866" s="2" t="s">
        <v>10786</v>
      </c>
      <c r="AZ866" s="2" t="s">
        <v>10786</v>
      </c>
      <c r="BA866" s="2" t="s">
        <v>10787</v>
      </c>
      <c r="BB866" s="2" t="s">
        <v>20</v>
      </c>
      <c r="BE866" s="2" t="s">
        <v>10788</v>
      </c>
      <c r="BF866" s="2" t="s">
        <v>10789</v>
      </c>
    </row>
    <row r="867" spans="1:58" ht="39.75" customHeight="1" x14ac:dyDescent="0.25">
      <c r="A867" s="7" t="s">
        <v>5</v>
      </c>
      <c r="B867" s="1" t="s">
        <v>0</v>
      </c>
      <c r="C867" s="1" t="s">
        <v>1</v>
      </c>
      <c r="D867" s="1" t="s">
        <v>10790</v>
      </c>
      <c r="E867" s="1" t="s">
        <v>10791</v>
      </c>
      <c r="F867" s="1" t="s">
        <v>10792</v>
      </c>
      <c r="H867" s="2" t="s">
        <v>5</v>
      </c>
      <c r="I867" s="2" t="s">
        <v>6</v>
      </c>
      <c r="J867" s="2" t="s">
        <v>5</v>
      </c>
      <c r="K867" s="2" t="s">
        <v>5</v>
      </c>
      <c r="L867" s="2" t="s">
        <v>7</v>
      </c>
      <c r="N867" s="1" t="s">
        <v>10793</v>
      </c>
      <c r="O867" s="2" t="s">
        <v>452</v>
      </c>
      <c r="P867" s="1" t="s">
        <v>2908</v>
      </c>
      <c r="Q867" s="2" t="s">
        <v>1151</v>
      </c>
      <c r="R867" s="2" t="s">
        <v>5403</v>
      </c>
      <c r="S867" s="1" t="s">
        <v>10794</v>
      </c>
      <c r="T867" s="2" t="s">
        <v>13</v>
      </c>
      <c r="U867" s="3">
        <v>3</v>
      </c>
      <c r="V867" s="3">
        <v>3</v>
      </c>
      <c r="W867" s="4" t="s">
        <v>10795</v>
      </c>
      <c r="X867" s="4" t="s">
        <v>10795</v>
      </c>
      <c r="Y867" s="4" t="s">
        <v>10796</v>
      </c>
      <c r="Z867" s="4" t="s">
        <v>10796</v>
      </c>
      <c r="AA867" s="3">
        <v>95</v>
      </c>
      <c r="AB867" s="3">
        <v>85</v>
      </c>
      <c r="AC867" s="3">
        <v>92</v>
      </c>
      <c r="AD867" s="3">
        <v>1</v>
      </c>
      <c r="AE867" s="9">
        <v>1</v>
      </c>
      <c r="AF867" s="9">
        <v>1</v>
      </c>
      <c r="AG867" s="9">
        <v>1</v>
      </c>
      <c r="AH867" s="3">
        <v>1</v>
      </c>
      <c r="AI867" s="3">
        <v>1</v>
      </c>
      <c r="AJ867" s="3">
        <v>0</v>
      </c>
      <c r="AK867" s="3">
        <v>0</v>
      </c>
      <c r="AL867" s="3">
        <v>0</v>
      </c>
      <c r="AM867" s="3">
        <v>0</v>
      </c>
      <c r="AN867" s="3">
        <v>0</v>
      </c>
      <c r="AO867" s="3">
        <v>0</v>
      </c>
      <c r="AP867" s="3">
        <v>0</v>
      </c>
      <c r="AQ867" s="3">
        <v>0</v>
      </c>
      <c r="AR867" s="2" t="s">
        <v>5</v>
      </c>
      <c r="AS867" s="2" t="s">
        <v>46</v>
      </c>
      <c r="AT867" s="5" t="str">
        <f>HYPERLINK("http://catalog.hathitrust.org/Record/008321486","HathiTrust Record")</f>
        <v>HathiTrust Record</v>
      </c>
      <c r="AU867" s="5" t="str">
        <f>HYPERLINK("https://creighton-primo.hosted.exlibrisgroup.com/primo-explore/search?tab=default_tab&amp;search_scope=EVERYTHING&amp;vid=01CRU&amp;lang=en_US&amp;offset=0&amp;query=any,contains,991002731289702656","Catalog Record")</f>
        <v>Catalog Record</v>
      </c>
      <c r="AV867" s="5" t="str">
        <f>HYPERLINK("http://www.worldcat.org/oclc/35825491","WorldCat Record")</f>
        <v>WorldCat Record</v>
      </c>
      <c r="AW867" s="2" t="s">
        <v>10797</v>
      </c>
      <c r="AX867" s="2" t="s">
        <v>10798</v>
      </c>
      <c r="AY867" s="2" t="s">
        <v>10799</v>
      </c>
      <c r="AZ867" s="2" t="s">
        <v>10799</v>
      </c>
      <c r="BA867" s="2" t="s">
        <v>10800</v>
      </c>
      <c r="BB867" s="2" t="s">
        <v>20</v>
      </c>
      <c r="BD867" s="2" t="s">
        <v>10801</v>
      </c>
      <c r="BE867" s="2" t="s">
        <v>10802</v>
      </c>
      <c r="BF867" s="2" t="s">
        <v>10803</v>
      </c>
    </row>
    <row r="868" spans="1:58" ht="39.75" customHeight="1" x14ac:dyDescent="0.25">
      <c r="A868" s="7" t="s">
        <v>5</v>
      </c>
      <c r="B868" s="1" t="s">
        <v>0</v>
      </c>
      <c r="C868" s="1" t="s">
        <v>1</v>
      </c>
      <c r="D868" s="1" t="s">
        <v>10804</v>
      </c>
      <c r="E868" s="1" t="s">
        <v>10805</v>
      </c>
      <c r="F868" s="1" t="s">
        <v>10806</v>
      </c>
      <c r="H868" s="2" t="s">
        <v>5</v>
      </c>
      <c r="I868" s="2" t="s">
        <v>6</v>
      </c>
      <c r="J868" s="2" t="s">
        <v>5</v>
      </c>
      <c r="K868" s="2" t="s">
        <v>5</v>
      </c>
      <c r="L868" s="2" t="s">
        <v>7</v>
      </c>
      <c r="N868" s="1" t="s">
        <v>10807</v>
      </c>
      <c r="O868" s="2" t="s">
        <v>2448</v>
      </c>
      <c r="Q868" s="2" t="s">
        <v>1151</v>
      </c>
      <c r="R868" s="2" t="s">
        <v>5403</v>
      </c>
      <c r="T868" s="2" t="s">
        <v>13</v>
      </c>
      <c r="U868" s="3">
        <v>1</v>
      </c>
      <c r="V868" s="3">
        <v>1</v>
      </c>
      <c r="W868" s="4" t="s">
        <v>1274</v>
      </c>
      <c r="X868" s="4" t="s">
        <v>1274</v>
      </c>
      <c r="Y868" s="4" t="s">
        <v>1274</v>
      </c>
      <c r="Z868" s="4" t="s">
        <v>1274</v>
      </c>
      <c r="AA868" s="3">
        <v>87</v>
      </c>
      <c r="AB868" s="3">
        <v>77</v>
      </c>
      <c r="AC868" s="3">
        <v>79</v>
      </c>
      <c r="AD868" s="3">
        <v>1</v>
      </c>
      <c r="AE868" s="9">
        <v>1</v>
      </c>
      <c r="AF868" s="9">
        <v>3</v>
      </c>
      <c r="AG868" s="9">
        <v>3</v>
      </c>
      <c r="AH868" s="3">
        <v>1</v>
      </c>
      <c r="AI868" s="3">
        <v>1</v>
      </c>
      <c r="AJ868" s="3">
        <v>1</v>
      </c>
      <c r="AK868" s="3">
        <v>1</v>
      </c>
      <c r="AL868" s="3">
        <v>3</v>
      </c>
      <c r="AM868" s="3">
        <v>3</v>
      </c>
      <c r="AN868" s="3">
        <v>0</v>
      </c>
      <c r="AO868" s="3">
        <v>0</v>
      </c>
      <c r="AP868" s="3">
        <v>0</v>
      </c>
      <c r="AQ868" s="3">
        <v>0</v>
      </c>
      <c r="AR868" s="2" t="s">
        <v>5</v>
      </c>
      <c r="AS868" s="2" t="s">
        <v>46</v>
      </c>
      <c r="AT868" s="5" t="str">
        <f>HYPERLINK("http://catalog.hathitrust.org/Record/004056891","HathiTrust Record")</f>
        <v>HathiTrust Record</v>
      </c>
      <c r="AU868" s="5" t="str">
        <f>HYPERLINK("https://creighton-primo.hosted.exlibrisgroup.com/primo-explore/search?tab=default_tab&amp;search_scope=EVERYTHING&amp;vid=01CRU&amp;lang=en_US&amp;offset=0&amp;query=any,contains,991003255099702656","Catalog Record")</f>
        <v>Catalog Record</v>
      </c>
      <c r="AV868" s="5" t="str">
        <f>HYPERLINK("http://www.worldcat.org/oclc/41870977","WorldCat Record")</f>
        <v>WorldCat Record</v>
      </c>
      <c r="AW868" s="2" t="s">
        <v>10808</v>
      </c>
      <c r="AX868" s="2" t="s">
        <v>10809</v>
      </c>
      <c r="AY868" s="2" t="s">
        <v>10810</v>
      </c>
      <c r="AZ868" s="2" t="s">
        <v>10810</v>
      </c>
      <c r="BA868" s="2" t="s">
        <v>10811</v>
      </c>
      <c r="BB868" s="2" t="s">
        <v>20</v>
      </c>
      <c r="BD868" s="2" t="s">
        <v>10812</v>
      </c>
      <c r="BE868" s="2" t="s">
        <v>10813</v>
      </c>
      <c r="BF868" s="2" t="s">
        <v>10814</v>
      </c>
    </row>
    <row r="869" spans="1:58" ht="39.75" customHeight="1" x14ac:dyDescent="0.25">
      <c r="A869" s="7" t="s">
        <v>5</v>
      </c>
      <c r="B869" s="1" t="s">
        <v>0</v>
      </c>
      <c r="C869" s="1" t="s">
        <v>1</v>
      </c>
      <c r="D869" s="1" t="s">
        <v>10815</v>
      </c>
      <c r="E869" s="1" t="s">
        <v>10816</v>
      </c>
      <c r="F869" s="1" t="s">
        <v>10817</v>
      </c>
      <c r="H869" s="2" t="s">
        <v>5</v>
      </c>
      <c r="I869" s="2" t="s">
        <v>6</v>
      </c>
      <c r="J869" s="2" t="s">
        <v>5</v>
      </c>
      <c r="K869" s="2" t="s">
        <v>5</v>
      </c>
      <c r="L869" s="2" t="s">
        <v>7</v>
      </c>
      <c r="M869" s="1" t="s">
        <v>10818</v>
      </c>
      <c r="N869" s="1" t="s">
        <v>10819</v>
      </c>
      <c r="O869" s="2" t="s">
        <v>261</v>
      </c>
      <c r="Q869" s="2" t="s">
        <v>1151</v>
      </c>
      <c r="R869" s="2" t="s">
        <v>5403</v>
      </c>
      <c r="S869" s="1" t="s">
        <v>10820</v>
      </c>
      <c r="T869" s="2" t="s">
        <v>13</v>
      </c>
      <c r="U869" s="3">
        <v>1</v>
      </c>
      <c r="V869" s="3">
        <v>1</v>
      </c>
      <c r="W869" s="4" t="s">
        <v>5518</v>
      </c>
      <c r="X869" s="4" t="s">
        <v>5518</v>
      </c>
      <c r="Y869" s="4" t="s">
        <v>5518</v>
      </c>
      <c r="Z869" s="4" t="s">
        <v>5518</v>
      </c>
      <c r="AA869" s="3">
        <v>85</v>
      </c>
      <c r="AB869" s="3">
        <v>69</v>
      </c>
      <c r="AC869" s="3">
        <v>74</v>
      </c>
      <c r="AD869" s="3">
        <v>1</v>
      </c>
      <c r="AE869" s="9">
        <v>1</v>
      </c>
      <c r="AF869" s="9">
        <v>2</v>
      </c>
      <c r="AG869" s="9">
        <v>2</v>
      </c>
      <c r="AH869" s="3">
        <v>0</v>
      </c>
      <c r="AI869" s="3">
        <v>0</v>
      </c>
      <c r="AJ869" s="3">
        <v>1</v>
      </c>
      <c r="AK869" s="3">
        <v>1</v>
      </c>
      <c r="AL869" s="3">
        <v>1</v>
      </c>
      <c r="AM869" s="3">
        <v>1</v>
      </c>
      <c r="AN869" s="3">
        <v>0</v>
      </c>
      <c r="AO869" s="3">
        <v>0</v>
      </c>
      <c r="AP869" s="3">
        <v>0</v>
      </c>
      <c r="AQ869" s="3">
        <v>0</v>
      </c>
      <c r="AR869" s="2" t="s">
        <v>5</v>
      </c>
      <c r="AS869" s="2" t="s">
        <v>5</v>
      </c>
      <c r="AU869" s="5" t="str">
        <f>HYPERLINK("https://creighton-primo.hosted.exlibrisgroup.com/primo-explore/search?tab=default_tab&amp;search_scope=EVERYTHING&amp;vid=01CRU&amp;lang=en_US&amp;offset=0&amp;query=any,contains,991004508629702656","Catalog Record")</f>
        <v>Catalog Record</v>
      </c>
      <c r="AV869" s="5" t="str">
        <f>HYPERLINK("http://www.worldcat.org/oclc/9764682","WorldCat Record")</f>
        <v>WorldCat Record</v>
      </c>
      <c r="AW869" s="2" t="s">
        <v>10821</v>
      </c>
      <c r="AX869" s="2" t="s">
        <v>10822</v>
      </c>
      <c r="AY869" s="2" t="s">
        <v>10823</v>
      </c>
      <c r="AZ869" s="2" t="s">
        <v>10823</v>
      </c>
      <c r="BA869" s="2" t="s">
        <v>10824</v>
      </c>
      <c r="BB869" s="2" t="s">
        <v>20</v>
      </c>
      <c r="BD869" s="2" t="s">
        <v>10825</v>
      </c>
      <c r="BE869" s="2" t="s">
        <v>10826</v>
      </c>
      <c r="BF869" s="2" t="s">
        <v>10827</v>
      </c>
    </row>
    <row r="870" spans="1:58" ht="39.75" customHeight="1" x14ac:dyDescent="0.25">
      <c r="A870" s="7" t="s">
        <v>5</v>
      </c>
      <c r="B870" s="1" t="s">
        <v>0</v>
      </c>
      <c r="C870" s="1" t="s">
        <v>1</v>
      </c>
      <c r="D870" s="1" t="s">
        <v>10828</v>
      </c>
      <c r="E870" s="1" t="s">
        <v>10829</v>
      </c>
      <c r="F870" s="1" t="s">
        <v>10830</v>
      </c>
      <c r="H870" s="2" t="s">
        <v>5</v>
      </c>
      <c r="I870" s="2" t="s">
        <v>6</v>
      </c>
      <c r="J870" s="2" t="s">
        <v>5</v>
      </c>
      <c r="K870" s="2" t="s">
        <v>5</v>
      </c>
      <c r="L870" s="2" t="s">
        <v>7</v>
      </c>
      <c r="M870" s="1" t="s">
        <v>10831</v>
      </c>
      <c r="N870" s="1" t="s">
        <v>10832</v>
      </c>
      <c r="O870" s="2" t="s">
        <v>307</v>
      </c>
      <c r="Q870" s="2" t="s">
        <v>60</v>
      </c>
      <c r="R870" s="2" t="s">
        <v>1066</v>
      </c>
      <c r="T870" s="2" t="s">
        <v>13</v>
      </c>
      <c r="U870" s="3">
        <v>3</v>
      </c>
      <c r="V870" s="3">
        <v>3</v>
      </c>
      <c r="W870" s="4" t="s">
        <v>10833</v>
      </c>
      <c r="X870" s="4" t="s">
        <v>10833</v>
      </c>
      <c r="Y870" s="4" t="s">
        <v>8825</v>
      </c>
      <c r="Z870" s="4" t="s">
        <v>8825</v>
      </c>
      <c r="AA870" s="3">
        <v>913</v>
      </c>
      <c r="AB870" s="3">
        <v>873</v>
      </c>
      <c r="AC870" s="3">
        <v>1037</v>
      </c>
      <c r="AD870" s="3">
        <v>5</v>
      </c>
      <c r="AE870" s="9">
        <v>5</v>
      </c>
      <c r="AF870" s="9">
        <v>21</v>
      </c>
      <c r="AG870" s="9">
        <v>29</v>
      </c>
      <c r="AH870" s="3">
        <v>7</v>
      </c>
      <c r="AI870" s="3">
        <v>12</v>
      </c>
      <c r="AJ870" s="3">
        <v>6</v>
      </c>
      <c r="AK870" s="3">
        <v>7</v>
      </c>
      <c r="AL870" s="3">
        <v>9</v>
      </c>
      <c r="AM870" s="3">
        <v>13</v>
      </c>
      <c r="AN870" s="3">
        <v>3</v>
      </c>
      <c r="AO870" s="3">
        <v>3</v>
      </c>
      <c r="AP870" s="3">
        <v>0</v>
      </c>
      <c r="AQ870" s="3">
        <v>0</v>
      </c>
      <c r="AR870" s="2" t="s">
        <v>5</v>
      </c>
      <c r="AS870" s="2" t="s">
        <v>46</v>
      </c>
      <c r="AT870" s="5" t="str">
        <f>HYPERLINK("http://catalog.hathitrust.org/Record/001369420","HathiTrust Record")</f>
        <v>HathiTrust Record</v>
      </c>
      <c r="AU870" s="5" t="str">
        <f>HYPERLINK("https://creighton-primo.hosted.exlibrisgroup.com/primo-explore/search?tab=default_tab&amp;search_scope=EVERYTHING&amp;vid=01CRU&amp;lang=en_US&amp;offset=0&amp;query=any,contains,991002226929702656","Catalog Record")</f>
        <v>Catalog Record</v>
      </c>
      <c r="AV870" s="5" t="str">
        <f>HYPERLINK("http://www.worldcat.org/oclc/291971","WorldCat Record")</f>
        <v>WorldCat Record</v>
      </c>
      <c r="AW870" s="2" t="s">
        <v>10834</v>
      </c>
      <c r="AX870" s="2" t="s">
        <v>10835</v>
      </c>
      <c r="AY870" s="2" t="s">
        <v>10836</v>
      </c>
      <c r="AZ870" s="2" t="s">
        <v>10836</v>
      </c>
      <c r="BA870" s="2" t="s">
        <v>10837</v>
      </c>
      <c r="BB870" s="2" t="s">
        <v>20</v>
      </c>
      <c r="BE870" s="2" t="s">
        <v>10838</v>
      </c>
      <c r="BF870" s="2" t="s">
        <v>10839</v>
      </c>
    </row>
    <row r="871" spans="1:58" ht="39.75" customHeight="1" x14ac:dyDescent="0.25">
      <c r="A871" s="7" t="s">
        <v>5</v>
      </c>
      <c r="B871" s="1" t="s">
        <v>0</v>
      </c>
      <c r="C871" s="1" t="s">
        <v>1</v>
      </c>
      <c r="D871" s="1" t="s">
        <v>10840</v>
      </c>
      <c r="E871" s="1" t="s">
        <v>10841</v>
      </c>
      <c r="F871" s="1" t="s">
        <v>10842</v>
      </c>
      <c r="H871" s="2" t="s">
        <v>5</v>
      </c>
      <c r="I871" s="2" t="s">
        <v>6</v>
      </c>
      <c r="J871" s="2" t="s">
        <v>5</v>
      </c>
      <c r="K871" s="2" t="s">
        <v>5</v>
      </c>
      <c r="L871" s="2" t="s">
        <v>7</v>
      </c>
      <c r="M871" s="1" t="s">
        <v>10843</v>
      </c>
      <c r="N871" s="1" t="s">
        <v>10844</v>
      </c>
      <c r="O871" s="2" t="s">
        <v>2448</v>
      </c>
      <c r="P871" s="1" t="s">
        <v>5911</v>
      </c>
      <c r="Q871" s="2" t="s">
        <v>1151</v>
      </c>
      <c r="R871" s="2" t="s">
        <v>5403</v>
      </c>
      <c r="S871" s="1" t="s">
        <v>10845</v>
      </c>
      <c r="T871" s="2" t="s">
        <v>13</v>
      </c>
      <c r="U871" s="3">
        <v>1</v>
      </c>
      <c r="V871" s="3">
        <v>1</v>
      </c>
      <c r="W871" s="4" t="s">
        <v>10846</v>
      </c>
      <c r="X871" s="4" t="s">
        <v>10846</v>
      </c>
      <c r="Y871" s="4" t="s">
        <v>10846</v>
      </c>
      <c r="Z871" s="4" t="s">
        <v>10846</v>
      </c>
      <c r="AA871" s="3">
        <v>26</v>
      </c>
      <c r="AB871" s="3">
        <v>20</v>
      </c>
      <c r="AC871" s="3">
        <v>179</v>
      </c>
      <c r="AD871" s="3">
        <v>1</v>
      </c>
      <c r="AE871" s="9">
        <v>2</v>
      </c>
      <c r="AF871" s="9">
        <v>1</v>
      </c>
      <c r="AG871" s="9">
        <v>7</v>
      </c>
      <c r="AH871" s="3">
        <v>0</v>
      </c>
      <c r="AI871" s="3">
        <v>2</v>
      </c>
      <c r="AJ871" s="3">
        <v>1</v>
      </c>
      <c r="AK871" s="3">
        <v>4</v>
      </c>
      <c r="AL871" s="3">
        <v>1</v>
      </c>
      <c r="AM871" s="3">
        <v>4</v>
      </c>
      <c r="AN871" s="3">
        <v>0</v>
      </c>
      <c r="AO871" s="3">
        <v>1</v>
      </c>
      <c r="AP871" s="3">
        <v>0</v>
      </c>
      <c r="AQ871" s="3">
        <v>0</v>
      </c>
      <c r="AR871" s="2" t="s">
        <v>5</v>
      </c>
      <c r="AS871" s="2" t="s">
        <v>46</v>
      </c>
      <c r="AT871" s="5" t="str">
        <f>HYPERLINK("http://catalog.hathitrust.org/Record/004271314","HathiTrust Record")</f>
        <v>HathiTrust Record</v>
      </c>
      <c r="AU871" s="5" t="str">
        <f>HYPERLINK("https://creighton-primo.hosted.exlibrisgroup.com/primo-explore/search?tab=default_tab&amp;search_scope=EVERYTHING&amp;vid=01CRU&amp;lang=en_US&amp;offset=0&amp;query=any,contains,991003925029702656","Catalog Record")</f>
        <v>Catalog Record</v>
      </c>
      <c r="AV871" s="5" t="str">
        <f>HYPERLINK("http://www.worldcat.org/oclc/41647939","WorldCat Record")</f>
        <v>WorldCat Record</v>
      </c>
      <c r="AW871" s="2" t="s">
        <v>10847</v>
      </c>
      <c r="AX871" s="2" t="s">
        <v>10848</v>
      </c>
      <c r="AY871" s="2" t="s">
        <v>10849</v>
      </c>
      <c r="AZ871" s="2" t="s">
        <v>10849</v>
      </c>
      <c r="BA871" s="2" t="s">
        <v>10850</v>
      </c>
      <c r="BB871" s="2" t="s">
        <v>20</v>
      </c>
      <c r="BD871" s="2" t="s">
        <v>10851</v>
      </c>
      <c r="BE871" s="2" t="s">
        <v>10852</v>
      </c>
      <c r="BF871" s="2" t="s">
        <v>10853</v>
      </c>
    </row>
    <row r="872" spans="1:58" ht="39.75" customHeight="1" x14ac:dyDescent="0.25">
      <c r="A872" s="7" t="s">
        <v>5</v>
      </c>
      <c r="B872" s="1" t="s">
        <v>0</v>
      </c>
      <c r="C872" s="1" t="s">
        <v>1</v>
      </c>
      <c r="D872" s="1" t="s">
        <v>10854</v>
      </c>
      <c r="E872" s="1" t="s">
        <v>10855</v>
      </c>
      <c r="F872" s="1" t="s">
        <v>10856</v>
      </c>
      <c r="H872" s="2" t="s">
        <v>5</v>
      </c>
      <c r="I872" s="2" t="s">
        <v>6</v>
      </c>
      <c r="J872" s="2" t="s">
        <v>5</v>
      </c>
      <c r="K872" s="2" t="s">
        <v>5</v>
      </c>
      <c r="L872" s="2" t="s">
        <v>7</v>
      </c>
      <c r="M872" s="1" t="s">
        <v>10857</v>
      </c>
      <c r="N872" s="1" t="s">
        <v>10858</v>
      </c>
      <c r="O872" s="2" t="s">
        <v>569</v>
      </c>
      <c r="Q872" s="2" t="s">
        <v>1151</v>
      </c>
      <c r="R872" s="2" t="s">
        <v>5403</v>
      </c>
      <c r="S872" s="1" t="s">
        <v>9598</v>
      </c>
      <c r="T872" s="2" t="s">
        <v>13</v>
      </c>
      <c r="U872" s="3">
        <v>2</v>
      </c>
      <c r="V872" s="3">
        <v>2</v>
      </c>
      <c r="W872" s="4" t="s">
        <v>5590</v>
      </c>
      <c r="X872" s="4" t="s">
        <v>5590</v>
      </c>
      <c r="Y872" s="4" t="s">
        <v>10859</v>
      </c>
      <c r="Z872" s="4" t="s">
        <v>10859</v>
      </c>
      <c r="AA872" s="3">
        <v>27</v>
      </c>
      <c r="AB872" s="3">
        <v>22</v>
      </c>
      <c r="AC872" s="3">
        <v>246</v>
      </c>
      <c r="AD872" s="3">
        <v>1</v>
      </c>
      <c r="AE872" s="9">
        <v>2</v>
      </c>
      <c r="AF872" s="9">
        <v>1</v>
      </c>
      <c r="AG872" s="9">
        <v>7</v>
      </c>
      <c r="AH872" s="3">
        <v>0</v>
      </c>
      <c r="AI872" s="3">
        <v>0</v>
      </c>
      <c r="AJ872" s="3">
        <v>0</v>
      </c>
      <c r="AK872" s="3">
        <v>3</v>
      </c>
      <c r="AL872" s="3">
        <v>1</v>
      </c>
      <c r="AM872" s="3">
        <v>3</v>
      </c>
      <c r="AN872" s="3">
        <v>0</v>
      </c>
      <c r="AO872" s="3">
        <v>1</v>
      </c>
      <c r="AP872" s="3">
        <v>0</v>
      </c>
      <c r="AQ872" s="3">
        <v>0</v>
      </c>
      <c r="AR872" s="2" t="s">
        <v>5</v>
      </c>
      <c r="AS872" s="2" t="s">
        <v>5</v>
      </c>
      <c r="AU872" s="5" t="str">
        <f>HYPERLINK("https://creighton-primo.hosted.exlibrisgroup.com/primo-explore/search?tab=default_tab&amp;search_scope=EVERYTHING&amp;vid=01CRU&amp;lang=en_US&amp;offset=0&amp;query=any,contains,991003516929702656","Catalog Record")</f>
        <v>Catalog Record</v>
      </c>
      <c r="AV872" s="5" t="str">
        <f>HYPERLINK("http://www.worldcat.org/oclc/43848353","WorldCat Record")</f>
        <v>WorldCat Record</v>
      </c>
      <c r="AW872" s="2" t="s">
        <v>10860</v>
      </c>
      <c r="AX872" s="2" t="s">
        <v>10861</v>
      </c>
      <c r="AY872" s="2" t="s">
        <v>10862</v>
      </c>
      <c r="AZ872" s="2" t="s">
        <v>10862</v>
      </c>
      <c r="BA872" s="2" t="s">
        <v>10863</v>
      </c>
      <c r="BB872" s="2" t="s">
        <v>20</v>
      </c>
      <c r="BD872" s="2" t="s">
        <v>10864</v>
      </c>
      <c r="BE872" s="2" t="s">
        <v>10865</v>
      </c>
      <c r="BF872" s="2" t="s">
        <v>10866</v>
      </c>
    </row>
    <row r="873" spans="1:58" ht="39.75" customHeight="1" x14ac:dyDescent="0.25">
      <c r="A873" s="7" t="s">
        <v>5</v>
      </c>
      <c r="B873" s="1" t="s">
        <v>0</v>
      </c>
      <c r="C873" s="1" t="s">
        <v>1</v>
      </c>
      <c r="D873" s="1" t="s">
        <v>10867</v>
      </c>
      <c r="E873" s="1" t="s">
        <v>10868</v>
      </c>
      <c r="F873" s="1" t="s">
        <v>10869</v>
      </c>
      <c r="H873" s="2" t="s">
        <v>5</v>
      </c>
      <c r="I873" s="2" t="s">
        <v>6</v>
      </c>
      <c r="J873" s="2" t="s">
        <v>5</v>
      </c>
      <c r="K873" s="2" t="s">
        <v>5</v>
      </c>
      <c r="L873" s="2" t="s">
        <v>7</v>
      </c>
      <c r="M873" s="1" t="s">
        <v>10857</v>
      </c>
      <c r="N873" s="1" t="s">
        <v>10870</v>
      </c>
      <c r="O873" s="2" t="s">
        <v>3817</v>
      </c>
      <c r="P873" s="1" t="s">
        <v>7656</v>
      </c>
      <c r="Q873" s="2" t="s">
        <v>1151</v>
      </c>
      <c r="R873" s="2" t="s">
        <v>5403</v>
      </c>
      <c r="S873" s="1" t="s">
        <v>9598</v>
      </c>
      <c r="T873" s="2" t="s">
        <v>13</v>
      </c>
      <c r="U873" s="3">
        <v>2</v>
      </c>
      <c r="V873" s="3">
        <v>2</v>
      </c>
      <c r="W873" s="4" t="s">
        <v>5590</v>
      </c>
      <c r="X873" s="4" t="s">
        <v>5590</v>
      </c>
      <c r="Y873" s="4" t="s">
        <v>10859</v>
      </c>
      <c r="Z873" s="4" t="s">
        <v>10859</v>
      </c>
      <c r="AA873" s="3">
        <v>46</v>
      </c>
      <c r="AB873" s="3">
        <v>37</v>
      </c>
      <c r="AC873" s="3">
        <v>58</v>
      </c>
      <c r="AD873" s="3">
        <v>1</v>
      </c>
      <c r="AE873" s="9">
        <v>1</v>
      </c>
      <c r="AF873" s="9">
        <v>0</v>
      </c>
      <c r="AG873" s="9">
        <v>1</v>
      </c>
      <c r="AH873" s="3">
        <v>0</v>
      </c>
      <c r="AI873" s="3">
        <v>0</v>
      </c>
      <c r="AJ873" s="3">
        <v>0</v>
      </c>
      <c r="AK873" s="3">
        <v>1</v>
      </c>
      <c r="AL873" s="3">
        <v>0</v>
      </c>
      <c r="AM873" s="3">
        <v>1</v>
      </c>
      <c r="AN873" s="3">
        <v>0</v>
      </c>
      <c r="AO873" s="3">
        <v>0</v>
      </c>
      <c r="AP873" s="3">
        <v>0</v>
      </c>
      <c r="AQ873" s="3">
        <v>0</v>
      </c>
      <c r="AR873" s="2" t="s">
        <v>5</v>
      </c>
      <c r="AS873" s="2" t="s">
        <v>5</v>
      </c>
      <c r="AU873" s="5" t="str">
        <f>HYPERLINK("https://creighton-primo.hosted.exlibrisgroup.com/primo-explore/search?tab=default_tab&amp;search_scope=EVERYTHING&amp;vid=01CRU&amp;lang=en_US&amp;offset=0&amp;query=any,contains,991003516959702656","Catalog Record")</f>
        <v>Catalog Record</v>
      </c>
      <c r="AV873" s="5" t="str">
        <f>HYPERLINK("http://www.worldcat.org/oclc/11460169","WorldCat Record")</f>
        <v>WorldCat Record</v>
      </c>
      <c r="AW873" s="2" t="s">
        <v>10871</v>
      </c>
      <c r="AX873" s="2" t="s">
        <v>10872</v>
      </c>
      <c r="AY873" s="2" t="s">
        <v>10873</v>
      </c>
      <c r="AZ873" s="2" t="s">
        <v>10873</v>
      </c>
      <c r="BA873" s="2" t="s">
        <v>10874</v>
      </c>
      <c r="BB873" s="2" t="s">
        <v>20</v>
      </c>
      <c r="BD873" s="2" t="s">
        <v>10875</v>
      </c>
      <c r="BE873" s="2" t="s">
        <v>10876</v>
      </c>
      <c r="BF873" s="2" t="s">
        <v>10877</v>
      </c>
    </row>
    <row r="874" spans="1:58" ht="39.75" customHeight="1" x14ac:dyDescent="0.25">
      <c r="A874" s="7" t="s">
        <v>5</v>
      </c>
      <c r="B874" s="1" t="s">
        <v>0</v>
      </c>
      <c r="C874" s="1" t="s">
        <v>1</v>
      </c>
      <c r="D874" s="1" t="s">
        <v>10878</v>
      </c>
      <c r="E874" s="1" t="s">
        <v>10879</v>
      </c>
      <c r="F874" s="1" t="s">
        <v>10880</v>
      </c>
      <c r="H874" s="2" t="s">
        <v>5</v>
      </c>
      <c r="I874" s="2" t="s">
        <v>6</v>
      </c>
      <c r="J874" s="2" t="s">
        <v>5</v>
      </c>
      <c r="K874" s="2" t="s">
        <v>5</v>
      </c>
      <c r="L874" s="2" t="s">
        <v>7</v>
      </c>
      <c r="M874" s="1" t="s">
        <v>10857</v>
      </c>
      <c r="N874" s="1" t="s">
        <v>10420</v>
      </c>
      <c r="O874" s="2" t="s">
        <v>3817</v>
      </c>
      <c r="P874" s="1" t="s">
        <v>5373</v>
      </c>
      <c r="Q874" s="2" t="s">
        <v>1151</v>
      </c>
      <c r="R874" s="2" t="s">
        <v>5403</v>
      </c>
      <c r="T874" s="2" t="s">
        <v>13</v>
      </c>
      <c r="U874" s="3">
        <v>2</v>
      </c>
      <c r="V874" s="3">
        <v>2</v>
      </c>
      <c r="W874" s="4" t="s">
        <v>10881</v>
      </c>
      <c r="X874" s="4" t="s">
        <v>10881</v>
      </c>
      <c r="Y874" s="4" t="s">
        <v>10655</v>
      </c>
      <c r="Z874" s="4" t="s">
        <v>10655</v>
      </c>
      <c r="AA874" s="3">
        <v>53</v>
      </c>
      <c r="AB874" s="3">
        <v>43</v>
      </c>
      <c r="AC874" s="3">
        <v>67</v>
      </c>
      <c r="AD874" s="3">
        <v>1</v>
      </c>
      <c r="AE874" s="9">
        <v>1</v>
      </c>
      <c r="AF874" s="9">
        <v>1</v>
      </c>
      <c r="AG874" s="9">
        <v>2</v>
      </c>
      <c r="AH874" s="3">
        <v>0</v>
      </c>
      <c r="AI874" s="3">
        <v>0</v>
      </c>
      <c r="AJ874" s="3">
        <v>1</v>
      </c>
      <c r="AK874" s="3">
        <v>1</v>
      </c>
      <c r="AL874" s="3">
        <v>1</v>
      </c>
      <c r="AM874" s="3">
        <v>2</v>
      </c>
      <c r="AN874" s="3">
        <v>0</v>
      </c>
      <c r="AO874" s="3">
        <v>0</v>
      </c>
      <c r="AP874" s="3">
        <v>0</v>
      </c>
      <c r="AQ874" s="3">
        <v>0</v>
      </c>
      <c r="AR874" s="2" t="s">
        <v>5</v>
      </c>
      <c r="AS874" s="2" t="s">
        <v>5</v>
      </c>
      <c r="AU874" s="5" t="str">
        <f>HYPERLINK("https://creighton-primo.hosted.exlibrisgroup.com/primo-explore/search?tab=default_tab&amp;search_scope=EVERYTHING&amp;vid=01CRU&amp;lang=en_US&amp;offset=0&amp;query=any,contains,991002859279702656","Catalog Record")</f>
        <v>Catalog Record</v>
      </c>
      <c r="AV874" s="5" t="str">
        <f>HYPERLINK("http://www.worldcat.org/oclc/37681197","WorldCat Record")</f>
        <v>WorldCat Record</v>
      </c>
      <c r="AW874" s="2" t="s">
        <v>10882</v>
      </c>
      <c r="AX874" s="2" t="s">
        <v>10883</v>
      </c>
      <c r="AY874" s="2" t="s">
        <v>10884</v>
      </c>
      <c r="AZ874" s="2" t="s">
        <v>10884</v>
      </c>
      <c r="BA874" s="2" t="s">
        <v>10885</v>
      </c>
      <c r="BB874" s="2" t="s">
        <v>20</v>
      </c>
      <c r="BD874" s="2" t="s">
        <v>10886</v>
      </c>
      <c r="BE874" s="2" t="s">
        <v>10887</v>
      </c>
      <c r="BF874" s="2" t="s">
        <v>10888</v>
      </c>
    </row>
    <row r="875" spans="1:58" ht="39.75" customHeight="1" x14ac:dyDescent="0.25">
      <c r="A875" s="7" t="s">
        <v>5</v>
      </c>
      <c r="B875" s="1" t="s">
        <v>0</v>
      </c>
      <c r="C875" s="1" t="s">
        <v>1</v>
      </c>
      <c r="D875" s="1" t="s">
        <v>10889</v>
      </c>
      <c r="E875" s="1" t="s">
        <v>10890</v>
      </c>
      <c r="F875" s="1" t="s">
        <v>10891</v>
      </c>
      <c r="H875" s="2" t="s">
        <v>5</v>
      </c>
      <c r="I875" s="2" t="s">
        <v>6</v>
      </c>
      <c r="J875" s="2" t="s">
        <v>5</v>
      </c>
      <c r="K875" s="2" t="s">
        <v>5</v>
      </c>
      <c r="L875" s="2" t="s">
        <v>7</v>
      </c>
      <c r="M875" s="1" t="s">
        <v>10892</v>
      </c>
      <c r="N875" s="1" t="s">
        <v>10893</v>
      </c>
      <c r="O875" s="2" t="s">
        <v>6611</v>
      </c>
      <c r="P875" s="1" t="s">
        <v>2908</v>
      </c>
      <c r="Q875" s="2" t="s">
        <v>1151</v>
      </c>
      <c r="R875" s="2" t="s">
        <v>5403</v>
      </c>
      <c r="S875" s="1" t="s">
        <v>10894</v>
      </c>
      <c r="T875" s="2" t="s">
        <v>13</v>
      </c>
      <c r="U875" s="3">
        <v>1</v>
      </c>
      <c r="V875" s="3">
        <v>1</v>
      </c>
      <c r="W875" s="4" t="s">
        <v>10895</v>
      </c>
      <c r="X875" s="4" t="s">
        <v>10895</v>
      </c>
      <c r="Y875" s="4" t="s">
        <v>3118</v>
      </c>
      <c r="Z875" s="4" t="s">
        <v>3118</v>
      </c>
      <c r="AA875" s="3">
        <v>142</v>
      </c>
      <c r="AB875" s="3">
        <v>117</v>
      </c>
      <c r="AC875" s="3">
        <v>163</v>
      </c>
      <c r="AD875" s="3">
        <v>1</v>
      </c>
      <c r="AE875" s="9">
        <v>1</v>
      </c>
      <c r="AF875" s="9">
        <v>4</v>
      </c>
      <c r="AG875" s="9">
        <v>4</v>
      </c>
      <c r="AH875" s="3">
        <v>1</v>
      </c>
      <c r="AI875" s="3">
        <v>1</v>
      </c>
      <c r="AJ875" s="3">
        <v>2</v>
      </c>
      <c r="AK875" s="3">
        <v>2</v>
      </c>
      <c r="AL875" s="3">
        <v>2</v>
      </c>
      <c r="AM875" s="3">
        <v>2</v>
      </c>
      <c r="AN875" s="3">
        <v>0</v>
      </c>
      <c r="AO875" s="3">
        <v>0</v>
      </c>
      <c r="AP875" s="3">
        <v>0</v>
      </c>
      <c r="AQ875" s="3">
        <v>0</v>
      </c>
      <c r="AR875" s="2" t="s">
        <v>5</v>
      </c>
      <c r="AS875" s="2" t="s">
        <v>46</v>
      </c>
      <c r="AT875" s="5" t="str">
        <f>HYPERLINK("http://catalog.hathitrust.org/Record/101097324","HathiTrust Record")</f>
        <v>HathiTrust Record</v>
      </c>
      <c r="AU875" s="5" t="str">
        <f>HYPERLINK("https://creighton-primo.hosted.exlibrisgroup.com/primo-explore/search?tab=default_tab&amp;search_scope=EVERYTHING&amp;vid=01CRU&amp;lang=en_US&amp;offset=0&amp;query=any,contains,991002651999702656","Catalog Record")</f>
        <v>Catalog Record</v>
      </c>
      <c r="AV875" s="5" t="str">
        <f>HYPERLINK("http://www.worldcat.org/oclc/34680823","WorldCat Record")</f>
        <v>WorldCat Record</v>
      </c>
      <c r="AW875" s="2" t="s">
        <v>10896</v>
      </c>
      <c r="AX875" s="2" t="s">
        <v>10897</v>
      </c>
      <c r="AY875" s="2" t="s">
        <v>10898</v>
      </c>
      <c r="AZ875" s="2" t="s">
        <v>10898</v>
      </c>
      <c r="BA875" s="2" t="s">
        <v>10899</v>
      </c>
      <c r="BB875" s="2" t="s">
        <v>20</v>
      </c>
      <c r="BD875" s="2" t="s">
        <v>10900</v>
      </c>
      <c r="BE875" s="2" t="s">
        <v>10901</v>
      </c>
      <c r="BF875" s="2" t="s">
        <v>10902</v>
      </c>
    </row>
    <row r="876" spans="1:58" ht="39.75" customHeight="1" x14ac:dyDescent="0.25">
      <c r="A876" s="7" t="s">
        <v>5</v>
      </c>
      <c r="B876" s="1" t="s">
        <v>0</v>
      </c>
      <c r="C876" s="1" t="s">
        <v>1</v>
      </c>
      <c r="D876" s="1" t="s">
        <v>10903</v>
      </c>
      <c r="E876" s="1" t="s">
        <v>10904</v>
      </c>
      <c r="F876" s="1" t="s">
        <v>10905</v>
      </c>
      <c r="H876" s="2" t="s">
        <v>5</v>
      </c>
      <c r="I876" s="2" t="s">
        <v>6</v>
      </c>
      <c r="J876" s="2" t="s">
        <v>5</v>
      </c>
      <c r="K876" s="2" t="s">
        <v>5</v>
      </c>
      <c r="L876" s="2" t="s">
        <v>7</v>
      </c>
      <c r="M876" s="1" t="s">
        <v>10906</v>
      </c>
      <c r="N876" s="1" t="s">
        <v>10907</v>
      </c>
      <c r="O876" s="2" t="s">
        <v>3817</v>
      </c>
      <c r="P876" s="1" t="s">
        <v>6210</v>
      </c>
      <c r="Q876" s="2" t="s">
        <v>1151</v>
      </c>
      <c r="R876" s="2" t="s">
        <v>5374</v>
      </c>
      <c r="S876" s="1" t="s">
        <v>10908</v>
      </c>
      <c r="T876" s="2" t="s">
        <v>13</v>
      </c>
      <c r="U876" s="3">
        <v>1</v>
      </c>
      <c r="V876" s="3">
        <v>1</v>
      </c>
      <c r="W876" s="4" t="s">
        <v>5376</v>
      </c>
      <c r="X876" s="4" t="s">
        <v>5376</v>
      </c>
      <c r="Y876" s="4" t="s">
        <v>5377</v>
      </c>
      <c r="Z876" s="4" t="s">
        <v>5377</v>
      </c>
      <c r="AA876" s="3">
        <v>31</v>
      </c>
      <c r="AB876" s="3">
        <v>29</v>
      </c>
      <c r="AC876" s="3">
        <v>56</v>
      </c>
      <c r="AD876" s="3">
        <v>1</v>
      </c>
      <c r="AE876" s="9">
        <v>1</v>
      </c>
      <c r="AF876" s="9">
        <v>1</v>
      </c>
      <c r="AG876" s="9">
        <v>1</v>
      </c>
      <c r="AH876" s="3">
        <v>0</v>
      </c>
      <c r="AI876" s="3">
        <v>0</v>
      </c>
      <c r="AJ876" s="3">
        <v>1</v>
      </c>
      <c r="AK876" s="3">
        <v>1</v>
      </c>
      <c r="AL876" s="3">
        <v>0</v>
      </c>
      <c r="AM876" s="3">
        <v>0</v>
      </c>
      <c r="AN876" s="3">
        <v>0</v>
      </c>
      <c r="AO876" s="3">
        <v>0</v>
      </c>
      <c r="AP876" s="3">
        <v>0</v>
      </c>
      <c r="AQ876" s="3">
        <v>0</v>
      </c>
      <c r="AR876" s="2" t="s">
        <v>5</v>
      </c>
      <c r="AS876" s="2" t="s">
        <v>46</v>
      </c>
      <c r="AT876" s="5" t="str">
        <f>HYPERLINK("http://catalog.hathitrust.org/Record/101097584","HathiTrust Record")</f>
        <v>HathiTrust Record</v>
      </c>
      <c r="AU876" s="5" t="str">
        <f>HYPERLINK("https://creighton-primo.hosted.exlibrisgroup.com/primo-explore/search?tab=default_tab&amp;search_scope=EVERYTHING&amp;vid=01CRU&amp;lang=en_US&amp;offset=0&amp;query=any,contains,991003670089702656","Catalog Record")</f>
        <v>Catalog Record</v>
      </c>
      <c r="AV876" s="5" t="str">
        <f>HYPERLINK("http://www.worldcat.org/oclc/39728064","WorldCat Record")</f>
        <v>WorldCat Record</v>
      </c>
      <c r="AW876" s="2" t="s">
        <v>10909</v>
      </c>
      <c r="AX876" s="2" t="s">
        <v>10910</v>
      </c>
      <c r="AY876" s="2" t="s">
        <v>10911</v>
      </c>
      <c r="AZ876" s="2" t="s">
        <v>10911</v>
      </c>
      <c r="BA876" s="2" t="s">
        <v>10912</v>
      </c>
      <c r="BB876" s="2" t="s">
        <v>20</v>
      </c>
      <c r="BE876" s="2" t="s">
        <v>10913</v>
      </c>
      <c r="BF876" s="2" t="s">
        <v>10914</v>
      </c>
    </row>
    <row r="877" spans="1:58" ht="39.75" customHeight="1" x14ac:dyDescent="0.25">
      <c r="A877" s="7" t="s">
        <v>5</v>
      </c>
      <c r="B877" s="1" t="s">
        <v>0</v>
      </c>
      <c r="C877" s="1" t="s">
        <v>1</v>
      </c>
      <c r="D877" s="1" t="s">
        <v>10915</v>
      </c>
      <c r="E877" s="1" t="s">
        <v>10916</v>
      </c>
      <c r="F877" s="1" t="s">
        <v>10917</v>
      </c>
      <c r="H877" s="2" t="s">
        <v>5</v>
      </c>
      <c r="I877" s="2" t="s">
        <v>6</v>
      </c>
      <c r="J877" s="2" t="s">
        <v>5</v>
      </c>
      <c r="K877" s="2" t="s">
        <v>5</v>
      </c>
      <c r="L877" s="2" t="s">
        <v>7</v>
      </c>
      <c r="M877" s="1" t="s">
        <v>10918</v>
      </c>
      <c r="N877" s="1" t="s">
        <v>10919</v>
      </c>
      <c r="O877" s="2" t="s">
        <v>2610</v>
      </c>
      <c r="Q877" s="2" t="s">
        <v>1151</v>
      </c>
      <c r="R877" s="2" t="s">
        <v>5403</v>
      </c>
      <c r="T877" s="2" t="s">
        <v>13</v>
      </c>
      <c r="U877" s="3">
        <v>1</v>
      </c>
      <c r="V877" s="3">
        <v>1</v>
      </c>
      <c r="W877" s="4" t="s">
        <v>5376</v>
      </c>
      <c r="X877" s="4" t="s">
        <v>5376</v>
      </c>
      <c r="Y877" s="4" t="s">
        <v>5376</v>
      </c>
      <c r="Z877" s="4" t="s">
        <v>5376</v>
      </c>
      <c r="AA877" s="3">
        <v>10</v>
      </c>
      <c r="AB877" s="3">
        <v>9</v>
      </c>
      <c r="AC877" s="3">
        <v>14</v>
      </c>
      <c r="AD877" s="3">
        <v>1</v>
      </c>
      <c r="AE877" s="9">
        <v>1</v>
      </c>
      <c r="AF877" s="9">
        <v>0</v>
      </c>
      <c r="AG877" s="9">
        <v>0</v>
      </c>
      <c r="AH877" s="3">
        <v>0</v>
      </c>
      <c r="AI877" s="3">
        <v>0</v>
      </c>
      <c r="AJ877" s="3">
        <v>0</v>
      </c>
      <c r="AK877" s="3">
        <v>0</v>
      </c>
      <c r="AL877" s="3">
        <v>0</v>
      </c>
      <c r="AM877" s="3">
        <v>0</v>
      </c>
      <c r="AN877" s="3">
        <v>0</v>
      </c>
      <c r="AO877" s="3">
        <v>0</v>
      </c>
      <c r="AP877" s="3">
        <v>0</v>
      </c>
      <c r="AQ877" s="3">
        <v>0</v>
      </c>
      <c r="AR877" s="2" t="s">
        <v>5</v>
      </c>
      <c r="AS877" s="2" t="s">
        <v>46</v>
      </c>
      <c r="AT877" s="5" t="str">
        <f>HYPERLINK("http://catalog.hathitrust.org/Record/101097646","HathiTrust Record")</f>
        <v>HathiTrust Record</v>
      </c>
      <c r="AU877" s="5" t="str">
        <f>HYPERLINK("https://creighton-primo.hosted.exlibrisgroup.com/primo-explore/search?tab=default_tab&amp;search_scope=EVERYTHING&amp;vid=01CRU&amp;lang=en_US&amp;offset=0&amp;query=any,contains,991003673889702656","Catalog Record")</f>
        <v>Catalog Record</v>
      </c>
      <c r="AV877" s="5" t="str">
        <f>HYPERLINK("http://www.worldcat.org/oclc/22243876","WorldCat Record")</f>
        <v>WorldCat Record</v>
      </c>
      <c r="AW877" s="2" t="s">
        <v>10920</v>
      </c>
      <c r="AX877" s="2" t="s">
        <v>10921</v>
      </c>
      <c r="AY877" s="2" t="s">
        <v>10922</v>
      </c>
      <c r="AZ877" s="2" t="s">
        <v>10922</v>
      </c>
      <c r="BA877" s="2" t="s">
        <v>10923</v>
      </c>
      <c r="BB877" s="2" t="s">
        <v>20</v>
      </c>
      <c r="BD877" s="2" t="s">
        <v>10924</v>
      </c>
      <c r="BE877" s="2" t="s">
        <v>10925</v>
      </c>
      <c r="BF877" s="2" t="s">
        <v>10926</v>
      </c>
    </row>
    <row r="878" spans="1:58" ht="39.75" customHeight="1" x14ac:dyDescent="0.25">
      <c r="A878" s="7" t="s">
        <v>5</v>
      </c>
      <c r="B878" s="1" t="s">
        <v>0</v>
      </c>
      <c r="C878" s="1" t="s">
        <v>1</v>
      </c>
      <c r="D878" s="1" t="s">
        <v>10927</v>
      </c>
      <c r="E878" s="1" t="s">
        <v>10928</v>
      </c>
      <c r="F878" s="1" t="s">
        <v>10929</v>
      </c>
      <c r="H878" s="2" t="s">
        <v>5</v>
      </c>
      <c r="I878" s="2" t="s">
        <v>6</v>
      </c>
      <c r="J878" s="2" t="s">
        <v>5</v>
      </c>
      <c r="K878" s="2" t="s">
        <v>5</v>
      </c>
      <c r="L878" s="2" t="s">
        <v>7</v>
      </c>
      <c r="M878" s="1" t="s">
        <v>10930</v>
      </c>
      <c r="N878" s="1" t="s">
        <v>10931</v>
      </c>
      <c r="O878" s="2" t="s">
        <v>680</v>
      </c>
      <c r="Q878" s="2" t="s">
        <v>1151</v>
      </c>
      <c r="R878" s="2" t="s">
        <v>61</v>
      </c>
      <c r="T878" s="2" t="s">
        <v>13</v>
      </c>
      <c r="U878" s="3">
        <v>2</v>
      </c>
      <c r="V878" s="3">
        <v>2</v>
      </c>
      <c r="W878" s="4" t="s">
        <v>10932</v>
      </c>
      <c r="X878" s="4" t="s">
        <v>10932</v>
      </c>
      <c r="Y878" s="4" t="s">
        <v>8825</v>
      </c>
      <c r="Z878" s="4" t="s">
        <v>8825</v>
      </c>
      <c r="AA878" s="3">
        <v>296</v>
      </c>
      <c r="AB878" s="3">
        <v>283</v>
      </c>
      <c r="AC878" s="3">
        <v>909</v>
      </c>
      <c r="AD878" s="3">
        <v>5</v>
      </c>
      <c r="AE878" s="9">
        <v>8</v>
      </c>
      <c r="AF878" s="9">
        <v>13</v>
      </c>
      <c r="AG878" s="9">
        <v>43</v>
      </c>
      <c r="AH878" s="3">
        <v>2</v>
      </c>
      <c r="AI878" s="3">
        <v>15</v>
      </c>
      <c r="AJ878" s="3">
        <v>3</v>
      </c>
      <c r="AK878" s="3">
        <v>11</v>
      </c>
      <c r="AL878" s="3">
        <v>5</v>
      </c>
      <c r="AM878" s="3">
        <v>21</v>
      </c>
      <c r="AN878" s="3">
        <v>4</v>
      </c>
      <c r="AO878" s="3">
        <v>7</v>
      </c>
      <c r="AP878" s="3">
        <v>0</v>
      </c>
      <c r="AQ878" s="3">
        <v>0</v>
      </c>
      <c r="AR878" s="2" t="s">
        <v>5</v>
      </c>
      <c r="AS878" s="2" t="s">
        <v>46</v>
      </c>
      <c r="AT878" s="5" t="str">
        <f>HYPERLINK("http://catalog.hathitrust.org/Record/001016104","HathiTrust Record")</f>
        <v>HathiTrust Record</v>
      </c>
      <c r="AU878" s="5" t="str">
        <f>HYPERLINK("https://creighton-primo.hosted.exlibrisgroup.com/primo-explore/search?tab=default_tab&amp;search_scope=EVERYTHING&amp;vid=01CRU&amp;lang=en_US&amp;offset=0&amp;query=any,contains,991001370019702656","Catalog Record")</f>
        <v>Catalog Record</v>
      </c>
      <c r="AV878" s="5" t="str">
        <f>HYPERLINK("http://www.worldcat.org/oclc/223295","WorldCat Record")</f>
        <v>WorldCat Record</v>
      </c>
      <c r="AW878" s="2" t="s">
        <v>10933</v>
      </c>
      <c r="AX878" s="2" t="s">
        <v>10934</v>
      </c>
      <c r="AY878" s="2" t="s">
        <v>10935</v>
      </c>
      <c r="AZ878" s="2" t="s">
        <v>10935</v>
      </c>
      <c r="BA878" s="2" t="s">
        <v>10936</v>
      </c>
      <c r="BB878" s="2" t="s">
        <v>20</v>
      </c>
      <c r="BE878" s="2" t="s">
        <v>10937</v>
      </c>
      <c r="BF878" s="2" t="s">
        <v>10938</v>
      </c>
    </row>
    <row r="879" spans="1:58" ht="39.75" customHeight="1" x14ac:dyDescent="0.25">
      <c r="A879" s="7" t="s">
        <v>5</v>
      </c>
      <c r="B879" s="1" t="s">
        <v>0</v>
      </c>
      <c r="C879" s="1" t="s">
        <v>1</v>
      </c>
      <c r="D879" s="1" t="s">
        <v>10939</v>
      </c>
      <c r="E879" s="1" t="s">
        <v>10940</v>
      </c>
      <c r="F879" s="1" t="s">
        <v>10941</v>
      </c>
      <c r="H879" s="2" t="s">
        <v>5</v>
      </c>
      <c r="I879" s="2" t="s">
        <v>6</v>
      </c>
      <c r="J879" s="2" t="s">
        <v>5</v>
      </c>
      <c r="K879" s="2" t="s">
        <v>5</v>
      </c>
      <c r="L879" s="2" t="s">
        <v>7</v>
      </c>
      <c r="M879" s="1" t="s">
        <v>10930</v>
      </c>
      <c r="N879" s="1" t="s">
        <v>10942</v>
      </c>
      <c r="O879" s="2" t="s">
        <v>480</v>
      </c>
      <c r="Q879" s="2" t="s">
        <v>1151</v>
      </c>
      <c r="R879" s="2" t="s">
        <v>5403</v>
      </c>
      <c r="S879" s="1" t="s">
        <v>10943</v>
      </c>
      <c r="T879" s="2" t="s">
        <v>13</v>
      </c>
      <c r="U879" s="3">
        <v>2</v>
      </c>
      <c r="V879" s="3">
        <v>2</v>
      </c>
      <c r="W879" s="4" t="s">
        <v>10628</v>
      </c>
      <c r="X879" s="4" t="s">
        <v>10628</v>
      </c>
      <c r="Y879" s="4" t="s">
        <v>8825</v>
      </c>
      <c r="Z879" s="4" t="s">
        <v>8825</v>
      </c>
      <c r="AA879" s="3">
        <v>183</v>
      </c>
      <c r="AB879" s="3">
        <v>153</v>
      </c>
      <c r="AC879" s="3">
        <v>197</v>
      </c>
      <c r="AD879" s="3">
        <v>1</v>
      </c>
      <c r="AE879" s="9">
        <v>2</v>
      </c>
      <c r="AF879" s="9">
        <v>5</v>
      </c>
      <c r="AG879" s="9">
        <v>8</v>
      </c>
      <c r="AH879" s="3">
        <v>1</v>
      </c>
      <c r="AI879" s="3">
        <v>2</v>
      </c>
      <c r="AJ879" s="3">
        <v>3</v>
      </c>
      <c r="AK879" s="3">
        <v>3</v>
      </c>
      <c r="AL879" s="3">
        <v>4</v>
      </c>
      <c r="AM879" s="3">
        <v>5</v>
      </c>
      <c r="AN879" s="3">
        <v>0</v>
      </c>
      <c r="AO879" s="3">
        <v>1</v>
      </c>
      <c r="AP879" s="3">
        <v>0</v>
      </c>
      <c r="AQ879" s="3">
        <v>0</v>
      </c>
      <c r="AR879" s="2" t="s">
        <v>5</v>
      </c>
      <c r="AS879" s="2" t="s">
        <v>46</v>
      </c>
      <c r="AT879" s="5" t="str">
        <f>HYPERLINK("http://catalog.hathitrust.org/Record/001051211","HathiTrust Record")</f>
        <v>HathiTrust Record</v>
      </c>
      <c r="AU879" s="5" t="str">
        <f>HYPERLINK("https://creighton-primo.hosted.exlibrisgroup.com/primo-explore/search?tab=default_tab&amp;search_scope=EVERYTHING&amp;vid=01CRU&amp;lang=en_US&amp;offset=0&amp;query=any,contains,991002283539702656","Catalog Record")</f>
        <v>Catalog Record</v>
      </c>
      <c r="AV879" s="5" t="str">
        <f>HYPERLINK("http://www.worldcat.org/oclc/311059","WorldCat Record")</f>
        <v>WorldCat Record</v>
      </c>
      <c r="AW879" s="2" t="s">
        <v>10944</v>
      </c>
      <c r="AX879" s="2" t="s">
        <v>10945</v>
      </c>
      <c r="AY879" s="2" t="s">
        <v>10946</v>
      </c>
      <c r="AZ879" s="2" t="s">
        <v>10946</v>
      </c>
      <c r="BA879" s="2" t="s">
        <v>10947</v>
      </c>
      <c r="BB879" s="2" t="s">
        <v>20</v>
      </c>
      <c r="BE879" s="2" t="s">
        <v>10948</v>
      </c>
      <c r="BF879" s="2" t="s">
        <v>10949</v>
      </c>
    </row>
    <row r="880" spans="1:58" ht="39.75" customHeight="1" x14ac:dyDescent="0.25">
      <c r="A880" s="7" t="s">
        <v>5</v>
      </c>
      <c r="B880" s="1" t="s">
        <v>0</v>
      </c>
      <c r="C880" s="1" t="s">
        <v>1</v>
      </c>
      <c r="D880" s="1" t="s">
        <v>10950</v>
      </c>
      <c r="E880" s="1" t="s">
        <v>10951</v>
      </c>
      <c r="F880" s="1" t="s">
        <v>10952</v>
      </c>
      <c r="H880" s="2" t="s">
        <v>5</v>
      </c>
      <c r="I880" s="2" t="s">
        <v>6</v>
      </c>
      <c r="J880" s="2" t="s">
        <v>5</v>
      </c>
      <c r="K880" s="2" t="s">
        <v>5</v>
      </c>
      <c r="L880" s="2" t="s">
        <v>7</v>
      </c>
      <c r="M880" s="1" t="s">
        <v>10930</v>
      </c>
      <c r="N880" s="1" t="s">
        <v>10953</v>
      </c>
      <c r="O880" s="2" t="s">
        <v>406</v>
      </c>
      <c r="Q880" s="2" t="s">
        <v>1151</v>
      </c>
      <c r="R880" s="2" t="s">
        <v>5403</v>
      </c>
      <c r="S880" s="1" t="s">
        <v>10954</v>
      </c>
      <c r="T880" s="2" t="s">
        <v>13</v>
      </c>
      <c r="U880" s="3">
        <v>2</v>
      </c>
      <c r="V880" s="3">
        <v>2</v>
      </c>
      <c r="W880" s="4" t="s">
        <v>10628</v>
      </c>
      <c r="X880" s="4" t="s">
        <v>10628</v>
      </c>
      <c r="Y880" s="4" t="s">
        <v>8825</v>
      </c>
      <c r="Z880" s="4" t="s">
        <v>8825</v>
      </c>
      <c r="AA880" s="3">
        <v>291</v>
      </c>
      <c r="AB880" s="3">
        <v>252</v>
      </c>
      <c r="AC880" s="3">
        <v>358</v>
      </c>
      <c r="AD880" s="3">
        <v>3</v>
      </c>
      <c r="AE880" s="9">
        <v>3</v>
      </c>
      <c r="AF880" s="9">
        <v>10</v>
      </c>
      <c r="AG880" s="9">
        <v>16</v>
      </c>
      <c r="AH880" s="3">
        <v>1</v>
      </c>
      <c r="AI880" s="3">
        <v>3</v>
      </c>
      <c r="AJ880" s="3">
        <v>3</v>
      </c>
      <c r="AK880" s="3">
        <v>3</v>
      </c>
      <c r="AL880" s="3">
        <v>6</v>
      </c>
      <c r="AM880" s="3">
        <v>11</v>
      </c>
      <c r="AN880" s="3">
        <v>2</v>
      </c>
      <c r="AO880" s="3">
        <v>2</v>
      </c>
      <c r="AP880" s="3">
        <v>0</v>
      </c>
      <c r="AQ880" s="3">
        <v>0</v>
      </c>
      <c r="AR880" s="2" t="s">
        <v>5</v>
      </c>
      <c r="AS880" s="2" t="s">
        <v>46</v>
      </c>
      <c r="AT880" s="5" t="str">
        <f>HYPERLINK("http://catalog.hathitrust.org/Record/007126740","HathiTrust Record")</f>
        <v>HathiTrust Record</v>
      </c>
      <c r="AU880" s="5" t="str">
        <f>HYPERLINK("https://creighton-primo.hosted.exlibrisgroup.com/primo-explore/search?tab=default_tab&amp;search_scope=EVERYTHING&amp;vid=01CRU&amp;lang=en_US&amp;offset=0&amp;query=any,contains,991002435319702656","Catalog Record")</f>
        <v>Catalog Record</v>
      </c>
      <c r="AV880" s="5" t="str">
        <f>HYPERLINK("http://www.worldcat.org/oclc/348707","WorldCat Record")</f>
        <v>WorldCat Record</v>
      </c>
      <c r="AW880" s="2" t="s">
        <v>10955</v>
      </c>
      <c r="AX880" s="2" t="s">
        <v>10956</v>
      </c>
      <c r="AY880" s="2" t="s">
        <v>10957</v>
      </c>
      <c r="AZ880" s="2" t="s">
        <v>10957</v>
      </c>
      <c r="BA880" s="2" t="s">
        <v>10958</v>
      </c>
      <c r="BB880" s="2" t="s">
        <v>20</v>
      </c>
      <c r="BE880" s="2" t="s">
        <v>10959</v>
      </c>
      <c r="BF880" s="2" t="s">
        <v>10960</v>
      </c>
    </row>
    <row r="881" spans="1:58" ht="39.75" customHeight="1" x14ac:dyDescent="0.25">
      <c r="A881" s="7" t="s">
        <v>5</v>
      </c>
      <c r="B881" s="1" t="s">
        <v>0</v>
      </c>
      <c r="C881" s="1" t="s">
        <v>1</v>
      </c>
      <c r="D881" s="1" t="s">
        <v>10961</v>
      </c>
      <c r="E881" s="1" t="s">
        <v>10962</v>
      </c>
      <c r="F881" s="1" t="s">
        <v>10963</v>
      </c>
      <c r="H881" s="2" t="s">
        <v>5</v>
      </c>
      <c r="I881" s="2" t="s">
        <v>6</v>
      </c>
      <c r="J881" s="2" t="s">
        <v>5</v>
      </c>
      <c r="K881" s="2" t="s">
        <v>5</v>
      </c>
      <c r="L881" s="2" t="s">
        <v>7</v>
      </c>
      <c r="M881" s="1" t="s">
        <v>10964</v>
      </c>
      <c r="N881" s="1" t="s">
        <v>10965</v>
      </c>
      <c r="O881" s="2" t="s">
        <v>1515</v>
      </c>
      <c r="P881" s="1" t="s">
        <v>10966</v>
      </c>
      <c r="Q881" s="2" t="s">
        <v>1151</v>
      </c>
      <c r="R881" s="2" t="s">
        <v>5403</v>
      </c>
      <c r="S881" s="1" t="s">
        <v>10967</v>
      </c>
      <c r="T881" s="2" t="s">
        <v>13</v>
      </c>
      <c r="U881" s="3">
        <v>6</v>
      </c>
      <c r="V881" s="3">
        <v>6</v>
      </c>
      <c r="W881" s="4" t="s">
        <v>10968</v>
      </c>
      <c r="X881" s="4" t="s">
        <v>10968</v>
      </c>
      <c r="Y881" s="4" t="s">
        <v>9376</v>
      </c>
      <c r="Z881" s="4" t="s">
        <v>9376</v>
      </c>
      <c r="AA881" s="3">
        <v>6</v>
      </c>
      <c r="AB881" s="3">
        <v>5</v>
      </c>
      <c r="AC881" s="3">
        <v>792</v>
      </c>
      <c r="AD881" s="3">
        <v>1</v>
      </c>
      <c r="AE881" s="9">
        <v>5</v>
      </c>
      <c r="AF881" s="9">
        <v>0</v>
      </c>
      <c r="AG881" s="9">
        <v>32</v>
      </c>
      <c r="AH881" s="3">
        <v>0</v>
      </c>
      <c r="AI881" s="3">
        <v>14</v>
      </c>
      <c r="AJ881" s="3">
        <v>0</v>
      </c>
      <c r="AK881" s="3">
        <v>5</v>
      </c>
      <c r="AL881" s="3">
        <v>0</v>
      </c>
      <c r="AM881" s="3">
        <v>16</v>
      </c>
      <c r="AN881" s="3">
        <v>0</v>
      </c>
      <c r="AO881" s="3">
        <v>4</v>
      </c>
      <c r="AP881" s="3">
        <v>0</v>
      </c>
      <c r="AQ881" s="3">
        <v>0</v>
      </c>
      <c r="AR881" s="2" t="s">
        <v>5</v>
      </c>
      <c r="AS881" s="2" t="s">
        <v>5</v>
      </c>
      <c r="AU881" s="5" t="str">
        <f>HYPERLINK("https://creighton-primo.hosted.exlibrisgroup.com/primo-explore/search?tab=default_tab&amp;search_scope=EVERYTHING&amp;vid=01CRU&amp;lang=en_US&amp;offset=0&amp;query=any,contains,991000134119702656","Catalog Record")</f>
        <v>Catalog Record</v>
      </c>
      <c r="AV881" s="5" t="str">
        <f>HYPERLINK("http://www.worldcat.org/oclc/9127244","WorldCat Record")</f>
        <v>WorldCat Record</v>
      </c>
      <c r="AW881" s="2" t="s">
        <v>10969</v>
      </c>
      <c r="AX881" s="2" t="s">
        <v>10970</v>
      </c>
      <c r="AY881" s="2" t="s">
        <v>10971</v>
      </c>
      <c r="AZ881" s="2" t="s">
        <v>10971</v>
      </c>
      <c r="BA881" s="2" t="s">
        <v>10972</v>
      </c>
      <c r="BB881" s="2" t="s">
        <v>20</v>
      </c>
      <c r="BE881" s="2" t="s">
        <v>10973</v>
      </c>
      <c r="BF881" s="2" t="s">
        <v>10974</v>
      </c>
    </row>
    <row r="882" spans="1:58" ht="39.75" customHeight="1" x14ac:dyDescent="0.25">
      <c r="A882" s="7" t="s">
        <v>5</v>
      </c>
      <c r="B882" s="1" t="s">
        <v>0</v>
      </c>
      <c r="C882" s="1" t="s">
        <v>1</v>
      </c>
      <c r="D882" s="1" t="s">
        <v>10975</v>
      </c>
      <c r="E882" s="1" t="s">
        <v>10976</v>
      </c>
      <c r="F882" s="1" t="s">
        <v>10977</v>
      </c>
      <c r="H882" s="2" t="s">
        <v>5</v>
      </c>
      <c r="I882" s="2" t="s">
        <v>6</v>
      </c>
      <c r="J882" s="2" t="s">
        <v>5</v>
      </c>
      <c r="K882" s="2" t="s">
        <v>46</v>
      </c>
      <c r="L882" s="2" t="s">
        <v>7</v>
      </c>
      <c r="M882" s="1" t="s">
        <v>10978</v>
      </c>
      <c r="N882" s="1" t="s">
        <v>10979</v>
      </c>
      <c r="O882" s="2" t="s">
        <v>569</v>
      </c>
      <c r="Q882" s="2" t="s">
        <v>1151</v>
      </c>
      <c r="R882" s="2" t="s">
        <v>5403</v>
      </c>
      <c r="T882" s="2" t="s">
        <v>13</v>
      </c>
      <c r="U882" s="3">
        <v>1</v>
      </c>
      <c r="V882" s="3">
        <v>1</v>
      </c>
      <c r="W882" s="4" t="s">
        <v>10846</v>
      </c>
      <c r="X882" s="4" t="s">
        <v>10846</v>
      </c>
      <c r="Y882" s="4" t="s">
        <v>10846</v>
      </c>
      <c r="Z882" s="4" t="s">
        <v>10846</v>
      </c>
      <c r="AA882" s="3">
        <v>19</v>
      </c>
      <c r="AB882" s="3">
        <v>14</v>
      </c>
      <c r="AC882" s="3">
        <v>450</v>
      </c>
      <c r="AD882" s="3">
        <v>1</v>
      </c>
      <c r="AE882" s="9">
        <v>3</v>
      </c>
      <c r="AF882" s="9">
        <v>0</v>
      </c>
      <c r="AG882" s="9">
        <v>15</v>
      </c>
      <c r="AH882" s="3">
        <v>0</v>
      </c>
      <c r="AI882" s="3">
        <v>5</v>
      </c>
      <c r="AJ882" s="3">
        <v>0</v>
      </c>
      <c r="AK882" s="3">
        <v>4</v>
      </c>
      <c r="AL882" s="3">
        <v>0</v>
      </c>
      <c r="AM882" s="3">
        <v>8</v>
      </c>
      <c r="AN882" s="3">
        <v>0</v>
      </c>
      <c r="AO882" s="3">
        <v>2</v>
      </c>
      <c r="AP882" s="3">
        <v>0</v>
      </c>
      <c r="AQ882" s="3">
        <v>0</v>
      </c>
      <c r="AR882" s="2" t="s">
        <v>5</v>
      </c>
      <c r="AS882" s="2" t="s">
        <v>46</v>
      </c>
      <c r="AT882" s="5" t="str">
        <f>HYPERLINK("http://catalog.hathitrust.org/Record/101097830","HathiTrust Record")</f>
        <v>HathiTrust Record</v>
      </c>
      <c r="AU882" s="5" t="str">
        <f>HYPERLINK("https://creighton-primo.hosted.exlibrisgroup.com/primo-explore/search?tab=default_tab&amp;search_scope=EVERYTHING&amp;vid=01CRU&amp;lang=en_US&amp;offset=0&amp;query=any,contains,991003924909702656","Catalog Record")</f>
        <v>Catalog Record</v>
      </c>
      <c r="AV882" s="5" t="str">
        <f>HYPERLINK("http://www.worldcat.org/oclc/49608159","WorldCat Record")</f>
        <v>WorldCat Record</v>
      </c>
      <c r="AW882" s="2" t="s">
        <v>10980</v>
      </c>
      <c r="AX882" s="2" t="s">
        <v>10981</v>
      </c>
      <c r="AY882" s="2" t="s">
        <v>10982</v>
      </c>
      <c r="AZ882" s="2" t="s">
        <v>10982</v>
      </c>
      <c r="BA882" s="2" t="s">
        <v>10983</v>
      </c>
      <c r="BB882" s="2" t="s">
        <v>20</v>
      </c>
      <c r="BD882" s="2" t="s">
        <v>10984</v>
      </c>
      <c r="BE882" s="2" t="s">
        <v>10985</v>
      </c>
      <c r="BF882" s="2" t="s">
        <v>10986</v>
      </c>
    </row>
    <row r="883" spans="1:58" ht="39.75" customHeight="1" x14ac:dyDescent="0.25">
      <c r="A883" s="7" t="s">
        <v>5</v>
      </c>
      <c r="B883" s="1" t="s">
        <v>0</v>
      </c>
      <c r="C883" s="1" t="s">
        <v>1</v>
      </c>
      <c r="D883" s="1" t="s">
        <v>10987</v>
      </c>
      <c r="E883" s="1" t="s">
        <v>10988</v>
      </c>
      <c r="F883" s="1" t="s">
        <v>10989</v>
      </c>
      <c r="H883" s="2" t="s">
        <v>5</v>
      </c>
      <c r="I883" s="2" t="s">
        <v>6</v>
      </c>
      <c r="J883" s="2" t="s">
        <v>5</v>
      </c>
      <c r="K883" s="2" t="s">
        <v>5</v>
      </c>
      <c r="L883" s="2" t="s">
        <v>7</v>
      </c>
      <c r="M883" s="1" t="s">
        <v>10990</v>
      </c>
      <c r="N883" s="1" t="s">
        <v>10991</v>
      </c>
      <c r="O883" s="2" t="s">
        <v>307</v>
      </c>
      <c r="P883" s="1" t="s">
        <v>5291</v>
      </c>
      <c r="Q883" s="2" t="s">
        <v>1151</v>
      </c>
      <c r="R883" s="2" t="s">
        <v>5403</v>
      </c>
      <c r="S883" s="1" t="s">
        <v>10992</v>
      </c>
      <c r="T883" s="2" t="s">
        <v>13</v>
      </c>
      <c r="U883" s="3">
        <v>2</v>
      </c>
      <c r="V883" s="3">
        <v>2</v>
      </c>
      <c r="W883" s="4" t="s">
        <v>10993</v>
      </c>
      <c r="X883" s="4" t="s">
        <v>10993</v>
      </c>
      <c r="Y883" s="4" t="s">
        <v>8825</v>
      </c>
      <c r="Z883" s="4" t="s">
        <v>8825</v>
      </c>
      <c r="AA883" s="3">
        <v>439</v>
      </c>
      <c r="AB883" s="3">
        <v>378</v>
      </c>
      <c r="AC883" s="3">
        <v>422</v>
      </c>
      <c r="AD883" s="3">
        <v>3</v>
      </c>
      <c r="AE883" s="9">
        <v>3</v>
      </c>
      <c r="AF883" s="9">
        <v>21</v>
      </c>
      <c r="AG883" s="9">
        <v>22</v>
      </c>
      <c r="AH883" s="3">
        <v>5</v>
      </c>
      <c r="AI883" s="3">
        <v>6</v>
      </c>
      <c r="AJ883" s="3">
        <v>7</v>
      </c>
      <c r="AK883" s="3">
        <v>7</v>
      </c>
      <c r="AL883" s="3">
        <v>11</v>
      </c>
      <c r="AM883" s="3">
        <v>11</v>
      </c>
      <c r="AN883" s="3">
        <v>2</v>
      </c>
      <c r="AO883" s="3">
        <v>2</v>
      </c>
      <c r="AP883" s="3">
        <v>0</v>
      </c>
      <c r="AQ883" s="3">
        <v>0</v>
      </c>
      <c r="AR883" s="2" t="s">
        <v>5</v>
      </c>
      <c r="AS883" s="2" t="s">
        <v>46</v>
      </c>
      <c r="AT883" s="5" t="str">
        <f>HYPERLINK("http://catalog.hathitrust.org/Record/001051825","HathiTrust Record")</f>
        <v>HathiTrust Record</v>
      </c>
      <c r="AU883" s="5" t="str">
        <f>HYPERLINK("https://creighton-primo.hosted.exlibrisgroup.com/primo-explore/search?tab=default_tab&amp;search_scope=EVERYTHING&amp;vid=01CRU&amp;lang=en_US&amp;offset=0&amp;query=any,contains,991002460439702656","Catalog Record")</f>
        <v>Catalog Record</v>
      </c>
      <c r="AV883" s="5" t="str">
        <f>HYPERLINK("http://www.worldcat.org/oclc/355814","WorldCat Record")</f>
        <v>WorldCat Record</v>
      </c>
      <c r="AW883" s="2" t="s">
        <v>10994</v>
      </c>
      <c r="AX883" s="2" t="s">
        <v>10995</v>
      </c>
      <c r="AY883" s="2" t="s">
        <v>10996</v>
      </c>
      <c r="AZ883" s="2" t="s">
        <v>10996</v>
      </c>
      <c r="BA883" s="2" t="s">
        <v>10997</v>
      </c>
      <c r="BB883" s="2" t="s">
        <v>20</v>
      </c>
      <c r="BE883" s="2" t="s">
        <v>10998</v>
      </c>
      <c r="BF883" s="2" t="s">
        <v>10999</v>
      </c>
    </row>
    <row r="884" spans="1:58" ht="39.75" customHeight="1" x14ac:dyDescent="0.25">
      <c r="A884" s="7" t="s">
        <v>5</v>
      </c>
      <c r="B884" s="1" t="s">
        <v>0</v>
      </c>
      <c r="C884" s="1" t="s">
        <v>1</v>
      </c>
      <c r="D884" s="1" t="s">
        <v>11000</v>
      </c>
      <c r="E884" s="1" t="s">
        <v>11001</v>
      </c>
      <c r="F884" s="1" t="s">
        <v>11002</v>
      </c>
      <c r="H884" s="2" t="s">
        <v>5</v>
      </c>
      <c r="I884" s="2" t="s">
        <v>6</v>
      </c>
      <c r="J884" s="2" t="s">
        <v>5</v>
      </c>
      <c r="K884" s="2" t="s">
        <v>5</v>
      </c>
      <c r="L884" s="2" t="s">
        <v>7</v>
      </c>
      <c r="M884" s="1" t="s">
        <v>10990</v>
      </c>
      <c r="N884" s="1" t="s">
        <v>11003</v>
      </c>
      <c r="O884" s="2" t="s">
        <v>639</v>
      </c>
      <c r="Q884" s="2" t="s">
        <v>1151</v>
      </c>
      <c r="R884" s="2" t="s">
        <v>9502</v>
      </c>
      <c r="T884" s="2" t="s">
        <v>13</v>
      </c>
      <c r="U884" s="3">
        <v>1</v>
      </c>
      <c r="V884" s="3">
        <v>1</v>
      </c>
      <c r="W884" s="4" t="s">
        <v>6701</v>
      </c>
      <c r="X884" s="4" t="s">
        <v>6701</v>
      </c>
      <c r="Y884" s="4" t="s">
        <v>10209</v>
      </c>
      <c r="Z884" s="4" t="s">
        <v>10209</v>
      </c>
      <c r="AA884" s="3">
        <v>7</v>
      </c>
      <c r="AB884" s="3">
        <v>5</v>
      </c>
      <c r="AC884" s="3">
        <v>5</v>
      </c>
      <c r="AD884" s="3">
        <v>1</v>
      </c>
      <c r="AE884" s="9">
        <v>1</v>
      </c>
      <c r="AF884" s="9">
        <v>0</v>
      </c>
      <c r="AG884" s="9">
        <v>0</v>
      </c>
      <c r="AH884" s="3">
        <v>0</v>
      </c>
      <c r="AI884" s="3">
        <v>0</v>
      </c>
      <c r="AJ884" s="3">
        <v>0</v>
      </c>
      <c r="AK884" s="3">
        <v>0</v>
      </c>
      <c r="AL884" s="3">
        <v>0</v>
      </c>
      <c r="AM884" s="3">
        <v>0</v>
      </c>
      <c r="AN884" s="3">
        <v>0</v>
      </c>
      <c r="AO884" s="3">
        <v>0</v>
      </c>
      <c r="AP884" s="3">
        <v>0</v>
      </c>
      <c r="AQ884" s="3">
        <v>0</v>
      </c>
      <c r="AR884" s="2" t="s">
        <v>5</v>
      </c>
      <c r="AS884" s="2" t="s">
        <v>5</v>
      </c>
      <c r="AU884" s="5" t="str">
        <f>HYPERLINK("https://creighton-primo.hosted.exlibrisgroup.com/primo-explore/search?tab=default_tab&amp;search_scope=EVERYTHING&amp;vid=01CRU&amp;lang=en_US&amp;offset=0&amp;query=any,contains,991003757549702656","Catalog Record")</f>
        <v>Catalog Record</v>
      </c>
      <c r="AV884" s="5" t="str">
        <f>HYPERLINK("http://www.worldcat.org/oclc/23747995","WorldCat Record")</f>
        <v>WorldCat Record</v>
      </c>
      <c r="AW884" s="2" t="s">
        <v>11004</v>
      </c>
      <c r="AX884" s="2" t="s">
        <v>11005</v>
      </c>
      <c r="AY884" s="2" t="s">
        <v>11006</v>
      </c>
      <c r="AZ884" s="2" t="s">
        <v>11006</v>
      </c>
      <c r="BA884" s="2" t="s">
        <v>11007</v>
      </c>
      <c r="BB884" s="2" t="s">
        <v>20</v>
      </c>
      <c r="BE884" s="2" t="s">
        <v>11008</v>
      </c>
      <c r="BF884" s="2" t="s">
        <v>11009</v>
      </c>
    </row>
    <row r="885" spans="1:58" ht="39.75" customHeight="1" x14ac:dyDescent="0.25">
      <c r="A885" s="7" t="s">
        <v>5</v>
      </c>
      <c r="B885" s="1" t="s">
        <v>0</v>
      </c>
      <c r="C885" s="1" t="s">
        <v>1</v>
      </c>
      <c r="D885" s="1" t="s">
        <v>11010</v>
      </c>
      <c r="E885" s="1" t="s">
        <v>11011</v>
      </c>
      <c r="F885" s="1" t="s">
        <v>11012</v>
      </c>
      <c r="H885" s="2" t="s">
        <v>5</v>
      </c>
      <c r="I885" s="2" t="s">
        <v>6</v>
      </c>
      <c r="J885" s="2" t="s">
        <v>5</v>
      </c>
      <c r="K885" s="2" t="s">
        <v>5</v>
      </c>
      <c r="L885" s="2" t="s">
        <v>7</v>
      </c>
      <c r="M885" s="1" t="s">
        <v>11013</v>
      </c>
      <c r="N885" s="1" t="s">
        <v>11014</v>
      </c>
      <c r="O885" s="2" t="s">
        <v>452</v>
      </c>
      <c r="P885" s="1" t="s">
        <v>2908</v>
      </c>
      <c r="Q885" s="2" t="s">
        <v>1151</v>
      </c>
      <c r="R885" s="2" t="s">
        <v>5403</v>
      </c>
      <c r="T885" s="2" t="s">
        <v>13</v>
      </c>
      <c r="U885" s="3">
        <v>1</v>
      </c>
      <c r="V885" s="3">
        <v>1</v>
      </c>
      <c r="W885" s="4" t="s">
        <v>5941</v>
      </c>
      <c r="X885" s="4" t="s">
        <v>5941</v>
      </c>
      <c r="Y885" s="4" t="s">
        <v>5450</v>
      </c>
      <c r="Z885" s="4" t="s">
        <v>5450</v>
      </c>
      <c r="AA885" s="3">
        <v>114</v>
      </c>
      <c r="AB885" s="3">
        <v>91</v>
      </c>
      <c r="AC885" s="3">
        <v>108</v>
      </c>
      <c r="AD885" s="3">
        <v>2</v>
      </c>
      <c r="AE885" s="9">
        <v>2</v>
      </c>
      <c r="AF885" s="9">
        <v>2</v>
      </c>
      <c r="AG885" s="9">
        <v>3</v>
      </c>
      <c r="AH885" s="3">
        <v>0</v>
      </c>
      <c r="AI885" s="3">
        <v>1</v>
      </c>
      <c r="AJ885" s="3">
        <v>1</v>
      </c>
      <c r="AK885" s="3">
        <v>1</v>
      </c>
      <c r="AL885" s="3">
        <v>1</v>
      </c>
      <c r="AM885" s="3">
        <v>2</v>
      </c>
      <c r="AN885" s="3">
        <v>1</v>
      </c>
      <c r="AO885" s="3">
        <v>1</v>
      </c>
      <c r="AP885" s="3">
        <v>0</v>
      </c>
      <c r="AQ885" s="3">
        <v>0</v>
      </c>
      <c r="AR885" s="2" t="s">
        <v>5</v>
      </c>
      <c r="AS885" s="2" t="s">
        <v>46</v>
      </c>
      <c r="AT885" s="5" t="str">
        <f>HYPERLINK("http://catalog.hathitrust.org/Record/003135522","HathiTrust Record")</f>
        <v>HathiTrust Record</v>
      </c>
      <c r="AU885" s="5" t="str">
        <f>HYPERLINK("https://creighton-primo.hosted.exlibrisgroup.com/primo-explore/search?tab=default_tab&amp;search_scope=EVERYTHING&amp;vid=01CRU&amp;lang=en_US&amp;offset=0&amp;query=any,contains,991003772219702656","Catalog Record")</f>
        <v>Catalog Record</v>
      </c>
      <c r="AV885" s="5" t="str">
        <f>HYPERLINK("http://www.worldcat.org/oclc/34927440","WorldCat Record")</f>
        <v>WorldCat Record</v>
      </c>
      <c r="AW885" s="2" t="s">
        <v>11015</v>
      </c>
      <c r="AX885" s="2" t="s">
        <v>11016</v>
      </c>
      <c r="AY885" s="2" t="s">
        <v>11017</v>
      </c>
      <c r="AZ885" s="2" t="s">
        <v>11017</v>
      </c>
      <c r="BA885" s="2" t="s">
        <v>11018</v>
      </c>
      <c r="BB885" s="2" t="s">
        <v>20</v>
      </c>
      <c r="BD885" s="2" t="s">
        <v>11019</v>
      </c>
      <c r="BE885" s="2" t="s">
        <v>11020</v>
      </c>
      <c r="BF885" s="2" t="s">
        <v>11021</v>
      </c>
    </row>
    <row r="886" spans="1:58" ht="39.75" customHeight="1" x14ac:dyDescent="0.25">
      <c r="A886" s="7" t="s">
        <v>5</v>
      </c>
      <c r="B886" s="1" t="s">
        <v>0</v>
      </c>
      <c r="C886" s="1" t="s">
        <v>1</v>
      </c>
      <c r="D886" s="1" t="s">
        <v>11022</v>
      </c>
      <c r="E886" s="1" t="s">
        <v>11023</v>
      </c>
      <c r="F886" s="1" t="s">
        <v>11024</v>
      </c>
      <c r="H886" s="2" t="s">
        <v>5</v>
      </c>
      <c r="I886" s="2" t="s">
        <v>6</v>
      </c>
      <c r="J886" s="2" t="s">
        <v>5</v>
      </c>
      <c r="K886" s="2" t="s">
        <v>5</v>
      </c>
      <c r="L886" s="2" t="s">
        <v>7</v>
      </c>
      <c r="N886" s="1" t="s">
        <v>11025</v>
      </c>
      <c r="O886" s="2" t="s">
        <v>6611</v>
      </c>
      <c r="P886" s="1" t="s">
        <v>2908</v>
      </c>
      <c r="Q886" s="2" t="s">
        <v>1151</v>
      </c>
      <c r="R886" s="2" t="s">
        <v>5403</v>
      </c>
      <c r="S886" s="1" t="s">
        <v>10680</v>
      </c>
      <c r="T886" s="2" t="s">
        <v>13</v>
      </c>
      <c r="U886" s="3">
        <v>1</v>
      </c>
      <c r="V886" s="3">
        <v>1</v>
      </c>
      <c r="W886" s="4" t="s">
        <v>5941</v>
      </c>
      <c r="X886" s="4" t="s">
        <v>5941</v>
      </c>
      <c r="Y886" s="4" t="s">
        <v>5450</v>
      </c>
      <c r="Z886" s="4" t="s">
        <v>5450</v>
      </c>
      <c r="AA886" s="3">
        <v>82</v>
      </c>
      <c r="AB886" s="3">
        <v>62</v>
      </c>
      <c r="AC886" s="3">
        <v>64</v>
      </c>
      <c r="AD886" s="3">
        <v>1</v>
      </c>
      <c r="AE886" s="9">
        <v>1</v>
      </c>
      <c r="AF886" s="9">
        <v>3</v>
      </c>
      <c r="AG886" s="9">
        <v>3</v>
      </c>
      <c r="AH886" s="3">
        <v>1</v>
      </c>
      <c r="AI886" s="3">
        <v>1</v>
      </c>
      <c r="AJ886" s="3">
        <v>0</v>
      </c>
      <c r="AK886" s="3">
        <v>0</v>
      </c>
      <c r="AL886" s="3">
        <v>3</v>
      </c>
      <c r="AM886" s="3">
        <v>3</v>
      </c>
      <c r="AN886" s="3">
        <v>0</v>
      </c>
      <c r="AO886" s="3">
        <v>0</v>
      </c>
      <c r="AP886" s="3">
        <v>0</v>
      </c>
      <c r="AQ886" s="3">
        <v>0</v>
      </c>
      <c r="AR886" s="2" t="s">
        <v>5</v>
      </c>
      <c r="AS886" s="2" t="s">
        <v>46</v>
      </c>
      <c r="AT886" s="5" t="str">
        <f>HYPERLINK("http://catalog.hathitrust.org/Record/003193887","HathiTrust Record")</f>
        <v>HathiTrust Record</v>
      </c>
      <c r="AU886" s="5" t="str">
        <f>HYPERLINK("https://creighton-primo.hosted.exlibrisgroup.com/primo-explore/search?tab=default_tab&amp;search_scope=EVERYTHING&amp;vid=01CRU&amp;lang=en_US&amp;offset=0&amp;query=any,contains,991003772709702656","Catalog Record")</f>
        <v>Catalog Record</v>
      </c>
      <c r="AV886" s="5" t="str">
        <f>HYPERLINK("http://www.worldcat.org/oclc/34290287","WorldCat Record")</f>
        <v>WorldCat Record</v>
      </c>
      <c r="AW886" s="2" t="s">
        <v>11026</v>
      </c>
      <c r="AX886" s="2" t="s">
        <v>11027</v>
      </c>
      <c r="AY886" s="2" t="s">
        <v>11028</v>
      </c>
      <c r="AZ886" s="2" t="s">
        <v>11028</v>
      </c>
      <c r="BA886" s="2" t="s">
        <v>11029</v>
      </c>
      <c r="BB886" s="2" t="s">
        <v>20</v>
      </c>
      <c r="BD886" s="2" t="s">
        <v>11030</v>
      </c>
      <c r="BE886" s="2" t="s">
        <v>11031</v>
      </c>
      <c r="BF886" s="2" t="s">
        <v>11032</v>
      </c>
    </row>
    <row r="887" spans="1:58" ht="39.75" customHeight="1" x14ac:dyDescent="0.25">
      <c r="A887" s="7" t="s">
        <v>5</v>
      </c>
      <c r="B887" s="1" t="s">
        <v>0</v>
      </c>
      <c r="C887" s="1" t="s">
        <v>1</v>
      </c>
      <c r="D887" s="1" t="s">
        <v>11033</v>
      </c>
      <c r="E887" s="1" t="s">
        <v>11034</v>
      </c>
      <c r="F887" s="1" t="s">
        <v>11035</v>
      </c>
      <c r="H887" s="2" t="s">
        <v>5</v>
      </c>
      <c r="I887" s="2" t="s">
        <v>6</v>
      </c>
      <c r="J887" s="2" t="s">
        <v>5</v>
      </c>
      <c r="K887" s="2" t="s">
        <v>5</v>
      </c>
      <c r="L887" s="2" t="s">
        <v>7</v>
      </c>
      <c r="M887" s="1" t="s">
        <v>11013</v>
      </c>
      <c r="N887" s="1" t="s">
        <v>11036</v>
      </c>
      <c r="O887" s="2" t="s">
        <v>91</v>
      </c>
      <c r="P887" s="1" t="s">
        <v>5359</v>
      </c>
      <c r="Q887" s="2" t="s">
        <v>1151</v>
      </c>
      <c r="R887" s="2" t="s">
        <v>4146</v>
      </c>
      <c r="S887" s="1" t="s">
        <v>11037</v>
      </c>
      <c r="T887" s="2" t="s">
        <v>13</v>
      </c>
      <c r="U887" s="3">
        <v>1</v>
      </c>
      <c r="V887" s="3">
        <v>1</v>
      </c>
      <c r="W887" s="4" t="s">
        <v>11038</v>
      </c>
      <c r="X887" s="4" t="s">
        <v>11038</v>
      </c>
      <c r="Y887" s="4" t="s">
        <v>11038</v>
      </c>
      <c r="Z887" s="4" t="s">
        <v>11038</v>
      </c>
      <c r="AA887" s="3">
        <v>55</v>
      </c>
      <c r="AB887" s="3">
        <v>49</v>
      </c>
      <c r="AC887" s="3">
        <v>54</v>
      </c>
      <c r="AD887" s="3">
        <v>1</v>
      </c>
      <c r="AE887" s="9">
        <v>1</v>
      </c>
      <c r="AF887" s="9">
        <v>1</v>
      </c>
      <c r="AG887" s="9">
        <v>1</v>
      </c>
      <c r="AH887" s="3">
        <v>1</v>
      </c>
      <c r="AI887" s="3">
        <v>1</v>
      </c>
      <c r="AJ887" s="3">
        <v>0</v>
      </c>
      <c r="AK887" s="3">
        <v>0</v>
      </c>
      <c r="AL887" s="3">
        <v>1</v>
      </c>
      <c r="AM887" s="3">
        <v>1</v>
      </c>
      <c r="AN887" s="3">
        <v>0</v>
      </c>
      <c r="AO887" s="3">
        <v>0</v>
      </c>
      <c r="AP887" s="3">
        <v>0</v>
      </c>
      <c r="AQ887" s="3">
        <v>0</v>
      </c>
      <c r="AR887" s="2" t="s">
        <v>5</v>
      </c>
      <c r="AS887" s="2" t="s">
        <v>5</v>
      </c>
      <c r="AU887" s="5" t="str">
        <f>HYPERLINK("https://creighton-primo.hosted.exlibrisgroup.com/primo-explore/search?tab=default_tab&amp;search_scope=EVERYTHING&amp;vid=01CRU&amp;lang=en_US&amp;offset=0&amp;query=any,contains,991004054069702656","Catalog Record")</f>
        <v>Catalog Record</v>
      </c>
      <c r="AV887" s="5" t="str">
        <f>HYPERLINK("http://www.worldcat.org/oclc/31018593","WorldCat Record")</f>
        <v>WorldCat Record</v>
      </c>
      <c r="AW887" s="2" t="s">
        <v>11039</v>
      </c>
      <c r="AX887" s="2" t="s">
        <v>11040</v>
      </c>
      <c r="AY887" s="2" t="s">
        <v>11041</v>
      </c>
      <c r="AZ887" s="2" t="s">
        <v>11041</v>
      </c>
      <c r="BA887" s="2" t="s">
        <v>11042</v>
      </c>
      <c r="BB887" s="2" t="s">
        <v>20</v>
      </c>
      <c r="BD887" s="2" t="s">
        <v>11043</v>
      </c>
      <c r="BE887" s="2" t="s">
        <v>11044</v>
      </c>
      <c r="BF887" s="2" t="s">
        <v>11045</v>
      </c>
    </row>
    <row r="888" spans="1:58" ht="39.75" customHeight="1" x14ac:dyDescent="0.25">
      <c r="A888" s="7" t="s">
        <v>5</v>
      </c>
      <c r="B888" s="1" t="s">
        <v>0</v>
      </c>
      <c r="C888" s="1" t="s">
        <v>1</v>
      </c>
      <c r="D888" s="1" t="s">
        <v>11046</v>
      </c>
      <c r="E888" s="1" t="s">
        <v>11047</v>
      </c>
      <c r="F888" s="1" t="s">
        <v>11048</v>
      </c>
      <c r="H888" s="2" t="s">
        <v>5</v>
      </c>
      <c r="I888" s="2" t="s">
        <v>6</v>
      </c>
      <c r="J888" s="2" t="s">
        <v>5</v>
      </c>
      <c r="K888" s="2" t="s">
        <v>5</v>
      </c>
      <c r="L888" s="2" t="s">
        <v>7</v>
      </c>
      <c r="M888" s="1" t="s">
        <v>11049</v>
      </c>
      <c r="N888" s="1" t="s">
        <v>11050</v>
      </c>
      <c r="O888" s="2" t="s">
        <v>554</v>
      </c>
      <c r="P888" s="1" t="s">
        <v>5911</v>
      </c>
      <c r="Q888" s="2" t="s">
        <v>1151</v>
      </c>
      <c r="R888" s="2" t="s">
        <v>5403</v>
      </c>
      <c r="T888" s="2" t="s">
        <v>13</v>
      </c>
      <c r="U888" s="3">
        <v>1</v>
      </c>
      <c r="V888" s="3">
        <v>1</v>
      </c>
      <c r="W888" s="4" t="s">
        <v>5032</v>
      </c>
      <c r="X888" s="4" t="s">
        <v>5032</v>
      </c>
      <c r="Y888" s="4" t="s">
        <v>5032</v>
      </c>
      <c r="Z888" s="4" t="s">
        <v>5032</v>
      </c>
      <c r="AA888" s="3">
        <v>73</v>
      </c>
      <c r="AB888" s="3">
        <v>64</v>
      </c>
      <c r="AC888" s="3">
        <v>66</v>
      </c>
      <c r="AD888" s="3">
        <v>1</v>
      </c>
      <c r="AE888" s="9">
        <v>1</v>
      </c>
      <c r="AF888" s="9">
        <v>2</v>
      </c>
      <c r="AG888" s="9">
        <v>2</v>
      </c>
      <c r="AH888" s="3">
        <v>1</v>
      </c>
      <c r="AI888" s="3">
        <v>1</v>
      </c>
      <c r="AJ888" s="3">
        <v>1</v>
      </c>
      <c r="AK888" s="3">
        <v>1</v>
      </c>
      <c r="AL888" s="3">
        <v>2</v>
      </c>
      <c r="AM888" s="3">
        <v>2</v>
      </c>
      <c r="AN888" s="3">
        <v>0</v>
      </c>
      <c r="AO888" s="3">
        <v>0</v>
      </c>
      <c r="AP888" s="3">
        <v>0</v>
      </c>
      <c r="AQ888" s="3">
        <v>0</v>
      </c>
      <c r="AR888" s="2" t="s">
        <v>5</v>
      </c>
      <c r="AS888" s="2" t="s">
        <v>46</v>
      </c>
      <c r="AT888" s="5" t="str">
        <f>HYPERLINK("http://catalog.hathitrust.org/Record/101098244","HathiTrust Record")</f>
        <v>HathiTrust Record</v>
      </c>
      <c r="AU888" s="5" t="str">
        <f>HYPERLINK("https://creighton-primo.hosted.exlibrisgroup.com/primo-explore/search?tab=default_tab&amp;search_scope=EVERYTHING&amp;vid=01CRU&amp;lang=en_US&amp;offset=0&amp;query=any,contains,991004491039702656","Catalog Record")</f>
        <v>Catalog Record</v>
      </c>
      <c r="AV888" s="5" t="str">
        <f>HYPERLINK("http://www.worldcat.org/oclc/17296833","WorldCat Record")</f>
        <v>WorldCat Record</v>
      </c>
      <c r="AW888" s="2" t="s">
        <v>11051</v>
      </c>
      <c r="AX888" s="2" t="s">
        <v>11052</v>
      </c>
      <c r="AY888" s="2" t="s">
        <v>11053</v>
      </c>
      <c r="AZ888" s="2" t="s">
        <v>11053</v>
      </c>
      <c r="BA888" s="2" t="s">
        <v>11054</v>
      </c>
      <c r="BB888" s="2" t="s">
        <v>20</v>
      </c>
      <c r="BD888" s="2" t="s">
        <v>11055</v>
      </c>
      <c r="BE888" s="2" t="s">
        <v>11056</v>
      </c>
      <c r="BF888" s="2" t="s">
        <v>11057</v>
      </c>
    </row>
    <row r="889" spans="1:58" ht="39.75" customHeight="1" x14ac:dyDescent="0.25">
      <c r="A889" s="7" t="s">
        <v>5</v>
      </c>
      <c r="B889" s="1" t="s">
        <v>0</v>
      </c>
      <c r="C889" s="1" t="s">
        <v>1</v>
      </c>
      <c r="D889" s="1" t="s">
        <v>11058</v>
      </c>
      <c r="E889" s="1" t="s">
        <v>11059</v>
      </c>
      <c r="F889" s="1" t="s">
        <v>11060</v>
      </c>
      <c r="H889" s="2" t="s">
        <v>5</v>
      </c>
      <c r="I889" s="2" t="s">
        <v>6</v>
      </c>
      <c r="J889" s="2" t="s">
        <v>5</v>
      </c>
      <c r="K889" s="2" t="s">
        <v>5</v>
      </c>
      <c r="L889" s="2" t="s">
        <v>7</v>
      </c>
      <c r="M889" s="1" t="s">
        <v>11061</v>
      </c>
      <c r="N889" s="1" t="s">
        <v>11062</v>
      </c>
      <c r="O889" s="2" t="s">
        <v>494</v>
      </c>
      <c r="P889" s="1" t="s">
        <v>2908</v>
      </c>
      <c r="Q889" s="2" t="s">
        <v>1151</v>
      </c>
      <c r="R889" s="2" t="s">
        <v>5403</v>
      </c>
      <c r="S889" s="1" t="s">
        <v>11063</v>
      </c>
      <c r="T889" s="2" t="s">
        <v>13</v>
      </c>
      <c r="U889" s="3">
        <v>2</v>
      </c>
      <c r="V889" s="3">
        <v>2</v>
      </c>
      <c r="W889" s="4" t="s">
        <v>11064</v>
      </c>
      <c r="X889" s="4" t="s">
        <v>11064</v>
      </c>
      <c r="Y889" s="4" t="s">
        <v>9659</v>
      </c>
      <c r="Z889" s="4" t="s">
        <v>9659</v>
      </c>
      <c r="AA889" s="3">
        <v>266</v>
      </c>
      <c r="AB889" s="3">
        <v>227</v>
      </c>
      <c r="AC889" s="3">
        <v>255</v>
      </c>
      <c r="AD889" s="3">
        <v>3</v>
      </c>
      <c r="AE889" s="9">
        <v>3</v>
      </c>
      <c r="AF889" s="9">
        <v>12</v>
      </c>
      <c r="AG889" s="9">
        <v>13</v>
      </c>
      <c r="AH889" s="3">
        <v>4</v>
      </c>
      <c r="AI889" s="3">
        <v>4</v>
      </c>
      <c r="AJ889" s="3">
        <v>3</v>
      </c>
      <c r="AK889" s="3">
        <v>4</v>
      </c>
      <c r="AL889" s="3">
        <v>7</v>
      </c>
      <c r="AM889" s="3">
        <v>7</v>
      </c>
      <c r="AN889" s="3">
        <v>2</v>
      </c>
      <c r="AO889" s="3">
        <v>2</v>
      </c>
      <c r="AP889" s="3">
        <v>0</v>
      </c>
      <c r="AQ889" s="3">
        <v>0</v>
      </c>
      <c r="AR889" s="2" t="s">
        <v>5</v>
      </c>
      <c r="AS889" s="2" t="s">
        <v>46</v>
      </c>
      <c r="AT889" s="5" t="str">
        <f>HYPERLINK("http://catalog.hathitrust.org/Record/000299623","HathiTrust Record")</f>
        <v>HathiTrust Record</v>
      </c>
      <c r="AU889" s="5" t="str">
        <f>HYPERLINK("https://creighton-primo.hosted.exlibrisgroup.com/primo-explore/search?tab=default_tab&amp;search_scope=EVERYTHING&amp;vid=01CRU&amp;lang=en_US&amp;offset=0&amp;query=any,contains,991004737689702656","Catalog Record")</f>
        <v>Catalog Record</v>
      </c>
      <c r="AV889" s="5" t="str">
        <f>HYPERLINK("http://www.worldcat.org/oclc/4860667","WorldCat Record")</f>
        <v>WorldCat Record</v>
      </c>
      <c r="AW889" s="2" t="s">
        <v>11065</v>
      </c>
      <c r="AX889" s="2" t="s">
        <v>11066</v>
      </c>
      <c r="AY889" s="2" t="s">
        <v>11067</v>
      </c>
      <c r="AZ889" s="2" t="s">
        <v>11067</v>
      </c>
      <c r="BA889" s="2" t="s">
        <v>11068</v>
      </c>
      <c r="BB889" s="2" t="s">
        <v>20</v>
      </c>
      <c r="BE889" s="2" t="s">
        <v>11069</v>
      </c>
      <c r="BF889" s="2" t="s">
        <v>11070</v>
      </c>
    </row>
    <row r="890" spans="1:58" ht="39.75" customHeight="1" x14ac:dyDescent="0.25">
      <c r="A890" s="7" t="s">
        <v>5</v>
      </c>
      <c r="B890" s="1" t="s">
        <v>0</v>
      </c>
      <c r="C890" s="1" t="s">
        <v>1</v>
      </c>
      <c r="D890" s="1" t="s">
        <v>11071</v>
      </c>
      <c r="E890" s="1" t="s">
        <v>11072</v>
      </c>
      <c r="F890" s="1" t="s">
        <v>11073</v>
      </c>
      <c r="H890" s="2" t="s">
        <v>5</v>
      </c>
      <c r="I890" s="2" t="s">
        <v>6</v>
      </c>
      <c r="J890" s="2" t="s">
        <v>5</v>
      </c>
      <c r="K890" s="2" t="s">
        <v>5</v>
      </c>
      <c r="L890" s="2" t="s">
        <v>7</v>
      </c>
      <c r="M890" s="1" t="s">
        <v>10678</v>
      </c>
      <c r="N890" s="1" t="s">
        <v>11074</v>
      </c>
      <c r="O890" s="2" t="s">
        <v>569</v>
      </c>
      <c r="P890" s="1" t="s">
        <v>2908</v>
      </c>
      <c r="Q890" s="2" t="s">
        <v>1151</v>
      </c>
      <c r="R890" s="2" t="s">
        <v>1152</v>
      </c>
      <c r="T890" s="2" t="s">
        <v>13</v>
      </c>
      <c r="U890" s="3">
        <v>4</v>
      </c>
      <c r="V890" s="3">
        <v>4</v>
      </c>
      <c r="W890" s="4" t="s">
        <v>10795</v>
      </c>
      <c r="X890" s="4" t="s">
        <v>10795</v>
      </c>
      <c r="Y890" s="4" t="s">
        <v>11075</v>
      </c>
      <c r="Z890" s="4" t="s">
        <v>11075</v>
      </c>
      <c r="AA890" s="3">
        <v>184</v>
      </c>
      <c r="AB890" s="3">
        <v>169</v>
      </c>
      <c r="AC890" s="3">
        <v>348</v>
      </c>
      <c r="AD890" s="3">
        <v>1</v>
      </c>
      <c r="AE890" s="9">
        <v>3</v>
      </c>
      <c r="AF890" s="9">
        <v>3</v>
      </c>
      <c r="AG890" s="9">
        <v>10</v>
      </c>
      <c r="AH890" s="3">
        <v>3</v>
      </c>
      <c r="AI890" s="3">
        <v>3</v>
      </c>
      <c r="AJ890" s="3">
        <v>0</v>
      </c>
      <c r="AK890" s="3">
        <v>4</v>
      </c>
      <c r="AL890" s="3">
        <v>1</v>
      </c>
      <c r="AM890" s="3">
        <v>5</v>
      </c>
      <c r="AN890" s="3">
        <v>0</v>
      </c>
      <c r="AO890" s="3">
        <v>1</v>
      </c>
      <c r="AP890" s="3">
        <v>0</v>
      </c>
      <c r="AQ890" s="3">
        <v>0</v>
      </c>
      <c r="AR890" s="2" t="s">
        <v>5</v>
      </c>
      <c r="AS890" s="2" t="s">
        <v>5</v>
      </c>
      <c r="AU890" s="5" t="str">
        <f>HYPERLINK("https://creighton-primo.hosted.exlibrisgroup.com/primo-explore/search?tab=default_tab&amp;search_scope=EVERYTHING&amp;vid=01CRU&amp;lang=en_US&amp;offset=0&amp;query=any,contains,991002977529702656","Catalog Record")</f>
        <v>Catalog Record</v>
      </c>
      <c r="AV890" s="5" t="str">
        <f>HYPERLINK("http://www.worldcat.org/oclc/39949862","WorldCat Record")</f>
        <v>WorldCat Record</v>
      </c>
      <c r="AW890" s="2" t="s">
        <v>11076</v>
      </c>
      <c r="AX890" s="2" t="s">
        <v>11077</v>
      </c>
      <c r="AY890" s="2" t="s">
        <v>11078</v>
      </c>
      <c r="AZ890" s="2" t="s">
        <v>11078</v>
      </c>
      <c r="BA890" s="2" t="s">
        <v>11079</v>
      </c>
      <c r="BB890" s="2" t="s">
        <v>20</v>
      </c>
      <c r="BD890" s="2" t="s">
        <v>11080</v>
      </c>
      <c r="BE890" s="2" t="s">
        <v>11081</v>
      </c>
      <c r="BF890" s="2" t="s">
        <v>11082</v>
      </c>
    </row>
    <row r="891" spans="1:58" ht="39.75" customHeight="1" x14ac:dyDescent="0.25">
      <c r="A891" s="7" t="s">
        <v>5</v>
      </c>
      <c r="B891" s="1" t="s">
        <v>0</v>
      </c>
      <c r="C891" s="1" t="s">
        <v>1</v>
      </c>
      <c r="D891" s="1" t="s">
        <v>11083</v>
      </c>
      <c r="E891" s="1" t="s">
        <v>11084</v>
      </c>
      <c r="F891" s="1" t="s">
        <v>11085</v>
      </c>
      <c r="H891" s="2" t="s">
        <v>5</v>
      </c>
      <c r="I891" s="2" t="s">
        <v>6</v>
      </c>
      <c r="J891" s="2" t="s">
        <v>5</v>
      </c>
      <c r="K891" s="2" t="s">
        <v>5</v>
      </c>
      <c r="L891" s="2" t="s">
        <v>7</v>
      </c>
      <c r="N891" s="1" t="s">
        <v>11086</v>
      </c>
      <c r="O891" s="2" t="s">
        <v>91</v>
      </c>
      <c r="P891" s="1" t="s">
        <v>2908</v>
      </c>
      <c r="Q891" s="2" t="s">
        <v>1151</v>
      </c>
      <c r="R891" s="2" t="s">
        <v>5403</v>
      </c>
      <c r="S891" s="1" t="s">
        <v>11087</v>
      </c>
      <c r="T891" s="2" t="s">
        <v>13</v>
      </c>
      <c r="U891" s="3">
        <v>2</v>
      </c>
      <c r="V891" s="3">
        <v>2</v>
      </c>
      <c r="W891" s="4" t="s">
        <v>11088</v>
      </c>
      <c r="X891" s="4" t="s">
        <v>11088</v>
      </c>
      <c r="Y891" s="4" t="s">
        <v>2031</v>
      </c>
      <c r="Z891" s="4" t="s">
        <v>2031</v>
      </c>
      <c r="AA891" s="3">
        <v>84</v>
      </c>
      <c r="AB891" s="3">
        <v>68</v>
      </c>
      <c r="AC891" s="3">
        <v>68</v>
      </c>
      <c r="AD891" s="3">
        <v>2</v>
      </c>
      <c r="AE891" s="9">
        <v>2</v>
      </c>
      <c r="AF891" s="9">
        <v>4</v>
      </c>
      <c r="AG891" s="9">
        <v>4</v>
      </c>
      <c r="AH891" s="3">
        <v>0</v>
      </c>
      <c r="AI891" s="3">
        <v>0</v>
      </c>
      <c r="AJ891" s="3">
        <v>2</v>
      </c>
      <c r="AK891" s="3">
        <v>2</v>
      </c>
      <c r="AL891" s="3">
        <v>3</v>
      </c>
      <c r="AM891" s="3">
        <v>3</v>
      </c>
      <c r="AN891" s="3">
        <v>1</v>
      </c>
      <c r="AO891" s="3">
        <v>1</v>
      </c>
      <c r="AP891" s="3">
        <v>0</v>
      </c>
      <c r="AQ891" s="3">
        <v>0</v>
      </c>
      <c r="AR891" s="2" t="s">
        <v>5</v>
      </c>
      <c r="AS891" s="2" t="s">
        <v>5</v>
      </c>
      <c r="AU891" s="5" t="str">
        <f>HYPERLINK("https://creighton-primo.hosted.exlibrisgroup.com/primo-explore/search?tab=default_tab&amp;search_scope=EVERYTHING&amp;vid=01CRU&amp;lang=en_US&amp;offset=0&amp;query=any,contains,991002617039702656","Catalog Record")</f>
        <v>Catalog Record</v>
      </c>
      <c r="AV891" s="5" t="str">
        <f>HYPERLINK("http://www.worldcat.org/oclc/34313645","WorldCat Record")</f>
        <v>WorldCat Record</v>
      </c>
      <c r="AW891" s="2" t="s">
        <v>11089</v>
      </c>
      <c r="AX891" s="2" t="s">
        <v>11090</v>
      </c>
      <c r="AY891" s="2" t="s">
        <v>11091</v>
      </c>
      <c r="AZ891" s="2" t="s">
        <v>11091</v>
      </c>
      <c r="BA891" s="2" t="s">
        <v>11092</v>
      </c>
      <c r="BB891" s="2" t="s">
        <v>20</v>
      </c>
      <c r="BD891" s="2" t="s">
        <v>11093</v>
      </c>
      <c r="BE891" s="2" t="s">
        <v>11094</v>
      </c>
      <c r="BF891" s="2" t="s">
        <v>11095</v>
      </c>
    </row>
    <row r="892" spans="1:58" ht="39.75" customHeight="1" x14ac:dyDescent="0.25">
      <c r="A892" s="7" t="s">
        <v>5</v>
      </c>
      <c r="B892" s="1" t="s">
        <v>0</v>
      </c>
      <c r="C892" s="1" t="s">
        <v>1</v>
      </c>
      <c r="D892" s="1" t="s">
        <v>11096</v>
      </c>
      <c r="E892" s="1" t="s">
        <v>11097</v>
      </c>
      <c r="F892" s="1" t="s">
        <v>11098</v>
      </c>
      <c r="H892" s="2" t="s">
        <v>5</v>
      </c>
      <c r="I892" s="2" t="s">
        <v>6</v>
      </c>
      <c r="J892" s="2" t="s">
        <v>5</v>
      </c>
      <c r="K892" s="2" t="s">
        <v>5</v>
      </c>
      <c r="L892" s="2" t="s">
        <v>7</v>
      </c>
      <c r="M892" s="1" t="s">
        <v>11099</v>
      </c>
      <c r="N892" s="1" t="s">
        <v>11100</v>
      </c>
      <c r="O892" s="2" t="s">
        <v>276</v>
      </c>
      <c r="P892" s="1" t="s">
        <v>11101</v>
      </c>
      <c r="Q892" s="2" t="s">
        <v>1151</v>
      </c>
      <c r="R892" s="2" t="s">
        <v>5403</v>
      </c>
      <c r="S892" s="1" t="s">
        <v>11102</v>
      </c>
      <c r="T892" s="2" t="s">
        <v>13</v>
      </c>
      <c r="U892" s="3">
        <v>1</v>
      </c>
      <c r="V892" s="3">
        <v>1</v>
      </c>
      <c r="W892" s="4" t="s">
        <v>8667</v>
      </c>
      <c r="X892" s="4" t="s">
        <v>8667</v>
      </c>
      <c r="Y892" s="4" t="s">
        <v>8667</v>
      </c>
      <c r="Z892" s="4" t="s">
        <v>8667</v>
      </c>
      <c r="AA892" s="3">
        <v>47</v>
      </c>
      <c r="AB892" s="3">
        <v>23</v>
      </c>
      <c r="AC892" s="3">
        <v>144</v>
      </c>
      <c r="AD892" s="3">
        <v>1</v>
      </c>
      <c r="AE892" s="9">
        <v>2</v>
      </c>
      <c r="AF892" s="9">
        <v>0</v>
      </c>
      <c r="AG892" s="9">
        <v>3</v>
      </c>
      <c r="AH892" s="3">
        <v>0</v>
      </c>
      <c r="AI892" s="3">
        <v>1</v>
      </c>
      <c r="AJ892" s="3">
        <v>0</v>
      </c>
      <c r="AK892" s="3">
        <v>0</v>
      </c>
      <c r="AL892" s="3">
        <v>0</v>
      </c>
      <c r="AM892" s="3">
        <v>1</v>
      </c>
      <c r="AN892" s="3">
        <v>0</v>
      </c>
      <c r="AO892" s="3">
        <v>1</v>
      </c>
      <c r="AP892" s="3">
        <v>0</v>
      </c>
      <c r="AQ892" s="3">
        <v>0</v>
      </c>
      <c r="AR892" s="2" t="s">
        <v>5</v>
      </c>
      <c r="AS892" s="2" t="s">
        <v>5</v>
      </c>
      <c r="AU892" s="5" t="str">
        <f>HYPERLINK("https://creighton-primo.hosted.exlibrisgroup.com/primo-explore/search?tab=default_tab&amp;search_scope=EVERYTHING&amp;vid=01CRU&amp;lang=en_US&amp;offset=0&amp;query=any,contains,991004339639702656","Catalog Record")</f>
        <v>Catalog Record</v>
      </c>
      <c r="AV892" s="5" t="str">
        <f>HYPERLINK("http://www.worldcat.org/oclc/40776032","WorldCat Record")</f>
        <v>WorldCat Record</v>
      </c>
      <c r="AW892" s="2" t="s">
        <v>11103</v>
      </c>
      <c r="AX892" s="2" t="s">
        <v>11104</v>
      </c>
      <c r="AY892" s="2" t="s">
        <v>11105</v>
      </c>
      <c r="AZ892" s="2" t="s">
        <v>11105</v>
      </c>
      <c r="BA892" s="2" t="s">
        <v>11106</v>
      </c>
      <c r="BB892" s="2" t="s">
        <v>20</v>
      </c>
      <c r="BD892" s="2" t="s">
        <v>11107</v>
      </c>
      <c r="BE892" s="2" t="s">
        <v>11108</v>
      </c>
      <c r="BF892" s="2" t="s">
        <v>11109</v>
      </c>
    </row>
    <row r="893" spans="1:58" ht="39.75" customHeight="1" x14ac:dyDescent="0.25">
      <c r="A893" s="7" t="s">
        <v>5</v>
      </c>
      <c r="B893" s="1" t="s">
        <v>0</v>
      </c>
      <c r="C893" s="1" t="s">
        <v>1</v>
      </c>
      <c r="D893" s="1" t="s">
        <v>11110</v>
      </c>
      <c r="E893" s="1" t="s">
        <v>11111</v>
      </c>
      <c r="F893" s="1" t="s">
        <v>11112</v>
      </c>
      <c r="H893" s="2" t="s">
        <v>5</v>
      </c>
      <c r="I893" s="2" t="s">
        <v>6</v>
      </c>
      <c r="J893" s="2" t="s">
        <v>5</v>
      </c>
      <c r="K893" s="2" t="s">
        <v>5</v>
      </c>
      <c r="L893" s="2" t="s">
        <v>7</v>
      </c>
      <c r="M893" s="1" t="s">
        <v>10678</v>
      </c>
      <c r="N893" s="1" t="s">
        <v>11113</v>
      </c>
      <c r="O893" s="2" t="s">
        <v>452</v>
      </c>
      <c r="P893" s="1" t="s">
        <v>1377</v>
      </c>
      <c r="Q893" s="2" t="s">
        <v>60</v>
      </c>
      <c r="R893" s="2" t="s">
        <v>61</v>
      </c>
      <c r="T893" s="2" t="s">
        <v>13</v>
      </c>
      <c r="U893" s="3">
        <v>9</v>
      </c>
      <c r="V893" s="3">
        <v>9</v>
      </c>
      <c r="W893" s="4" t="s">
        <v>11114</v>
      </c>
      <c r="X893" s="4" t="s">
        <v>11114</v>
      </c>
      <c r="Y893" s="4" t="s">
        <v>11115</v>
      </c>
      <c r="Z893" s="4" t="s">
        <v>11115</v>
      </c>
      <c r="AA893" s="3">
        <v>487</v>
      </c>
      <c r="AB893" s="3">
        <v>461</v>
      </c>
      <c r="AC893" s="3">
        <v>583</v>
      </c>
      <c r="AD893" s="3">
        <v>2</v>
      </c>
      <c r="AE893" s="9">
        <v>3</v>
      </c>
      <c r="AF893" s="9">
        <v>13</v>
      </c>
      <c r="AG893" s="9">
        <v>17</v>
      </c>
      <c r="AH893" s="3">
        <v>4</v>
      </c>
      <c r="AI893" s="3">
        <v>6</v>
      </c>
      <c r="AJ893" s="3">
        <v>5</v>
      </c>
      <c r="AK893" s="3">
        <v>6</v>
      </c>
      <c r="AL893" s="3">
        <v>7</v>
      </c>
      <c r="AM893" s="3">
        <v>9</v>
      </c>
      <c r="AN893" s="3">
        <v>1</v>
      </c>
      <c r="AO893" s="3">
        <v>2</v>
      </c>
      <c r="AP893" s="3">
        <v>0</v>
      </c>
      <c r="AQ893" s="3">
        <v>0</v>
      </c>
      <c r="AR893" s="2" t="s">
        <v>5</v>
      </c>
      <c r="AS893" s="2" t="s">
        <v>5</v>
      </c>
      <c r="AU893" s="5" t="str">
        <f>HYPERLINK("https://creighton-primo.hosted.exlibrisgroup.com/primo-explore/search?tab=default_tab&amp;search_scope=EVERYTHING&amp;vid=01CRU&amp;lang=en_US&amp;offset=0&amp;query=any,contains,991002619339702656","Catalog Record")</f>
        <v>Catalog Record</v>
      </c>
      <c r="AV893" s="5" t="str">
        <f>HYPERLINK("http://www.worldcat.org/oclc/34321535","WorldCat Record")</f>
        <v>WorldCat Record</v>
      </c>
      <c r="AW893" s="2" t="s">
        <v>11116</v>
      </c>
      <c r="AX893" s="2" t="s">
        <v>11117</v>
      </c>
      <c r="AY893" s="2" t="s">
        <v>11118</v>
      </c>
      <c r="AZ893" s="2" t="s">
        <v>11118</v>
      </c>
      <c r="BA893" s="2" t="s">
        <v>11119</v>
      </c>
      <c r="BB893" s="2" t="s">
        <v>20</v>
      </c>
      <c r="BD893" s="2" t="s">
        <v>11120</v>
      </c>
      <c r="BE893" s="2" t="s">
        <v>11121</v>
      </c>
      <c r="BF893" s="2" t="s">
        <v>11122</v>
      </c>
    </row>
    <row r="894" spans="1:58" ht="39.75" customHeight="1" x14ac:dyDescent="0.25">
      <c r="A894" s="7" t="s">
        <v>5</v>
      </c>
      <c r="B894" s="1" t="s">
        <v>0</v>
      </c>
      <c r="C894" s="1" t="s">
        <v>1</v>
      </c>
      <c r="D894" s="1" t="s">
        <v>11123</v>
      </c>
      <c r="E894" s="1" t="s">
        <v>11124</v>
      </c>
      <c r="F894" s="1" t="s">
        <v>11125</v>
      </c>
      <c r="H894" s="2" t="s">
        <v>5</v>
      </c>
      <c r="I894" s="2" t="s">
        <v>6</v>
      </c>
      <c r="J894" s="2" t="s">
        <v>5</v>
      </c>
      <c r="K894" s="2" t="s">
        <v>5</v>
      </c>
      <c r="L894" s="2" t="s">
        <v>7</v>
      </c>
      <c r="M894" s="1" t="s">
        <v>11126</v>
      </c>
      <c r="N894" s="1" t="s">
        <v>11127</v>
      </c>
      <c r="O894" s="2" t="s">
        <v>508</v>
      </c>
      <c r="P894" s="1" t="s">
        <v>5911</v>
      </c>
      <c r="Q894" s="2" t="s">
        <v>1151</v>
      </c>
      <c r="R894" s="2" t="s">
        <v>5403</v>
      </c>
      <c r="S894" s="1" t="s">
        <v>11128</v>
      </c>
      <c r="T894" s="2" t="s">
        <v>13</v>
      </c>
      <c r="U894" s="3">
        <v>1</v>
      </c>
      <c r="V894" s="3">
        <v>1</v>
      </c>
      <c r="W894" s="4" t="s">
        <v>10846</v>
      </c>
      <c r="X894" s="4" t="s">
        <v>10846</v>
      </c>
      <c r="Y894" s="4" t="s">
        <v>10846</v>
      </c>
      <c r="Z894" s="4" t="s">
        <v>10846</v>
      </c>
      <c r="AA894" s="3">
        <v>11</v>
      </c>
      <c r="AB894" s="3">
        <v>7</v>
      </c>
      <c r="AC894" s="3">
        <v>133</v>
      </c>
      <c r="AD894" s="3">
        <v>1</v>
      </c>
      <c r="AE894" s="9">
        <v>1</v>
      </c>
      <c r="AF894" s="9">
        <v>0</v>
      </c>
      <c r="AG894" s="9">
        <v>6</v>
      </c>
      <c r="AH894" s="3">
        <v>0</v>
      </c>
      <c r="AI894" s="3">
        <v>3</v>
      </c>
      <c r="AJ894" s="3">
        <v>0</v>
      </c>
      <c r="AK894" s="3">
        <v>3</v>
      </c>
      <c r="AL894" s="3">
        <v>0</v>
      </c>
      <c r="AM894" s="3">
        <v>5</v>
      </c>
      <c r="AN894" s="3">
        <v>0</v>
      </c>
      <c r="AO894" s="3">
        <v>0</v>
      </c>
      <c r="AP894" s="3">
        <v>0</v>
      </c>
      <c r="AQ894" s="3">
        <v>0</v>
      </c>
      <c r="AR894" s="2" t="s">
        <v>5</v>
      </c>
      <c r="AS894" s="2" t="s">
        <v>5</v>
      </c>
      <c r="AU894" s="5" t="str">
        <f>HYPERLINK("https://creighton-primo.hosted.exlibrisgroup.com/primo-explore/search?tab=default_tab&amp;search_scope=EVERYTHING&amp;vid=01CRU&amp;lang=en_US&amp;offset=0&amp;query=any,contains,991003924939702656","Catalog Record")</f>
        <v>Catalog Record</v>
      </c>
      <c r="AV894" s="5" t="str">
        <f>HYPERLINK("http://www.worldcat.org/oclc/49946652","WorldCat Record")</f>
        <v>WorldCat Record</v>
      </c>
      <c r="AW894" s="2" t="s">
        <v>11129</v>
      </c>
      <c r="AX894" s="2" t="s">
        <v>11130</v>
      </c>
      <c r="AY894" s="2" t="s">
        <v>11131</v>
      </c>
      <c r="AZ894" s="2" t="s">
        <v>11131</v>
      </c>
      <c r="BA894" s="2" t="s">
        <v>11132</v>
      </c>
      <c r="BB894" s="2" t="s">
        <v>20</v>
      </c>
      <c r="BD894" s="2" t="s">
        <v>11133</v>
      </c>
      <c r="BE894" s="2" t="s">
        <v>11134</v>
      </c>
      <c r="BF894" s="2" t="s">
        <v>11135</v>
      </c>
    </row>
    <row r="895" spans="1:58" ht="39.75" customHeight="1" x14ac:dyDescent="0.25">
      <c r="A895" s="7" t="s">
        <v>5</v>
      </c>
      <c r="B895" s="1" t="s">
        <v>0</v>
      </c>
      <c r="C895" s="1" t="s">
        <v>1</v>
      </c>
      <c r="D895" s="1" t="s">
        <v>11136</v>
      </c>
      <c r="E895" s="1" t="s">
        <v>11137</v>
      </c>
      <c r="F895" s="1" t="s">
        <v>11138</v>
      </c>
      <c r="H895" s="2" t="s">
        <v>5</v>
      </c>
      <c r="I895" s="2" t="s">
        <v>6</v>
      </c>
      <c r="J895" s="2" t="s">
        <v>5</v>
      </c>
      <c r="K895" s="2" t="s">
        <v>5</v>
      </c>
      <c r="L895" s="2" t="s">
        <v>7</v>
      </c>
      <c r="M895" s="1" t="s">
        <v>11139</v>
      </c>
      <c r="N895" s="1" t="s">
        <v>11140</v>
      </c>
      <c r="O895" s="2" t="s">
        <v>6554</v>
      </c>
      <c r="Q895" s="2" t="s">
        <v>1151</v>
      </c>
      <c r="R895" s="2" t="s">
        <v>1152</v>
      </c>
      <c r="S895" s="1" t="s">
        <v>11141</v>
      </c>
      <c r="T895" s="2" t="s">
        <v>13</v>
      </c>
      <c r="U895" s="3">
        <v>1</v>
      </c>
      <c r="V895" s="3">
        <v>1</v>
      </c>
      <c r="W895" s="4" t="s">
        <v>11142</v>
      </c>
      <c r="X895" s="4" t="s">
        <v>11142</v>
      </c>
      <c r="Y895" s="4" t="s">
        <v>8825</v>
      </c>
      <c r="Z895" s="4" t="s">
        <v>8825</v>
      </c>
      <c r="AA895" s="3">
        <v>38</v>
      </c>
      <c r="AB895" s="3">
        <v>36</v>
      </c>
      <c r="AC895" s="3">
        <v>38</v>
      </c>
      <c r="AD895" s="3">
        <v>1</v>
      </c>
      <c r="AE895" s="9">
        <v>1</v>
      </c>
      <c r="AF895" s="9">
        <v>1</v>
      </c>
      <c r="AG895" s="9">
        <v>1</v>
      </c>
      <c r="AH895" s="3">
        <v>0</v>
      </c>
      <c r="AI895" s="3">
        <v>0</v>
      </c>
      <c r="AJ895" s="3">
        <v>1</v>
      </c>
      <c r="AK895" s="3">
        <v>1</v>
      </c>
      <c r="AL895" s="3">
        <v>1</v>
      </c>
      <c r="AM895" s="3">
        <v>1</v>
      </c>
      <c r="AN895" s="3">
        <v>0</v>
      </c>
      <c r="AO895" s="3">
        <v>0</v>
      </c>
      <c r="AP895" s="3">
        <v>0</v>
      </c>
      <c r="AQ895" s="3">
        <v>0</v>
      </c>
      <c r="AR895" s="2" t="s">
        <v>46</v>
      </c>
      <c r="AS895" s="2" t="s">
        <v>5</v>
      </c>
      <c r="AT895" s="5" t="str">
        <f>HYPERLINK("http://catalog.hathitrust.org/Record/101098575","HathiTrust Record")</f>
        <v>HathiTrust Record</v>
      </c>
      <c r="AU895" s="5" t="str">
        <f>HYPERLINK("https://creighton-primo.hosted.exlibrisgroup.com/primo-explore/search?tab=default_tab&amp;search_scope=EVERYTHING&amp;vid=01CRU&amp;lang=en_US&amp;offset=0&amp;query=any,contains,991004464569702656","Catalog Record")</f>
        <v>Catalog Record</v>
      </c>
      <c r="AV895" s="5" t="str">
        <f>HYPERLINK("http://www.worldcat.org/oclc/3560848","WorldCat Record")</f>
        <v>WorldCat Record</v>
      </c>
      <c r="AW895" s="2" t="s">
        <v>11143</v>
      </c>
      <c r="AX895" s="2" t="s">
        <v>11144</v>
      </c>
      <c r="AY895" s="2" t="s">
        <v>11145</v>
      </c>
      <c r="AZ895" s="2" t="s">
        <v>11145</v>
      </c>
      <c r="BA895" s="2" t="s">
        <v>11146</v>
      </c>
      <c r="BB895" s="2" t="s">
        <v>20</v>
      </c>
      <c r="BE895" s="2" t="s">
        <v>11147</v>
      </c>
      <c r="BF895" s="2" t="s">
        <v>11148</v>
      </c>
    </row>
    <row r="896" spans="1:58" ht="39.75" customHeight="1" x14ac:dyDescent="0.25">
      <c r="A896" s="7" t="s">
        <v>5</v>
      </c>
      <c r="B896" s="1" t="s">
        <v>0</v>
      </c>
      <c r="C896" s="1" t="s">
        <v>1</v>
      </c>
      <c r="D896" s="1" t="s">
        <v>11149</v>
      </c>
      <c r="E896" s="1" t="s">
        <v>11150</v>
      </c>
      <c r="F896" s="1" t="s">
        <v>11151</v>
      </c>
      <c r="H896" s="2" t="s">
        <v>5</v>
      </c>
      <c r="I896" s="2" t="s">
        <v>6</v>
      </c>
      <c r="J896" s="2" t="s">
        <v>5</v>
      </c>
      <c r="K896" s="2" t="s">
        <v>5</v>
      </c>
      <c r="L896" s="2" t="s">
        <v>7</v>
      </c>
      <c r="M896" s="1" t="s">
        <v>11152</v>
      </c>
      <c r="N896" s="1" t="s">
        <v>11153</v>
      </c>
      <c r="O896" s="2" t="s">
        <v>27</v>
      </c>
      <c r="P896" s="1" t="s">
        <v>11154</v>
      </c>
      <c r="Q896" s="2" t="s">
        <v>1151</v>
      </c>
      <c r="R896" s="2" t="s">
        <v>5403</v>
      </c>
      <c r="S896" s="1" t="s">
        <v>11155</v>
      </c>
      <c r="T896" s="2" t="s">
        <v>13</v>
      </c>
      <c r="U896" s="3">
        <v>1</v>
      </c>
      <c r="V896" s="3">
        <v>1</v>
      </c>
      <c r="W896" s="4" t="s">
        <v>11156</v>
      </c>
      <c r="X896" s="4" t="s">
        <v>11156</v>
      </c>
      <c r="Y896" s="4" t="s">
        <v>3118</v>
      </c>
      <c r="Z896" s="4" t="s">
        <v>3118</v>
      </c>
      <c r="AA896" s="3">
        <v>19</v>
      </c>
      <c r="AB896" s="3">
        <v>17</v>
      </c>
      <c r="AC896" s="3">
        <v>183</v>
      </c>
      <c r="AD896" s="3">
        <v>1</v>
      </c>
      <c r="AE896" s="9">
        <v>2</v>
      </c>
      <c r="AF896" s="9">
        <v>1</v>
      </c>
      <c r="AG896" s="9">
        <v>3</v>
      </c>
      <c r="AH896" s="3">
        <v>0</v>
      </c>
      <c r="AI896" s="3">
        <v>0</v>
      </c>
      <c r="AJ896" s="3">
        <v>0</v>
      </c>
      <c r="AK896" s="3">
        <v>1</v>
      </c>
      <c r="AL896" s="3">
        <v>1</v>
      </c>
      <c r="AM896" s="3">
        <v>1</v>
      </c>
      <c r="AN896" s="3">
        <v>0</v>
      </c>
      <c r="AO896" s="3">
        <v>1</v>
      </c>
      <c r="AP896" s="3">
        <v>0</v>
      </c>
      <c r="AQ896" s="3">
        <v>0</v>
      </c>
      <c r="AR896" s="2" t="s">
        <v>5</v>
      </c>
      <c r="AS896" s="2" t="s">
        <v>5</v>
      </c>
      <c r="AU896" s="5" t="str">
        <f>HYPERLINK("https://creighton-primo.hosted.exlibrisgroup.com/primo-explore/search?tab=default_tab&amp;search_scope=EVERYTHING&amp;vid=01CRU&amp;lang=en_US&amp;offset=0&amp;query=any,contains,991002295099702656","Catalog Record")</f>
        <v>Catalog Record</v>
      </c>
      <c r="AV896" s="5" t="str">
        <f>HYPERLINK("http://www.worldcat.org/oclc/29772772","WorldCat Record")</f>
        <v>WorldCat Record</v>
      </c>
      <c r="AW896" s="2" t="s">
        <v>11157</v>
      </c>
      <c r="AX896" s="2" t="s">
        <v>11158</v>
      </c>
      <c r="AY896" s="2" t="s">
        <v>11159</v>
      </c>
      <c r="AZ896" s="2" t="s">
        <v>11159</v>
      </c>
      <c r="BA896" s="2" t="s">
        <v>11160</v>
      </c>
      <c r="BB896" s="2" t="s">
        <v>20</v>
      </c>
      <c r="BD896" s="2" t="s">
        <v>11161</v>
      </c>
      <c r="BE896" s="2" t="s">
        <v>11162</v>
      </c>
      <c r="BF896" s="2" t="s">
        <v>11163</v>
      </c>
    </row>
    <row r="897" spans="1:58" ht="39.75" customHeight="1" x14ac:dyDescent="0.25">
      <c r="A897" s="7" t="s">
        <v>5</v>
      </c>
      <c r="B897" s="1" t="s">
        <v>0</v>
      </c>
      <c r="C897" s="1" t="s">
        <v>1</v>
      </c>
      <c r="D897" s="1" t="s">
        <v>11164</v>
      </c>
      <c r="E897" s="1" t="s">
        <v>11165</v>
      </c>
      <c r="F897" s="1" t="s">
        <v>11166</v>
      </c>
      <c r="H897" s="2" t="s">
        <v>5</v>
      </c>
      <c r="I897" s="2" t="s">
        <v>6</v>
      </c>
      <c r="J897" s="2" t="s">
        <v>5</v>
      </c>
      <c r="K897" s="2" t="s">
        <v>5</v>
      </c>
      <c r="L897" s="2" t="s">
        <v>7</v>
      </c>
      <c r="M897" s="1" t="s">
        <v>11167</v>
      </c>
      <c r="N897" s="1" t="s">
        <v>11168</v>
      </c>
      <c r="O897" s="2" t="s">
        <v>452</v>
      </c>
      <c r="Q897" s="2" t="s">
        <v>1151</v>
      </c>
      <c r="R897" s="2" t="s">
        <v>5056</v>
      </c>
      <c r="T897" s="2" t="s">
        <v>13</v>
      </c>
      <c r="U897" s="3">
        <v>1</v>
      </c>
      <c r="V897" s="3">
        <v>1</v>
      </c>
      <c r="W897" s="4" t="s">
        <v>9883</v>
      </c>
      <c r="X897" s="4" t="s">
        <v>9883</v>
      </c>
      <c r="Y897" s="4" t="s">
        <v>9883</v>
      </c>
      <c r="Z897" s="4" t="s">
        <v>9883</v>
      </c>
      <c r="AA897" s="3">
        <v>25</v>
      </c>
      <c r="AB897" s="3">
        <v>24</v>
      </c>
      <c r="AC897" s="3">
        <v>24</v>
      </c>
      <c r="AD897" s="3">
        <v>1</v>
      </c>
      <c r="AE897" s="9">
        <v>1</v>
      </c>
      <c r="AF897" s="9">
        <v>1</v>
      </c>
      <c r="AG897" s="9">
        <v>1</v>
      </c>
      <c r="AH897" s="3">
        <v>0</v>
      </c>
      <c r="AI897" s="3">
        <v>0</v>
      </c>
      <c r="AJ897" s="3">
        <v>0</v>
      </c>
      <c r="AK897" s="3">
        <v>0</v>
      </c>
      <c r="AL897" s="3">
        <v>1</v>
      </c>
      <c r="AM897" s="3">
        <v>1</v>
      </c>
      <c r="AN897" s="3">
        <v>0</v>
      </c>
      <c r="AO897" s="3">
        <v>0</v>
      </c>
      <c r="AP897" s="3">
        <v>0</v>
      </c>
      <c r="AQ897" s="3">
        <v>0</v>
      </c>
      <c r="AR897" s="2" t="s">
        <v>5</v>
      </c>
      <c r="AS897" s="2" t="s">
        <v>5</v>
      </c>
      <c r="AU897" s="5" t="str">
        <f>HYPERLINK("https://creighton-primo.hosted.exlibrisgroup.com/primo-explore/search?tab=default_tab&amp;search_scope=EVERYTHING&amp;vid=01CRU&amp;lang=en_US&amp;offset=0&amp;query=any,contains,991004027859702656","Catalog Record")</f>
        <v>Catalog Record</v>
      </c>
      <c r="AV897" s="5" t="str">
        <f>HYPERLINK("http://www.worldcat.org/oclc/37274117","WorldCat Record")</f>
        <v>WorldCat Record</v>
      </c>
      <c r="AW897" s="2" t="s">
        <v>11169</v>
      </c>
      <c r="AX897" s="2" t="s">
        <v>11170</v>
      </c>
      <c r="AY897" s="2" t="s">
        <v>11171</v>
      </c>
      <c r="AZ897" s="2" t="s">
        <v>11171</v>
      </c>
      <c r="BA897" s="2" t="s">
        <v>11172</v>
      </c>
      <c r="BB897" s="2" t="s">
        <v>20</v>
      </c>
      <c r="BD897" s="2" t="s">
        <v>11173</v>
      </c>
      <c r="BE897" s="2" t="s">
        <v>11174</v>
      </c>
      <c r="BF897" s="2" t="s">
        <v>11175</v>
      </c>
    </row>
    <row r="898" spans="1:58" ht="39.75" customHeight="1" x14ac:dyDescent="0.25">
      <c r="A898" s="7" t="s">
        <v>5</v>
      </c>
      <c r="B898" s="1" t="s">
        <v>0</v>
      </c>
      <c r="C898" s="1" t="s">
        <v>1</v>
      </c>
      <c r="D898" s="1" t="s">
        <v>11176</v>
      </c>
      <c r="E898" s="1" t="s">
        <v>11177</v>
      </c>
      <c r="F898" s="1" t="s">
        <v>11178</v>
      </c>
      <c r="H898" s="2" t="s">
        <v>5</v>
      </c>
      <c r="I898" s="2" t="s">
        <v>6</v>
      </c>
      <c r="J898" s="2" t="s">
        <v>5</v>
      </c>
      <c r="K898" s="2" t="s">
        <v>5</v>
      </c>
      <c r="L898" s="2" t="s">
        <v>7</v>
      </c>
      <c r="M898" s="1" t="s">
        <v>11179</v>
      </c>
      <c r="N898" s="1" t="s">
        <v>11180</v>
      </c>
      <c r="O898" s="2" t="s">
        <v>392</v>
      </c>
      <c r="Q898" s="2" t="s">
        <v>60</v>
      </c>
      <c r="R898" s="2" t="s">
        <v>61</v>
      </c>
      <c r="T898" s="2" t="s">
        <v>13</v>
      </c>
      <c r="U898" s="3">
        <v>1</v>
      </c>
      <c r="V898" s="3">
        <v>1</v>
      </c>
      <c r="W898" s="4" t="s">
        <v>4676</v>
      </c>
      <c r="X898" s="4" t="s">
        <v>4676</v>
      </c>
      <c r="Y898" s="4" t="s">
        <v>4676</v>
      </c>
      <c r="Z898" s="4" t="s">
        <v>4676</v>
      </c>
      <c r="AA898" s="3">
        <v>348</v>
      </c>
      <c r="AB898" s="3">
        <v>315</v>
      </c>
      <c r="AC898" s="3">
        <v>325</v>
      </c>
      <c r="AD898" s="3">
        <v>2</v>
      </c>
      <c r="AE898" s="9">
        <v>2</v>
      </c>
      <c r="AF898" s="9">
        <v>13</v>
      </c>
      <c r="AG898" s="9">
        <v>13</v>
      </c>
      <c r="AH898" s="3">
        <v>6</v>
      </c>
      <c r="AI898" s="3">
        <v>6</v>
      </c>
      <c r="AJ898" s="3">
        <v>3</v>
      </c>
      <c r="AK898" s="3">
        <v>3</v>
      </c>
      <c r="AL898" s="3">
        <v>4</v>
      </c>
      <c r="AM898" s="3">
        <v>4</v>
      </c>
      <c r="AN898" s="3">
        <v>1</v>
      </c>
      <c r="AO898" s="3">
        <v>1</v>
      </c>
      <c r="AP898" s="3">
        <v>0</v>
      </c>
      <c r="AQ898" s="3">
        <v>0</v>
      </c>
      <c r="AR898" s="2" t="s">
        <v>5</v>
      </c>
      <c r="AS898" s="2" t="s">
        <v>46</v>
      </c>
      <c r="AT898" s="5" t="str">
        <f>HYPERLINK("http://catalog.hathitrust.org/Record/000010060","HathiTrust Record")</f>
        <v>HathiTrust Record</v>
      </c>
      <c r="AU898" s="5" t="str">
        <f>HYPERLINK("https://creighton-primo.hosted.exlibrisgroup.com/primo-explore/search?tab=default_tab&amp;search_scope=EVERYTHING&amp;vid=01CRU&amp;lang=en_US&amp;offset=0&amp;query=any,contains,991004311149702656","Catalog Record")</f>
        <v>Catalog Record</v>
      </c>
      <c r="AV898" s="5" t="str">
        <f>HYPERLINK("http://www.worldcat.org/oclc/704792","WorldCat Record")</f>
        <v>WorldCat Record</v>
      </c>
      <c r="AW898" s="2" t="s">
        <v>11181</v>
      </c>
      <c r="AX898" s="2" t="s">
        <v>11182</v>
      </c>
      <c r="AY898" s="2" t="s">
        <v>11183</v>
      </c>
      <c r="AZ898" s="2" t="s">
        <v>11183</v>
      </c>
      <c r="BA898" s="2" t="s">
        <v>11184</v>
      </c>
      <c r="BB898" s="2" t="s">
        <v>20</v>
      </c>
      <c r="BD898" s="2" t="s">
        <v>11185</v>
      </c>
      <c r="BE898" s="2" t="s">
        <v>11186</v>
      </c>
      <c r="BF898" s="2" t="s">
        <v>11187</v>
      </c>
    </row>
    <row r="899" spans="1:58" ht="39.75" customHeight="1" x14ac:dyDescent="0.25">
      <c r="A899" s="7" t="s">
        <v>5</v>
      </c>
      <c r="B899" s="1" t="s">
        <v>0</v>
      </c>
      <c r="C899" s="1" t="s">
        <v>1</v>
      </c>
      <c r="D899" s="1" t="s">
        <v>11188</v>
      </c>
      <c r="E899" s="1" t="s">
        <v>11189</v>
      </c>
      <c r="F899" s="1" t="s">
        <v>11190</v>
      </c>
      <c r="G899" s="2" t="s">
        <v>2083</v>
      </c>
      <c r="H899" s="2" t="s">
        <v>46</v>
      </c>
      <c r="I899" s="2" t="s">
        <v>6</v>
      </c>
      <c r="J899" s="2" t="s">
        <v>5</v>
      </c>
      <c r="K899" s="2" t="s">
        <v>5</v>
      </c>
      <c r="L899" s="2" t="s">
        <v>7</v>
      </c>
      <c r="M899" s="1" t="s">
        <v>11191</v>
      </c>
      <c r="N899" s="1" t="s">
        <v>11192</v>
      </c>
      <c r="O899" s="2" t="s">
        <v>584</v>
      </c>
      <c r="P899" s="1" t="s">
        <v>11193</v>
      </c>
      <c r="Q899" s="2" t="s">
        <v>1151</v>
      </c>
      <c r="R899" s="2" t="s">
        <v>5403</v>
      </c>
      <c r="S899" s="1" t="s">
        <v>11194</v>
      </c>
      <c r="T899" s="2" t="s">
        <v>13</v>
      </c>
      <c r="U899" s="3">
        <v>1</v>
      </c>
      <c r="V899" s="3">
        <v>4</v>
      </c>
      <c r="W899" s="4" t="s">
        <v>11195</v>
      </c>
      <c r="X899" s="4" t="s">
        <v>11195</v>
      </c>
      <c r="Y899" s="4" t="s">
        <v>8825</v>
      </c>
      <c r="Z899" s="4" t="s">
        <v>11196</v>
      </c>
      <c r="AA899" s="3">
        <v>447</v>
      </c>
      <c r="AB899" s="3">
        <v>390</v>
      </c>
      <c r="AC899" s="3">
        <v>411</v>
      </c>
      <c r="AD899" s="3">
        <v>4</v>
      </c>
      <c r="AE899" s="9">
        <v>4</v>
      </c>
      <c r="AF899" s="9">
        <v>18</v>
      </c>
      <c r="AG899" s="9">
        <v>18</v>
      </c>
      <c r="AH899" s="3">
        <v>5</v>
      </c>
      <c r="AI899" s="3">
        <v>5</v>
      </c>
      <c r="AJ899" s="3">
        <v>4</v>
      </c>
      <c r="AK899" s="3">
        <v>4</v>
      </c>
      <c r="AL899" s="3">
        <v>10</v>
      </c>
      <c r="AM899" s="3">
        <v>10</v>
      </c>
      <c r="AN899" s="3">
        <v>3</v>
      </c>
      <c r="AO899" s="3">
        <v>3</v>
      </c>
      <c r="AP899" s="3">
        <v>0</v>
      </c>
      <c r="AQ899" s="3">
        <v>0</v>
      </c>
      <c r="AR899" s="2" t="s">
        <v>5</v>
      </c>
      <c r="AS899" s="2" t="s">
        <v>46</v>
      </c>
      <c r="AT899" s="5" t="str">
        <f>HYPERLINK("http://catalog.hathitrust.org/Record/000852510","HathiTrust Record")</f>
        <v>HathiTrust Record</v>
      </c>
      <c r="AU899" s="5" t="str">
        <f>HYPERLINK("https://creighton-primo.hosted.exlibrisgroup.com/primo-explore/search?tab=default_tab&amp;search_scope=EVERYTHING&amp;vid=01CRU&amp;lang=en_US&amp;offset=0&amp;query=any,contains,991002447859702656","Catalog Record")</f>
        <v>Catalog Record</v>
      </c>
      <c r="AV899" s="5" t="str">
        <f>HYPERLINK("http://www.worldcat.org/oclc/352026","WorldCat Record")</f>
        <v>WorldCat Record</v>
      </c>
      <c r="AW899" s="2" t="s">
        <v>11197</v>
      </c>
      <c r="AX899" s="2" t="s">
        <v>11198</v>
      </c>
      <c r="AY899" s="2" t="s">
        <v>11199</v>
      </c>
      <c r="AZ899" s="2" t="s">
        <v>11199</v>
      </c>
      <c r="BA899" s="2" t="s">
        <v>11200</v>
      </c>
      <c r="BB899" s="2" t="s">
        <v>20</v>
      </c>
      <c r="BE899" s="2" t="s">
        <v>11201</v>
      </c>
      <c r="BF899" s="2" t="s">
        <v>11202</v>
      </c>
    </row>
    <row r="900" spans="1:58" ht="39.75" customHeight="1" x14ac:dyDescent="0.25">
      <c r="A900" s="7" t="s">
        <v>5</v>
      </c>
      <c r="B900" s="1" t="s">
        <v>0</v>
      </c>
      <c r="C900" s="1" t="s">
        <v>1</v>
      </c>
      <c r="D900" s="1" t="s">
        <v>11188</v>
      </c>
      <c r="E900" s="1" t="s">
        <v>11189</v>
      </c>
      <c r="F900" s="1" t="s">
        <v>11190</v>
      </c>
      <c r="G900" s="2" t="s">
        <v>5126</v>
      </c>
      <c r="H900" s="2" t="s">
        <v>46</v>
      </c>
      <c r="I900" s="2" t="s">
        <v>6</v>
      </c>
      <c r="J900" s="2" t="s">
        <v>5</v>
      </c>
      <c r="K900" s="2" t="s">
        <v>5</v>
      </c>
      <c r="L900" s="2" t="s">
        <v>7</v>
      </c>
      <c r="M900" s="1" t="s">
        <v>11191</v>
      </c>
      <c r="N900" s="1" t="s">
        <v>11192</v>
      </c>
      <c r="O900" s="2" t="s">
        <v>584</v>
      </c>
      <c r="P900" s="1" t="s">
        <v>11193</v>
      </c>
      <c r="Q900" s="2" t="s">
        <v>1151</v>
      </c>
      <c r="R900" s="2" t="s">
        <v>5403</v>
      </c>
      <c r="S900" s="1" t="s">
        <v>11194</v>
      </c>
      <c r="T900" s="2" t="s">
        <v>13</v>
      </c>
      <c r="U900" s="3">
        <v>1</v>
      </c>
      <c r="V900" s="3">
        <v>4</v>
      </c>
      <c r="W900" s="4" t="s">
        <v>9871</v>
      </c>
      <c r="X900" s="4" t="s">
        <v>11195</v>
      </c>
      <c r="Y900" s="4" t="s">
        <v>5450</v>
      </c>
      <c r="Z900" s="4" t="s">
        <v>11196</v>
      </c>
      <c r="AA900" s="3">
        <v>447</v>
      </c>
      <c r="AB900" s="3">
        <v>390</v>
      </c>
      <c r="AC900" s="3">
        <v>411</v>
      </c>
      <c r="AD900" s="3">
        <v>4</v>
      </c>
      <c r="AE900" s="9">
        <v>4</v>
      </c>
      <c r="AF900" s="9">
        <v>18</v>
      </c>
      <c r="AG900" s="9">
        <v>18</v>
      </c>
      <c r="AH900" s="3">
        <v>5</v>
      </c>
      <c r="AI900" s="3">
        <v>5</v>
      </c>
      <c r="AJ900" s="3">
        <v>4</v>
      </c>
      <c r="AK900" s="3">
        <v>4</v>
      </c>
      <c r="AL900" s="3">
        <v>10</v>
      </c>
      <c r="AM900" s="3">
        <v>10</v>
      </c>
      <c r="AN900" s="3">
        <v>3</v>
      </c>
      <c r="AO900" s="3">
        <v>3</v>
      </c>
      <c r="AP900" s="3">
        <v>0</v>
      </c>
      <c r="AQ900" s="3">
        <v>0</v>
      </c>
      <c r="AR900" s="2" t="s">
        <v>5</v>
      </c>
      <c r="AS900" s="2" t="s">
        <v>46</v>
      </c>
      <c r="AT900" s="5" t="str">
        <f>HYPERLINK("http://catalog.hathitrust.org/Record/000852510","HathiTrust Record")</f>
        <v>HathiTrust Record</v>
      </c>
      <c r="AU900" s="5" t="str">
        <f>HYPERLINK("https://creighton-primo.hosted.exlibrisgroup.com/primo-explore/search?tab=default_tab&amp;search_scope=EVERYTHING&amp;vid=01CRU&amp;lang=en_US&amp;offset=0&amp;query=any,contains,991002447859702656","Catalog Record")</f>
        <v>Catalog Record</v>
      </c>
      <c r="AV900" s="5" t="str">
        <f>HYPERLINK("http://www.worldcat.org/oclc/352026","WorldCat Record")</f>
        <v>WorldCat Record</v>
      </c>
      <c r="AW900" s="2" t="s">
        <v>11197</v>
      </c>
      <c r="AX900" s="2" t="s">
        <v>11198</v>
      </c>
      <c r="AY900" s="2" t="s">
        <v>11199</v>
      </c>
      <c r="AZ900" s="2" t="s">
        <v>11199</v>
      </c>
      <c r="BA900" s="2" t="s">
        <v>11200</v>
      </c>
      <c r="BB900" s="2" t="s">
        <v>20</v>
      </c>
      <c r="BE900" s="2" t="s">
        <v>11203</v>
      </c>
      <c r="BF900" s="2" t="s">
        <v>11204</v>
      </c>
    </row>
    <row r="901" spans="1:58" ht="39.75" customHeight="1" x14ac:dyDescent="0.25">
      <c r="A901" s="7" t="s">
        <v>5</v>
      </c>
      <c r="B901" s="1" t="s">
        <v>0</v>
      </c>
      <c r="C901" s="1" t="s">
        <v>1</v>
      </c>
      <c r="D901" s="1" t="s">
        <v>11188</v>
      </c>
      <c r="E901" s="1" t="s">
        <v>11189</v>
      </c>
      <c r="F901" s="1" t="s">
        <v>11190</v>
      </c>
      <c r="G901" s="2" t="s">
        <v>5110</v>
      </c>
      <c r="H901" s="2" t="s">
        <v>46</v>
      </c>
      <c r="I901" s="2" t="s">
        <v>6</v>
      </c>
      <c r="J901" s="2" t="s">
        <v>5</v>
      </c>
      <c r="K901" s="2" t="s">
        <v>5</v>
      </c>
      <c r="L901" s="2" t="s">
        <v>7</v>
      </c>
      <c r="M901" s="1" t="s">
        <v>11191</v>
      </c>
      <c r="N901" s="1" t="s">
        <v>11192</v>
      </c>
      <c r="O901" s="2" t="s">
        <v>584</v>
      </c>
      <c r="P901" s="1" t="s">
        <v>11193</v>
      </c>
      <c r="Q901" s="2" t="s">
        <v>1151</v>
      </c>
      <c r="R901" s="2" t="s">
        <v>5403</v>
      </c>
      <c r="S901" s="1" t="s">
        <v>11194</v>
      </c>
      <c r="T901" s="2" t="s">
        <v>13</v>
      </c>
      <c r="U901" s="3">
        <v>0</v>
      </c>
      <c r="V901" s="3">
        <v>4</v>
      </c>
      <c r="W901" s="4" t="s">
        <v>872</v>
      </c>
      <c r="X901" s="4" t="s">
        <v>11195</v>
      </c>
      <c r="Y901" s="4" t="s">
        <v>11196</v>
      </c>
      <c r="Z901" s="4" t="s">
        <v>11196</v>
      </c>
      <c r="AA901" s="3">
        <v>447</v>
      </c>
      <c r="AB901" s="3">
        <v>390</v>
      </c>
      <c r="AC901" s="3">
        <v>411</v>
      </c>
      <c r="AD901" s="3">
        <v>4</v>
      </c>
      <c r="AE901" s="9">
        <v>4</v>
      </c>
      <c r="AF901" s="9">
        <v>18</v>
      </c>
      <c r="AG901" s="9">
        <v>18</v>
      </c>
      <c r="AH901" s="3">
        <v>5</v>
      </c>
      <c r="AI901" s="3">
        <v>5</v>
      </c>
      <c r="AJ901" s="3">
        <v>4</v>
      </c>
      <c r="AK901" s="3">
        <v>4</v>
      </c>
      <c r="AL901" s="3">
        <v>10</v>
      </c>
      <c r="AM901" s="3">
        <v>10</v>
      </c>
      <c r="AN901" s="3">
        <v>3</v>
      </c>
      <c r="AO901" s="3">
        <v>3</v>
      </c>
      <c r="AP901" s="3">
        <v>0</v>
      </c>
      <c r="AQ901" s="3">
        <v>0</v>
      </c>
      <c r="AR901" s="2" t="s">
        <v>5</v>
      </c>
      <c r="AS901" s="2" t="s">
        <v>46</v>
      </c>
      <c r="AT901" s="5" t="str">
        <f>HYPERLINK("http://catalog.hathitrust.org/Record/000852510","HathiTrust Record")</f>
        <v>HathiTrust Record</v>
      </c>
      <c r="AU901" s="5" t="str">
        <f>HYPERLINK("https://creighton-primo.hosted.exlibrisgroup.com/primo-explore/search?tab=default_tab&amp;search_scope=EVERYTHING&amp;vid=01CRU&amp;lang=en_US&amp;offset=0&amp;query=any,contains,991002447859702656","Catalog Record")</f>
        <v>Catalog Record</v>
      </c>
      <c r="AV901" s="5" t="str">
        <f>HYPERLINK("http://www.worldcat.org/oclc/352026","WorldCat Record")</f>
        <v>WorldCat Record</v>
      </c>
      <c r="AW901" s="2" t="s">
        <v>11197</v>
      </c>
      <c r="AX901" s="2" t="s">
        <v>11198</v>
      </c>
      <c r="AY901" s="2" t="s">
        <v>11199</v>
      </c>
      <c r="AZ901" s="2" t="s">
        <v>11199</v>
      </c>
      <c r="BA901" s="2" t="s">
        <v>11200</v>
      </c>
      <c r="BB901" s="2" t="s">
        <v>20</v>
      </c>
      <c r="BE901" s="2" t="s">
        <v>11205</v>
      </c>
      <c r="BF901" s="2" t="s">
        <v>11206</v>
      </c>
    </row>
    <row r="902" spans="1:58" ht="39.75" customHeight="1" x14ac:dyDescent="0.25">
      <c r="A902" s="7" t="s">
        <v>5</v>
      </c>
      <c r="B902" s="1" t="s">
        <v>0</v>
      </c>
      <c r="C902" s="1" t="s">
        <v>1</v>
      </c>
      <c r="D902" s="1" t="s">
        <v>11188</v>
      </c>
      <c r="E902" s="1" t="s">
        <v>11189</v>
      </c>
      <c r="F902" s="1" t="s">
        <v>11190</v>
      </c>
      <c r="G902" s="2" t="s">
        <v>2107</v>
      </c>
      <c r="H902" s="2" t="s">
        <v>46</v>
      </c>
      <c r="I902" s="2" t="s">
        <v>6</v>
      </c>
      <c r="J902" s="2" t="s">
        <v>5</v>
      </c>
      <c r="K902" s="2" t="s">
        <v>5</v>
      </c>
      <c r="L902" s="2" t="s">
        <v>7</v>
      </c>
      <c r="M902" s="1" t="s">
        <v>11191</v>
      </c>
      <c r="N902" s="1" t="s">
        <v>11192</v>
      </c>
      <c r="O902" s="2" t="s">
        <v>584</v>
      </c>
      <c r="P902" s="1" t="s">
        <v>11193</v>
      </c>
      <c r="Q902" s="2" t="s">
        <v>1151</v>
      </c>
      <c r="R902" s="2" t="s">
        <v>5403</v>
      </c>
      <c r="S902" s="1" t="s">
        <v>11194</v>
      </c>
      <c r="T902" s="2" t="s">
        <v>13</v>
      </c>
      <c r="U902" s="3">
        <v>2</v>
      </c>
      <c r="V902" s="3">
        <v>4</v>
      </c>
      <c r="W902" s="4" t="s">
        <v>11207</v>
      </c>
      <c r="X902" s="4" t="s">
        <v>11195</v>
      </c>
      <c r="Y902" s="4" t="s">
        <v>8825</v>
      </c>
      <c r="Z902" s="4" t="s">
        <v>11196</v>
      </c>
      <c r="AA902" s="3">
        <v>447</v>
      </c>
      <c r="AB902" s="3">
        <v>390</v>
      </c>
      <c r="AC902" s="3">
        <v>411</v>
      </c>
      <c r="AD902" s="3">
        <v>4</v>
      </c>
      <c r="AE902" s="9">
        <v>4</v>
      </c>
      <c r="AF902" s="9">
        <v>18</v>
      </c>
      <c r="AG902" s="9">
        <v>18</v>
      </c>
      <c r="AH902" s="3">
        <v>5</v>
      </c>
      <c r="AI902" s="3">
        <v>5</v>
      </c>
      <c r="AJ902" s="3">
        <v>4</v>
      </c>
      <c r="AK902" s="3">
        <v>4</v>
      </c>
      <c r="AL902" s="3">
        <v>10</v>
      </c>
      <c r="AM902" s="3">
        <v>10</v>
      </c>
      <c r="AN902" s="3">
        <v>3</v>
      </c>
      <c r="AO902" s="3">
        <v>3</v>
      </c>
      <c r="AP902" s="3">
        <v>0</v>
      </c>
      <c r="AQ902" s="3">
        <v>0</v>
      </c>
      <c r="AR902" s="2" t="s">
        <v>5</v>
      </c>
      <c r="AS902" s="2" t="s">
        <v>46</v>
      </c>
      <c r="AT902" s="5" t="str">
        <f>HYPERLINK("http://catalog.hathitrust.org/Record/000852510","HathiTrust Record")</f>
        <v>HathiTrust Record</v>
      </c>
      <c r="AU902" s="5" t="str">
        <f>HYPERLINK("https://creighton-primo.hosted.exlibrisgroup.com/primo-explore/search?tab=default_tab&amp;search_scope=EVERYTHING&amp;vid=01CRU&amp;lang=en_US&amp;offset=0&amp;query=any,contains,991002447859702656","Catalog Record")</f>
        <v>Catalog Record</v>
      </c>
      <c r="AV902" s="5" t="str">
        <f>HYPERLINK("http://www.worldcat.org/oclc/352026","WorldCat Record")</f>
        <v>WorldCat Record</v>
      </c>
      <c r="AW902" s="2" t="s">
        <v>11197</v>
      </c>
      <c r="AX902" s="2" t="s">
        <v>11198</v>
      </c>
      <c r="AY902" s="2" t="s">
        <v>11199</v>
      </c>
      <c r="AZ902" s="2" t="s">
        <v>11199</v>
      </c>
      <c r="BA902" s="2" t="s">
        <v>11200</v>
      </c>
      <c r="BB902" s="2" t="s">
        <v>20</v>
      </c>
      <c r="BE902" s="2" t="s">
        <v>11208</v>
      </c>
      <c r="BF902" s="2" t="s">
        <v>11209</v>
      </c>
    </row>
    <row r="903" spans="1:58" ht="39.75" customHeight="1" x14ac:dyDescent="0.25">
      <c r="A903" s="7" t="s">
        <v>5</v>
      </c>
      <c r="B903" s="1" t="s">
        <v>0</v>
      </c>
      <c r="C903" s="1" t="s">
        <v>1</v>
      </c>
      <c r="D903" s="1" t="s">
        <v>11210</v>
      </c>
      <c r="E903" s="1" t="s">
        <v>11211</v>
      </c>
      <c r="F903" s="1" t="s">
        <v>11212</v>
      </c>
      <c r="H903" s="2" t="s">
        <v>5</v>
      </c>
      <c r="I903" s="2" t="s">
        <v>6</v>
      </c>
      <c r="J903" s="2" t="s">
        <v>5</v>
      </c>
      <c r="K903" s="2" t="s">
        <v>5</v>
      </c>
      <c r="L903" s="2" t="s">
        <v>7</v>
      </c>
      <c r="M903" s="1" t="s">
        <v>11213</v>
      </c>
      <c r="N903" s="1" t="s">
        <v>11214</v>
      </c>
      <c r="O903" s="2" t="s">
        <v>708</v>
      </c>
      <c r="Q903" s="2" t="s">
        <v>1151</v>
      </c>
      <c r="R903" s="2" t="s">
        <v>5403</v>
      </c>
      <c r="S903" s="1" t="s">
        <v>11215</v>
      </c>
      <c r="T903" s="2" t="s">
        <v>13</v>
      </c>
      <c r="U903" s="3">
        <v>0</v>
      </c>
      <c r="V903" s="3">
        <v>0</v>
      </c>
      <c r="W903" s="4" t="s">
        <v>11216</v>
      </c>
      <c r="X903" s="4" t="s">
        <v>11216</v>
      </c>
      <c r="Y903" s="4" t="s">
        <v>10796</v>
      </c>
      <c r="Z903" s="4" t="s">
        <v>10796</v>
      </c>
      <c r="AA903" s="3">
        <v>29</v>
      </c>
      <c r="AB903" s="3">
        <v>27</v>
      </c>
      <c r="AC903" s="3">
        <v>281</v>
      </c>
      <c r="AD903" s="3">
        <v>1</v>
      </c>
      <c r="AE903" s="9">
        <v>2</v>
      </c>
      <c r="AF903" s="9">
        <v>0</v>
      </c>
      <c r="AG903" s="9">
        <v>7</v>
      </c>
      <c r="AH903" s="3">
        <v>0</v>
      </c>
      <c r="AI903" s="3">
        <v>1</v>
      </c>
      <c r="AJ903" s="3">
        <v>0</v>
      </c>
      <c r="AK903" s="3">
        <v>3</v>
      </c>
      <c r="AL903" s="3">
        <v>0</v>
      </c>
      <c r="AM903" s="3">
        <v>5</v>
      </c>
      <c r="AN903" s="3">
        <v>0</v>
      </c>
      <c r="AO903" s="3">
        <v>1</v>
      </c>
      <c r="AP903" s="3">
        <v>0</v>
      </c>
      <c r="AQ903" s="3">
        <v>0</v>
      </c>
      <c r="AR903" s="2" t="s">
        <v>5</v>
      </c>
      <c r="AS903" s="2" t="s">
        <v>5</v>
      </c>
      <c r="AU903" s="5" t="str">
        <f>HYPERLINK("https://creighton-primo.hosted.exlibrisgroup.com/primo-explore/search?tab=default_tab&amp;search_scope=EVERYTHING&amp;vid=01CRU&amp;lang=en_US&amp;offset=0&amp;query=any,contains,991002266759702656","Catalog Record")</f>
        <v>Catalog Record</v>
      </c>
      <c r="AV903" s="5" t="str">
        <f>HYPERLINK("http://www.worldcat.org/oclc/29393375","WorldCat Record")</f>
        <v>WorldCat Record</v>
      </c>
      <c r="AW903" s="2" t="s">
        <v>11217</v>
      </c>
      <c r="AX903" s="2" t="s">
        <v>11218</v>
      </c>
      <c r="AY903" s="2" t="s">
        <v>11219</v>
      </c>
      <c r="AZ903" s="2" t="s">
        <v>11219</v>
      </c>
      <c r="BA903" s="2" t="s">
        <v>11220</v>
      </c>
      <c r="BB903" s="2" t="s">
        <v>20</v>
      </c>
      <c r="BD903" s="2" t="s">
        <v>11221</v>
      </c>
      <c r="BE903" s="2" t="s">
        <v>11222</v>
      </c>
      <c r="BF903" s="2" t="s">
        <v>11223</v>
      </c>
    </row>
    <row r="904" spans="1:58" ht="39.75" customHeight="1" x14ac:dyDescent="0.25">
      <c r="A904" s="7" t="s">
        <v>5</v>
      </c>
      <c r="B904" s="1" t="s">
        <v>0</v>
      </c>
      <c r="C904" s="1" t="s">
        <v>1</v>
      </c>
      <c r="D904" s="1" t="s">
        <v>11224</v>
      </c>
      <c r="E904" s="1" t="s">
        <v>11225</v>
      </c>
      <c r="F904" s="1" t="s">
        <v>11226</v>
      </c>
      <c r="H904" s="2" t="s">
        <v>5</v>
      </c>
      <c r="I904" s="2" t="s">
        <v>6</v>
      </c>
      <c r="J904" s="2" t="s">
        <v>5</v>
      </c>
      <c r="K904" s="2" t="s">
        <v>5</v>
      </c>
      <c r="L904" s="2" t="s">
        <v>7</v>
      </c>
      <c r="M904" s="1" t="s">
        <v>11227</v>
      </c>
      <c r="N904" s="1" t="s">
        <v>11228</v>
      </c>
      <c r="O904" s="2" t="s">
        <v>736</v>
      </c>
      <c r="P904" s="1" t="s">
        <v>2170</v>
      </c>
      <c r="Q904" s="2" t="s">
        <v>60</v>
      </c>
      <c r="R904" s="2" t="s">
        <v>292</v>
      </c>
      <c r="T904" s="2" t="s">
        <v>13</v>
      </c>
      <c r="U904" s="3">
        <v>3</v>
      </c>
      <c r="V904" s="3">
        <v>3</v>
      </c>
      <c r="W904" s="4" t="s">
        <v>11229</v>
      </c>
      <c r="X904" s="4" t="s">
        <v>11229</v>
      </c>
      <c r="Y904" s="4" t="s">
        <v>11230</v>
      </c>
      <c r="Z904" s="4" t="s">
        <v>11230</v>
      </c>
      <c r="AA904" s="3">
        <v>204</v>
      </c>
      <c r="AB904" s="3">
        <v>192</v>
      </c>
      <c r="AC904" s="3">
        <v>210</v>
      </c>
      <c r="AD904" s="3">
        <v>1</v>
      </c>
      <c r="AE904" s="9">
        <v>1</v>
      </c>
      <c r="AF904" s="9">
        <v>5</v>
      </c>
      <c r="AG904" s="9">
        <v>7</v>
      </c>
      <c r="AH904" s="3">
        <v>1</v>
      </c>
      <c r="AI904" s="3">
        <v>2</v>
      </c>
      <c r="AJ904" s="3">
        <v>2</v>
      </c>
      <c r="AK904" s="3">
        <v>3</v>
      </c>
      <c r="AL904" s="3">
        <v>4</v>
      </c>
      <c r="AM904" s="3">
        <v>4</v>
      </c>
      <c r="AN904" s="3">
        <v>0</v>
      </c>
      <c r="AO904" s="3">
        <v>0</v>
      </c>
      <c r="AP904" s="3">
        <v>0</v>
      </c>
      <c r="AQ904" s="3">
        <v>0</v>
      </c>
      <c r="AR904" s="2" t="s">
        <v>5</v>
      </c>
      <c r="AS904" s="2" t="s">
        <v>46</v>
      </c>
      <c r="AT904" s="5" t="str">
        <f>HYPERLINK("http://catalog.hathitrust.org/Record/002702368","HathiTrust Record")</f>
        <v>HathiTrust Record</v>
      </c>
      <c r="AU904" s="5" t="str">
        <f>HYPERLINK("https://creighton-primo.hosted.exlibrisgroup.com/primo-explore/search?tab=default_tab&amp;search_scope=EVERYTHING&amp;vid=01CRU&amp;lang=en_US&amp;offset=0&amp;query=any,contains,991001895579702656","Catalog Record")</f>
        <v>Catalog Record</v>
      </c>
      <c r="AV904" s="5" t="str">
        <f>HYPERLINK("http://www.worldcat.org/oclc/23941176","WorldCat Record")</f>
        <v>WorldCat Record</v>
      </c>
      <c r="AW904" s="2" t="s">
        <v>11231</v>
      </c>
      <c r="AX904" s="2" t="s">
        <v>11232</v>
      </c>
      <c r="AY904" s="2" t="s">
        <v>11233</v>
      </c>
      <c r="AZ904" s="2" t="s">
        <v>11233</v>
      </c>
      <c r="BA904" s="2" t="s">
        <v>11234</v>
      </c>
      <c r="BB904" s="2" t="s">
        <v>20</v>
      </c>
      <c r="BD904" s="2" t="s">
        <v>11235</v>
      </c>
      <c r="BE904" s="2" t="s">
        <v>11236</v>
      </c>
      <c r="BF904" s="2" t="s">
        <v>11237</v>
      </c>
    </row>
    <row r="905" spans="1:58" ht="39.75" customHeight="1" x14ac:dyDescent="0.25">
      <c r="A905" s="7" t="s">
        <v>5</v>
      </c>
      <c r="B905" s="1" t="s">
        <v>0</v>
      </c>
      <c r="C905" s="1" t="s">
        <v>1</v>
      </c>
      <c r="D905" s="1" t="s">
        <v>11238</v>
      </c>
      <c r="E905" s="1" t="s">
        <v>11239</v>
      </c>
      <c r="F905" s="1" t="s">
        <v>11240</v>
      </c>
      <c r="H905" s="2" t="s">
        <v>5</v>
      </c>
      <c r="I905" s="2" t="s">
        <v>6</v>
      </c>
      <c r="J905" s="2" t="s">
        <v>5</v>
      </c>
      <c r="K905" s="2" t="s">
        <v>5</v>
      </c>
      <c r="L905" s="2" t="s">
        <v>7</v>
      </c>
      <c r="M905" s="1" t="s">
        <v>11241</v>
      </c>
      <c r="N905" s="1" t="s">
        <v>11242</v>
      </c>
      <c r="O905" s="2" t="s">
        <v>76</v>
      </c>
      <c r="P905" s="1" t="s">
        <v>11243</v>
      </c>
      <c r="Q905" s="2" t="s">
        <v>1151</v>
      </c>
      <c r="R905" s="2" t="s">
        <v>5403</v>
      </c>
      <c r="S905" s="1" t="s">
        <v>11244</v>
      </c>
      <c r="T905" s="2" t="s">
        <v>13</v>
      </c>
      <c r="U905" s="3">
        <v>2</v>
      </c>
      <c r="V905" s="3">
        <v>2</v>
      </c>
      <c r="W905" s="4" t="s">
        <v>5590</v>
      </c>
      <c r="X905" s="4" t="s">
        <v>5590</v>
      </c>
      <c r="Y905" s="4" t="s">
        <v>6689</v>
      </c>
      <c r="Z905" s="4" t="s">
        <v>6689</v>
      </c>
      <c r="AA905" s="3">
        <v>25</v>
      </c>
      <c r="AB905" s="3">
        <v>22</v>
      </c>
      <c r="AC905" s="3">
        <v>200</v>
      </c>
      <c r="AD905" s="3">
        <v>1</v>
      </c>
      <c r="AE905" s="9">
        <v>2</v>
      </c>
      <c r="AF905" s="9">
        <v>2</v>
      </c>
      <c r="AG905" s="9">
        <v>9</v>
      </c>
      <c r="AH905" s="3">
        <v>1</v>
      </c>
      <c r="AI905" s="3">
        <v>2</v>
      </c>
      <c r="AJ905" s="3">
        <v>0</v>
      </c>
      <c r="AK905" s="3">
        <v>5</v>
      </c>
      <c r="AL905" s="3">
        <v>1</v>
      </c>
      <c r="AM905" s="3">
        <v>4</v>
      </c>
      <c r="AN905" s="3">
        <v>0</v>
      </c>
      <c r="AO905" s="3">
        <v>1</v>
      </c>
      <c r="AP905" s="3">
        <v>0</v>
      </c>
      <c r="AQ905" s="3">
        <v>0</v>
      </c>
      <c r="AR905" s="2" t="s">
        <v>5</v>
      </c>
      <c r="AS905" s="2" t="s">
        <v>5</v>
      </c>
      <c r="AU905" s="5" t="str">
        <f>HYPERLINK("https://creighton-primo.hosted.exlibrisgroup.com/primo-explore/search?tab=default_tab&amp;search_scope=EVERYTHING&amp;vid=01CRU&amp;lang=en_US&amp;offset=0&amp;query=any,contains,991003481709702656","Catalog Record")</f>
        <v>Catalog Record</v>
      </c>
      <c r="AV905" s="5" t="str">
        <f>HYPERLINK("http://www.worldcat.org/oclc/34341213","WorldCat Record")</f>
        <v>WorldCat Record</v>
      </c>
      <c r="AW905" s="2" t="s">
        <v>11245</v>
      </c>
      <c r="AX905" s="2" t="s">
        <v>11246</v>
      </c>
      <c r="AY905" s="2" t="s">
        <v>11247</v>
      </c>
      <c r="AZ905" s="2" t="s">
        <v>11247</v>
      </c>
      <c r="BA905" s="2" t="s">
        <v>11248</v>
      </c>
      <c r="BB905" s="2" t="s">
        <v>20</v>
      </c>
      <c r="BD905" s="2" t="s">
        <v>11249</v>
      </c>
      <c r="BE905" s="2" t="s">
        <v>11250</v>
      </c>
      <c r="BF905" s="2" t="s">
        <v>11251</v>
      </c>
    </row>
    <row r="906" spans="1:58" ht="39.75" customHeight="1" x14ac:dyDescent="0.25">
      <c r="A906" s="7" t="s">
        <v>5</v>
      </c>
      <c r="B906" s="1" t="s">
        <v>0</v>
      </c>
      <c r="C906" s="1" t="s">
        <v>1</v>
      </c>
      <c r="D906" s="1" t="s">
        <v>11252</v>
      </c>
      <c r="E906" s="1" t="s">
        <v>11253</v>
      </c>
      <c r="F906" s="1" t="s">
        <v>11254</v>
      </c>
      <c r="H906" s="2" t="s">
        <v>5</v>
      </c>
      <c r="I906" s="2" t="s">
        <v>6</v>
      </c>
      <c r="J906" s="2" t="s">
        <v>5</v>
      </c>
      <c r="K906" s="2" t="s">
        <v>5</v>
      </c>
      <c r="L906" s="2" t="s">
        <v>7</v>
      </c>
      <c r="M906" s="1" t="s">
        <v>11255</v>
      </c>
      <c r="N906" s="1" t="s">
        <v>11256</v>
      </c>
      <c r="O906" s="2" t="s">
        <v>1273</v>
      </c>
      <c r="P906" s="1" t="s">
        <v>5939</v>
      </c>
      <c r="Q906" s="2" t="s">
        <v>1151</v>
      </c>
      <c r="R906" s="2" t="s">
        <v>6994</v>
      </c>
      <c r="S906" s="1" t="s">
        <v>11257</v>
      </c>
      <c r="T906" s="2" t="s">
        <v>13</v>
      </c>
      <c r="U906" s="3">
        <v>1</v>
      </c>
      <c r="V906" s="3">
        <v>1</v>
      </c>
      <c r="W906" s="4" t="s">
        <v>11258</v>
      </c>
      <c r="X906" s="4" t="s">
        <v>11258</v>
      </c>
      <c r="Y906" s="4" t="s">
        <v>11258</v>
      </c>
      <c r="Z906" s="4" t="s">
        <v>11258</v>
      </c>
      <c r="AA906" s="3">
        <v>12</v>
      </c>
      <c r="AB906" s="3">
        <v>11</v>
      </c>
      <c r="AC906" s="3">
        <v>39</v>
      </c>
      <c r="AD906" s="3">
        <v>1</v>
      </c>
      <c r="AE906" s="9">
        <v>2</v>
      </c>
      <c r="AF906" s="9">
        <v>0</v>
      </c>
      <c r="AG906" s="9">
        <v>2</v>
      </c>
      <c r="AH906" s="3">
        <v>0</v>
      </c>
      <c r="AI906" s="3">
        <v>0</v>
      </c>
      <c r="AJ906" s="3">
        <v>0</v>
      </c>
      <c r="AK906" s="3">
        <v>1</v>
      </c>
      <c r="AL906" s="3">
        <v>0</v>
      </c>
      <c r="AM906" s="3">
        <v>1</v>
      </c>
      <c r="AN906" s="3">
        <v>0</v>
      </c>
      <c r="AO906" s="3">
        <v>1</v>
      </c>
      <c r="AP906" s="3">
        <v>0</v>
      </c>
      <c r="AQ906" s="3">
        <v>0</v>
      </c>
      <c r="AR906" s="2" t="s">
        <v>5</v>
      </c>
      <c r="AS906" s="2" t="s">
        <v>5</v>
      </c>
      <c r="AU906" s="5" t="str">
        <f>HYPERLINK("https://creighton-primo.hosted.exlibrisgroup.com/primo-explore/search?tab=default_tab&amp;search_scope=EVERYTHING&amp;vid=01CRU&amp;lang=en_US&amp;offset=0&amp;query=any,contains,991003556689702656","Catalog Record")</f>
        <v>Catalog Record</v>
      </c>
      <c r="AV906" s="5" t="str">
        <f>HYPERLINK("http://www.worldcat.org/oclc/19834232","WorldCat Record")</f>
        <v>WorldCat Record</v>
      </c>
      <c r="AW906" s="2" t="s">
        <v>11259</v>
      </c>
      <c r="AX906" s="2" t="s">
        <v>11260</v>
      </c>
      <c r="AY906" s="2" t="s">
        <v>11261</v>
      </c>
      <c r="AZ906" s="2" t="s">
        <v>11261</v>
      </c>
      <c r="BA906" s="2" t="s">
        <v>11262</v>
      </c>
      <c r="BB906" s="2" t="s">
        <v>20</v>
      </c>
      <c r="BE906" s="2" t="s">
        <v>11263</v>
      </c>
      <c r="BF906" s="2" t="s">
        <v>11264</v>
      </c>
    </row>
    <row r="907" spans="1:58" ht="39.75" customHeight="1" x14ac:dyDescent="0.25">
      <c r="A907" s="7" t="s">
        <v>5</v>
      </c>
      <c r="B907" s="1" t="s">
        <v>0</v>
      </c>
      <c r="C907" s="1" t="s">
        <v>1</v>
      </c>
      <c r="D907" s="1" t="s">
        <v>11265</v>
      </c>
      <c r="E907" s="1" t="s">
        <v>11266</v>
      </c>
      <c r="F907" s="1" t="s">
        <v>11267</v>
      </c>
      <c r="H907" s="2" t="s">
        <v>5</v>
      </c>
      <c r="I907" s="2" t="s">
        <v>6</v>
      </c>
      <c r="J907" s="2" t="s">
        <v>5</v>
      </c>
      <c r="K907" s="2" t="s">
        <v>5</v>
      </c>
      <c r="L907" s="2" t="s">
        <v>7</v>
      </c>
      <c r="M907" s="1" t="s">
        <v>11268</v>
      </c>
      <c r="N907" s="1" t="s">
        <v>11269</v>
      </c>
      <c r="O907" s="2" t="s">
        <v>1418</v>
      </c>
      <c r="Q907" s="2" t="s">
        <v>1151</v>
      </c>
      <c r="R907" s="2" t="s">
        <v>5403</v>
      </c>
      <c r="T907" s="2" t="s">
        <v>13</v>
      </c>
      <c r="U907" s="3">
        <v>1</v>
      </c>
      <c r="V907" s="3">
        <v>1</v>
      </c>
      <c r="W907" s="4" t="s">
        <v>1154</v>
      </c>
      <c r="X907" s="4" t="s">
        <v>1154</v>
      </c>
      <c r="Y907" s="4" t="s">
        <v>1154</v>
      </c>
      <c r="Z907" s="4" t="s">
        <v>1154</v>
      </c>
      <c r="AA907" s="3">
        <v>13</v>
      </c>
      <c r="AB907" s="3">
        <v>10</v>
      </c>
      <c r="AC907" s="3">
        <v>12</v>
      </c>
      <c r="AD907" s="3">
        <v>1</v>
      </c>
      <c r="AE907" s="9">
        <v>1</v>
      </c>
      <c r="AF907" s="9">
        <v>0</v>
      </c>
      <c r="AG907" s="9">
        <v>0</v>
      </c>
      <c r="AH907" s="3">
        <v>0</v>
      </c>
      <c r="AI907" s="3">
        <v>0</v>
      </c>
      <c r="AJ907" s="3">
        <v>0</v>
      </c>
      <c r="AK907" s="3">
        <v>0</v>
      </c>
      <c r="AL907" s="3">
        <v>0</v>
      </c>
      <c r="AM907" s="3">
        <v>0</v>
      </c>
      <c r="AN907" s="3">
        <v>0</v>
      </c>
      <c r="AO907" s="3">
        <v>0</v>
      </c>
      <c r="AP907" s="3">
        <v>0</v>
      </c>
      <c r="AQ907" s="3">
        <v>0</v>
      </c>
      <c r="AR907" s="2" t="s">
        <v>5</v>
      </c>
      <c r="AS907" s="2" t="s">
        <v>46</v>
      </c>
      <c r="AT907" s="5" t="str">
        <f>HYPERLINK("http://catalog.hathitrust.org/Record/007359346","HathiTrust Record")</f>
        <v>HathiTrust Record</v>
      </c>
      <c r="AU907" s="5" t="str">
        <f>HYPERLINK("https://creighton-primo.hosted.exlibrisgroup.com/primo-explore/search?tab=default_tab&amp;search_scope=EVERYTHING&amp;vid=01CRU&amp;lang=en_US&amp;offset=0&amp;query=any,contains,991003847149702656","Catalog Record")</f>
        <v>Catalog Record</v>
      </c>
      <c r="AV907" s="5" t="str">
        <f>HYPERLINK("http://www.worldcat.org/oclc/17307391","WorldCat Record")</f>
        <v>WorldCat Record</v>
      </c>
      <c r="AW907" s="2" t="s">
        <v>11270</v>
      </c>
      <c r="AX907" s="2" t="s">
        <v>11271</v>
      </c>
      <c r="AY907" s="2" t="s">
        <v>11272</v>
      </c>
      <c r="AZ907" s="2" t="s">
        <v>11272</v>
      </c>
      <c r="BA907" s="2" t="s">
        <v>11273</v>
      </c>
      <c r="BB907" s="2" t="s">
        <v>20</v>
      </c>
      <c r="BE907" s="2" t="s">
        <v>11274</v>
      </c>
      <c r="BF907" s="2" t="s">
        <v>11275</v>
      </c>
    </row>
    <row r="908" spans="1:58" ht="39.75" customHeight="1" x14ac:dyDescent="0.25">
      <c r="A908" s="7" t="s">
        <v>5</v>
      </c>
      <c r="B908" s="1" t="s">
        <v>0</v>
      </c>
      <c r="C908" s="1" t="s">
        <v>1</v>
      </c>
      <c r="D908" s="1" t="s">
        <v>11276</v>
      </c>
      <c r="E908" s="1" t="s">
        <v>11277</v>
      </c>
      <c r="F908" s="1" t="s">
        <v>11278</v>
      </c>
      <c r="H908" s="2" t="s">
        <v>5</v>
      </c>
      <c r="I908" s="2" t="s">
        <v>6</v>
      </c>
      <c r="J908" s="2" t="s">
        <v>5</v>
      </c>
      <c r="K908" s="2" t="s">
        <v>5</v>
      </c>
      <c r="L908" s="2" t="s">
        <v>7</v>
      </c>
      <c r="M908" s="1" t="s">
        <v>11279</v>
      </c>
      <c r="N908" s="1" t="s">
        <v>11280</v>
      </c>
      <c r="O908" s="2" t="s">
        <v>2448</v>
      </c>
      <c r="Q908" s="2" t="s">
        <v>1151</v>
      </c>
      <c r="R908" s="2" t="s">
        <v>1152</v>
      </c>
      <c r="T908" s="2" t="s">
        <v>13</v>
      </c>
      <c r="U908" s="3">
        <v>1</v>
      </c>
      <c r="V908" s="3">
        <v>1</v>
      </c>
      <c r="W908" s="4" t="s">
        <v>8230</v>
      </c>
      <c r="X908" s="4" t="s">
        <v>8230</v>
      </c>
      <c r="Y908" s="4" t="s">
        <v>8230</v>
      </c>
      <c r="Z908" s="4" t="s">
        <v>8230</v>
      </c>
      <c r="AA908" s="3">
        <v>75</v>
      </c>
      <c r="AB908" s="3">
        <v>62</v>
      </c>
      <c r="AC908" s="3">
        <v>107</v>
      </c>
      <c r="AD908" s="3">
        <v>1</v>
      </c>
      <c r="AE908" s="9">
        <v>1</v>
      </c>
      <c r="AF908" s="9">
        <v>0</v>
      </c>
      <c r="AG908" s="9">
        <v>1</v>
      </c>
      <c r="AH908" s="3">
        <v>0</v>
      </c>
      <c r="AI908" s="3">
        <v>0</v>
      </c>
      <c r="AJ908" s="3">
        <v>0</v>
      </c>
      <c r="AK908" s="3">
        <v>1</v>
      </c>
      <c r="AL908" s="3">
        <v>0</v>
      </c>
      <c r="AM908" s="3">
        <v>1</v>
      </c>
      <c r="AN908" s="3">
        <v>0</v>
      </c>
      <c r="AO908" s="3">
        <v>0</v>
      </c>
      <c r="AP908" s="3">
        <v>0</v>
      </c>
      <c r="AQ908" s="3">
        <v>0</v>
      </c>
      <c r="AR908" s="2" t="s">
        <v>5</v>
      </c>
      <c r="AS908" s="2" t="s">
        <v>5</v>
      </c>
      <c r="AU908" s="5" t="str">
        <f>HYPERLINK("https://creighton-primo.hosted.exlibrisgroup.com/primo-explore/search?tab=default_tab&amp;search_scope=EVERYTHING&amp;vid=01CRU&amp;lang=en_US&amp;offset=0&amp;query=any,contains,991003253919702656","Catalog Record")</f>
        <v>Catalog Record</v>
      </c>
      <c r="AV908" s="5" t="str">
        <f>HYPERLINK("http://www.worldcat.org/oclc/42862853","WorldCat Record")</f>
        <v>WorldCat Record</v>
      </c>
      <c r="AW908" s="2" t="s">
        <v>11281</v>
      </c>
      <c r="AX908" s="2" t="s">
        <v>11282</v>
      </c>
      <c r="AY908" s="2" t="s">
        <v>11283</v>
      </c>
      <c r="AZ908" s="2" t="s">
        <v>11283</v>
      </c>
      <c r="BA908" s="2" t="s">
        <v>11284</v>
      </c>
      <c r="BB908" s="2" t="s">
        <v>20</v>
      </c>
      <c r="BD908" s="2" t="s">
        <v>11285</v>
      </c>
      <c r="BE908" s="2" t="s">
        <v>11286</v>
      </c>
      <c r="BF908" s="2" t="s">
        <v>11287</v>
      </c>
    </row>
    <row r="909" spans="1:58" ht="39.75" customHeight="1" x14ac:dyDescent="0.25">
      <c r="A909" s="7" t="s">
        <v>5</v>
      </c>
      <c r="B909" s="1" t="s">
        <v>0</v>
      </c>
      <c r="C909" s="1" t="s">
        <v>1</v>
      </c>
      <c r="D909" s="1" t="s">
        <v>11288</v>
      </c>
      <c r="E909" s="1" t="s">
        <v>11289</v>
      </c>
      <c r="F909" s="1" t="s">
        <v>11290</v>
      </c>
      <c r="H909" s="2" t="s">
        <v>5</v>
      </c>
      <c r="I909" s="2" t="s">
        <v>6</v>
      </c>
      <c r="J909" s="2" t="s">
        <v>5</v>
      </c>
      <c r="K909" s="2" t="s">
        <v>5</v>
      </c>
      <c r="L909" s="2" t="s">
        <v>7</v>
      </c>
      <c r="M909" s="1" t="s">
        <v>11279</v>
      </c>
      <c r="N909" s="1" t="s">
        <v>11291</v>
      </c>
      <c r="O909" s="2" t="s">
        <v>3941</v>
      </c>
      <c r="Q909" s="2" t="s">
        <v>1151</v>
      </c>
      <c r="R909" s="2" t="s">
        <v>61</v>
      </c>
      <c r="T909" s="2" t="s">
        <v>13</v>
      </c>
      <c r="U909" s="3">
        <v>1</v>
      </c>
      <c r="V909" s="3">
        <v>1</v>
      </c>
      <c r="W909" s="4" t="s">
        <v>11292</v>
      </c>
      <c r="X909" s="4" t="s">
        <v>11292</v>
      </c>
      <c r="Y909" s="4" t="s">
        <v>11293</v>
      </c>
      <c r="Z909" s="4" t="s">
        <v>11293</v>
      </c>
      <c r="AA909" s="3">
        <v>640</v>
      </c>
      <c r="AB909" s="3">
        <v>615</v>
      </c>
      <c r="AC909" s="3">
        <v>737</v>
      </c>
      <c r="AD909" s="3">
        <v>4</v>
      </c>
      <c r="AE909" s="9">
        <v>5</v>
      </c>
      <c r="AF909" s="9">
        <v>10</v>
      </c>
      <c r="AG909" s="9">
        <v>13</v>
      </c>
      <c r="AH909" s="3">
        <v>5</v>
      </c>
      <c r="AI909" s="3">
        <v>6</v>
      </c>
      <c r="AJ909" s="3">
        <v>1</v>
      </c>
      <c r="AK909" s="3">
        <v>2</v>
      </c>
      <c r="AL909" s="3">
        <v>7</v>
      </c>
      <c r="AM909" s="3">
        <v>10</v>
      </c>
      <c r="AN909" s="3">
        <v>1</v>
      </c>
      <c r="AO909" s="3">
        <v>1</v>
      </c>
      <c r="AP909" s="3">
        <v>0</v>
      </c>
      <c r="AQ909" s="3">
        <v>0</v>
      </c>
      <c r="AR909" s="2" t="s">
        <v>5</v>
      </c>
      <c r="AS909" s="2" t="s">
        <v>5</v>
      </c>
      <c r="AU909" s="5" t="str">
        <f>HYPERLINK("https://creighton-primo.hosted.exlibrisgroup.com/primo-explore/search?tab=default_tab&amp;search_scope=EVERYTHING&amp;vid=01CRU&amp;lang=en_US&amp;offset=0&amp;query=any,contains,991003642239702656","Catalog Record")</f>
        <v>Catalog Record</v>
      </c>
      <c r="AV909" s="5" t="str">
        <f>HYPERLINK("http://www.worldcat.org/oclc/47958888","WorldCat Record")</f>
        <v>WorldCat Record</v>
      </c>
      <c r="AW909" s="2" t="s">
        <v>11294</v>
      </c>
      <c r="AX909" s="2" t="s">
        <v>11295</v>
      </c>
      <c r="AY909" s="2" t="s">
        <v>11296</v>
      </c>
      <c r="AZ909" s="2" t="s">
        <v>11296</v>
      </c>
      <c r="BA909" s="2" t="s">
        <v>11297</v>
      </c>
      <c r="BB909" s="2" t="s">
        <v>20</v>
      </c>
      <c r="BD909" s="2" t="s">
        <v>11298</v>
      </c>
      <c r="BE909" s="2" t="s">
        <v>11299</v>
      </c>
      <c r="BF909" s="2" t="s">
        <v>11300</v>
      </c>
    </row>
    <row r="910" spans="1:58" ht="39.75" customHeight="1" x14ac:dyDescent="0.25">
      <c r="A910" s="7" t="s">
        <v>5</v>
      </c>
      <c r="B910" s="1" t="s">
        <v>0</v>
      </c>
      <c r="C910" s="1" t="s">
        <v>1</v>
      </c>
      <c r="D910" s="1" t="s">
        <v>11301</v>
      </c>
      <c r="E910" s="1" t="s">
        <v>11302</v>
      </c>
      <c r="F910" s="1" t="s">
        <v>11303</v>
      </c>
      <c r="H910" s="2" t="s">
        <v>5</v>
      </c>
      <c r="I910" s="2" t="s">
        <v>6</v>
      </c>
      <c r="J910" s="2" t="s">
        <v>5</v>
      </c>
      <c r="K910" s="2" t="s">
        <v>5</v>
      </c>
      <c r="L910" s="2" t="s">
        <v>7</v>
      </c>
      <c r="M910" s="1" t="s">
        <v>11304</v>
      </c>
      <c r="N910" s="1" t="s">
        <v>11305</v>
      </c>
      <c r="O910" s="2" t="s">
        <v>3817</v>
      </c>
      <c r="P910" s="1" t="s">
        <v>2908</v>
      </c>
      <c r="Q910" s="2" t="s">
        <v>1151</v>
      </c>
      <c r="R910" s="2" t="s">
        <v>5403</v>
      </c>
      <c r="T910" s="2" t="s">
        <v>13</v>
      </c>
      <c r="U910" s="3">
        <v>1</v>
      </c>
      <c r="V910" s="3">
        <v>1</v>
      </c>
      <c r="W910" s="4" t="s">
        <v>5692</v>
      </c>
      <c r="X910" s="4" t="s">
        <v>5692</v>
      </c>
      <c r="Y910" s="4" t="s">
        <v>11306</v>
      </c>
      <c r="Z910" s="4" t="s">
        <v>11306</v>
      </c>
      <c r="AA910" s="3">
        <v>110</v>
      </c>
      <c r="AB910" s="3">
        <v>96</v>
      </c>
      <c r="AC910" s="3">
        <v>99</v>
      </c>
      <c r="AD910" s="3">
        <v>1</v>
      </c>
      <c r="AE910" s="9">
        <v>1</v>
      </c>
      <c r="AF910" s="9">
        <v>1</v>
      </c>
      <c r="AG910" s="9">
        <v>1</v>
      </c>
      <c r="AH910" s="3">
        <v>0</v>
      </c>
      <c r="AI910" s="3">
        <v>0</v>
      </c>
      <c r="AJ910" s="3">
        <v>0</v>
      </c>
      <c r="AK910" s="3">
        <v>0</v>
      </c>
      <c r="AL910" s="3">
        <v>1</v>
      </c>
      <c r="AM910" s="3">
        <v>1</v>
      </c>
      <c r="AN910" s="3">
        <v>0</v>
      </c>
      <c r="AO910" s="3">
        <v>0</v>
      </c>
      <c r="AP910" s="3">
        <v>0</v>
      </c>
      <c r="AQ910" s="3">
        <v>0</v>
      </c>
      <c r="AR910" s="2" t="s">
        <v>5</v>
      </c>
      <c r="AS910" s="2" t="s">
        <v>46</v>
      </c>
      <c r="AT910" s="5" t="str">
        <f>HYPERLINK("http://catalog.hathitrust.org/Record/004017988","HathiTrust Record")</f>
        <v>HathiTrust Record</v>
      </c>
      <c r="AU910" s="5" t="str">
        <f>HYPERLINK("https://creighton-primo.hosted.exlibrisgroup.com/primo-explore/search?tab=default_tab&amp;search_scope=EVERYTHING&amp;vid=01CRU&amp;lang=en_US&amp;offset=0&amp;query=any,contains,991003805819702656","Catalog Record")</f>
        <v>Catalog Record</v>
      </c>
      <c r="AV910" s="5" t="str">
        <f>HYPERLINK("http://www.worldcat.org/oclc/37547079","WorldCat Record")</f>
        <v>WorldCat Record</v>
      </c>
      <c r="AW910" s="2" t="s">
        <v>11307</v>
      </c>
      <c r="AX910" s="2" t="s">
        <v>11308</v>
      </c>
      <c r="AY910" s="2" t="s">
        <v>11309</v>
      </c>
      <c r="AZ910" s="2" t="s">
        <v>11309</v>
      </c>
      <c r="BA910" s="2" t="s">
        <v>11310</v>
      </c>
      <c r="BB910" s="2" t="s">
        <v>20</v>
      </c>
      <c r="BD910" s="2" t="s">
        <v>11311</v>
      </c>
      <c r="BE910" s="2" t="s">
        <v>11312</v>
      </c>
      <c r="BF910" s="2" t="s">
        <v>11313</v>
      </c>
    </row>
    <row r="911" spans="1:58" ht="39.75" customHeight="1" x14ac:dyDescent="0.25">
      <c r="A911" s="7" t="s">
        <v>5</v>
      </c>
      <c r="B911" s="1" t="s">
        <v>0</v>
      </c>
      <c r="C911" s="1" t="s">
        <v>1</v>
      </c>
      <c r="D911" s="1" t="s">
        <v>11314</v>
      </c>
      <c r="E911" s="1" t="s">
        <v>11315</v>
      </c>
      <c r="F911" s="1" t="s">
        <v>11316</v>
      </c>
      <c r="H911" s="2" t="s">
        <v>5</v>
      </c>
      <c r="I911" s="2" t="s">
        <v>6</v>
      </c>
      <c r="J911" s="2" t="s">
        <v>5</v>
      </c>
      <c r="K911" s="2" t="s">
        <v>5</v>
      </c>
      <c r="L911" s="2" t="s">
        <v>7</v>
      </c>
      <c r="M911" s="1" t="s">
        <v>11317</v>
      </c>
      <c r="N911" s="1" t="s">
        <v>11318</v>
      </c>
      <c r="O911" s="2" t="s">
        <v>3817</v>
      </c>
      <c r="P911" s="1" t="s">
        <v>2908</v>
      </c>
      <c r="Q911" s="2" t="s">
        <v>1151</v>
      </c>
      <c r="R911" s="2" t="s">
        <v>5403</v>
      </c>
      <c r="S911" s="1" t="s">
        <v>11319</v>
      </c>
      <c r="T911" s="2" t="s">
        <v>13</v>
      </c>
      <c r="U911" s="3">
        <v>2</v>
      </c>
      <c r="V911" s="3">
        <v>2</v>
      </c>
      <c r="W911" s="4" t="s">
        <v>11320</v>
      </c>
      <c r="X911" s="4" t="s">
        <v>11320</v>
      </c>
      <c r="Y911" s="4" t="s">
        <v>8230</v>
      </c>
      <c r="Z911" s="4" t="s">
        <v>8230</v>
      </c>
      <c r="AA911" s="3">
        <v>16</v>
      </c>
      <c r="AB911" s="3">
        <v>15</v>
      </c>
      <c r="AC911" s="3">
        <v>16</v>
      </c>
      <c r="AD911" s="3">
        <v>1</v>
      </c>
      <c r="AE911" s="9">
        <v>1</v>
      </c>
      <c r="AF911" s="9">
        <v>0</v>
      </c>
      <c r="AG911" s="9">
        <v>0</v>
      </c>
      <c r="AH911" s="3">
        <v>0</v>
      </c>
      <c r="AI911" s="3">
        <v>0</v>
      </c>
      <c r="AJ911" s="3">
        <v>0</v>
      </c>
      <c r="AK911" s="3">
        <v>0</v>
      </c>
      <c r="AL911" s="3">
        <v>0</v>
      </c>
      <c r="AM911" s="3">
        <v>0</v>
      </c>
      <c r="AN911" s="3">
        <v>0</v>
      </c>
      <c r="AO911" s="3">
        <v>0</v>
      </c>
      <c r="AP911" s="3">
        <v>0</v>
      </c>
      <c r="AQ911" s="3">
        <v>0</v>
      </c>
      <c r="AR911" s="2" t="s">
        <v>5</v>
      </c>
      <c r="AS911" s="2" t="s">
        <v>5</v>
      </c>
      <c r="AU911" s="5" t="str">
        <f>HYPERLINK("https://creighton-primo.hosted.exlibrisgroup.com/primo-explore/search?tab=default_tab&amp;search_scope=EVERYTHING&amp;vid=01CRU&amp;lang=en_US&amp;offset=0&amp;query=any,contains,991003252889702656","Catalog Record")</f>
        <v>Catalog Record</v>
      </c>
      <c r="AV911" s="5" t="str">
        <f>HYPERLINK("http://www.worldcat.org/oclc/38986983","WorldCat Record")</f>
        <v>WorldCat Record</v>
      </c>
      <c r="AW911" s="2" t="s">
        <v>11321</v>
      </c>
      <c r="AX911" s="2" t="s">
        <v>11322</v>
      </c>
      <c r="AY911" s="2" t="s">
        <v>11323</v>
      </c>
      <c r="AZ911" s="2" t="s">
        <v>11323</v>
      </c>
      <c r="BA911" s="2" t="s">
        <v>11324</v>
      </c>
      <c r="BB911" s="2" t="s">
        <v>20</v>
      </c>
      <c r="BD911" s="2" t="s">
        <v>11325</v>
      </c>
      <c r="BE911" s="2" t="s">
        <v>11326</v>
      </c>
      <c r="BF911" s="2" t="s">
        <v>11327</v>
      </c>
    </row>
    <row r="912" spans="1:58" ht="39.75" customHeight="1" x14ac:dyDescent="0.25">
      <c r="A912" s="7" t="s">
        <v>5</v>
      </c>
      <c r="B912" s="1" t="s">
        <v>0</v>
      </c>
      <c r="C912" s="1" t="s">
        <v>1</v>
      </c>
      <c r="D912" s="1" t="s">
        <v>11328</v>
      </c>
      <c r="E912" s="1" t="s">
        <v>11329</v>
      </c>
      <c r="F912" s="1" t="s">
        <v>11330</v>
      </c>
      <c r="H912" s="2" t="s">
        <v>5</v>
      </c>
      <c r="I912" s="2" t="s">
        <v>6</v>
      </c>
      <c r="J912" s="2" t="s">
        <v>5</v>
      </c>
      <c r="K912" s="2" t="s">
        <v>5</v>
      </c>
      <c r="L912" s="2" t="s">
        <v>7</v>
      </c>
      <c r="M912" s="1" t="s">
        <v>11331</v>
      </c>
      <c r="N912" s="1" t="s">
        <v>11332</v>
      </c>
      <c r="O912" s="2" t="s">
        <v>6611</v>
      </c>
      <c r="P912" s="1" t="s">
        <v>11333</v>
      </c>
      <c r="Q912" s="2" t="s">
        <v>1151</v>
      </c>
      <c r="R912" s="2" t="s">
        <v>5403</v>
      </c>
      <c r="T912" s="2" t="s">
        <v>13</v>
      </c>
      <c r="U912" s="3">
        <v>1</v>
      </c>
      <c r="V912" s="3">
        <v>1</v>
      </c>
      <c r="W912" s="4" t="s">
        <v>11334</v>
      </c>
      <c r="X912" s="4" t="s">
        <v>11334</v>
      </c>
      <c r="Y912" s="4" t="s">
        <v>9517</v>
      </c>
      <c r="Z912" s="4" t="s">
        <v>9517</v>
      </c>
      <c r="AA912" s="3">
        <v>9</v>
      </c>
      <c r="AB912" s="3">
        <v>7</v>
      </c>
      <c r="AC912" s="3">
        <v>963</v>
      </c>
      <c r="AD912" s="3">
        <v>1</v>
      </c>
      <c r="AE912" s="9">
        <v>6</v>
      </c>
      <c r="AF912" s="9">
        <v>1</v>
      </c>
      <c r="AG912" s="9">
        <v>31</v>
      </c>
      <c r="AH912" s="3">
        <v>0</v>
      </c>
      <c r="AI912" s="3">
        <v>14</v>
      </c>
      <c r="AJ912" s="3">
        <v>1</v>
      </c>
      <c r="AK912" s="3">
        <v>9</v>
      </c>
      <c r="AL912" s="3">
        <v>1</v>
      </c>
      <c r="AM912" s="3">
        <v>15</v>
      </c>
      <c r="AN912" s="3">
        <v>0</v>
      </c>
      <c r="AO912" s="3">
        <v>4</v>
      </c>
      <c r="AP912" s="3">
        <v>0</v>
      </c>
      <c r="AQ912" s="3">
        <v>0</v>
      </c>
      <c r="AR912" s="2" t="s">
        <v>5</v>
      </c>
      <c r="AS912" s="2" t="s">
        <v>46</v>
      </c>
      <c r="AT912" s="5" t="str">
        <f>HYPERLINK("http://catalog.hathitrust.org/Record/003192310","HathiTrust Record")</f>
        <v>HathiTrust Record</v>
      </c>
      <c r="AU912" s="5" t="str">
        <f>HYPERLINK("https://creighton-primo.hosted.exlibrisgroup.com/primo-explore/search?tab=default_tab&amp;search_scope=EVERYTHING&amp;vid=01CRU&amp;lang=en_US&amp;offset=0&amp;query=any,contains,991002538509702656","Catalog Record")</f>
        <v>Catalog Record</v>
      </c>
      <c r="AV912" s="5" t="str">
        <f>HYPERLINK("http://www.worldcat.org/oclc/32981175","WorldCat Record")</f>
        <v>WorldCat Record</v>
      </c>
      <c r="AW912" s="2" t="s">
        <v>11335</v>
      </c>
      <c r="AX912" s="2" t="s">
        <v>11336</v>
      </c>
      <c r="AY912" s="2" t="s">
        <v>11337</v>
      </c>
      <c r="AZ912" s="2" t="s">
        <v>11337</v>
      </c>
      <c r="BA912" s="2" t="s">
        <v>11338</v>
      </c>
      <c r="BB912" s="2" t="s">
        <v>20</v>
      </c>
      <c r="BD912" s="2" t="s">
        <v>11339</v>
      </c>
      <c r="BE912" s="2" t="s">
        <v>11340</v>
      </c>
      <c r="BF912" s="2" t="s">
        <v>11341</v>
      </c>
    </row>
    <row r="913" spans="1:58" ht="39.75" customHeight="1" x14ac:dyDescent="0.25">
      <c r="A913" s="7" t="s">
        <v>5</v>
      </c>
      <c r="B913" s="1" t="s">
        <v>0</v>
      </c>
      <c r="C913" s="1" t="s">
        <v>1</v>
      </c>
      <c r="D913" s="1" t="s">
        <v>11342</v>
      </c>
      <c r="E913" s="1" t="s">
        <v>11343</v>
      </c>
      <c r="F913" s="1" t="s">
        <v>11344</v>
      </c>
      <c r="H913" s="2" t="s">
        <v>5</v>
      </c>
      <c r="I913" s="2" t="s">
        <v>6</v>
      </c>
      <c r="J913" s="2" t="s">
        <v>5</v>
      </c>
      <c r="K913" s="2" t="s">
        <v>5</v>
      </c>
      <c r="L913" s="2" t="s">
        <v>7</v>
      </c>
      <c r="M913" s="1" t="s">
        <v>11345</v>
      </c>
      <c r="N913" s="1" t="s">
        <v>11346</v>
      </c>
      <c r="O913" s="2" t="s">
        <v>3817</v>
      </c>
      <c r="P913" s="1" t="s">
        <v>2908</v>
      </c>
      <c r="Q913" s="2" t="s">
        <v>1151</v>
      </c>
      <c r="R913" s="2" t="s">
        <v>5403</v>
      </c>
      <c r="S913" s="1" t="s">
        <v>11347</v>
      </c>
      <c r="T913" s="2" t="s">
        <v>13</v>
      </c>
      <c r="U913" s="3">
        <v>1</v>
      </c>
      <c r="V913" s="3">
        <v>1</v>
      </c>
      <c r="W913" s="4" t="s">
        <v>11348</v>
      </c>
      <c r="X913" s="4" t="s">
        <v>11348</v>
      </c>
      <c r="Y913" s="4" t="s">
        <v>11348</v>
      </c>
      <c r="Z913" s="4" t="s">
        <v>11348</v>
      </c>
      <c r="AA913" s="3">
        <v>17</v>
      </c>
      <c r="AB913" s="3">
        <v>16</v>
      </c>
      <c r="AC913" s="3">
        <v>18</v>
      </c>
      <c r="AD913" s="3">
        <v>1</v>
      </c>
      <c r="AE913" s="9">
        <v>1</v>
      </c>
      <c r="AF913" s="9">
        <v>0</v>
      </c>
      <c r="AG913" s="9">
        <v>0</v>
      </c>
      <c r="AH913" s="3">
        <v>0</v>
      </c>
      <c r="AI913" s="3">
        <v>0</v>
      </c>
      <c r="AJ913" s="3">
        <v>0</v>
      </c>
      <c r="AK913" s="3">
        <v>0</v>
      </c>
      <c r="AL913" s="3">
        <v>0</v>
      </c>
      <c r="AM913" s="3">
        <v>0</v>
      </c>
      <c r="AN913" s="3">
        <v>0</v>
      </c>
      <c r="AO913" s="3">
        <v>0</v>
      </c>
      <c r="AP913" s="3">
        <v>0</v>
      </c>
      <c r="AQ913" s="3">
        <v>0</v>
      </c>
      <c r="AR913" s="2" t="s">
        <v>5</v>
      </c>
      <c r="AS913" s="2" t="s">
        <v>46</v>
      </c>
      <c r="AT913" s="5" t="str">
        <f>HYPERLINK("http://catalog.hathitrust.org/Record/008449912","HathiTrust Record")</f>
        <v>HathiTrust Record</v>
      </c>
      <c r="AU913" s="5" t="str">
        <f>HYPERLINK("https://creighton-primo.hosted.exlibrisgroup.com/primo-explore/search?tab=default_tab&amp;search_scope=EVERYTHING&amp;vid=01CRU&amp;lang=en_US&amp;offset=0&amp;query=any,contains,991003252859702656","Catalog Record")</f>
        <v>Catalog Record</v>
      </c>
      <c r="AV913" s="5" t="str">
        <f>HYPERLINK("http://www.worldcat.org/oclc/38841072","WorldCat Record")</f>
        <v>WorldCat Record</v>
      </c>
      <c r="AW913" s="2" t="s">
        <v>11349</v>
      </c>
      <c r="AX913" s="2" t="s">
        <v>11350</v>
      </c>
      <c r="AY913" s="2" t="s">
        <v>11351</v>
      </c>
      <c r="AZ913" s="2" t="s">
        <v>11351</v>
      </c>
      <c r="BA913" s="2" t="s">
        <v>11352</v>
      </c>
      <c r="BB913" s="2" t="s">
        <v>20</v>
      </c>
      <c r="BD913" s="2" t="s">
        <v>11353</v>
      </c>
      <c r="BE913" s="2" t="s">
        <v>11354</v>
      </c>
      <c r="BF913" s="2" t="s">
        <v>11355</v>
      </c>
    </row>
    <row r="914" spans="1:58" ht="39.75" customHeight="1" x14ac:dyDescent="0.25">
      <c r="A914" s="7" t="s">
        <v>5</v>
      </c>
      <c r="B914" s="1" t="s">
        <v>0</v>
      </c>
      <c r="C914" s="1" t="s">
        <v>1</v>
      </c>
      <c r="D914" s="1" t="s">
        <v>11356</v>
      </c>
      <c r="E914" s="1" t="s">
        <v>11357</v>
      </c>
      <c r="F914" s="1" t="s">
        <v>11358</v>
      </c>
      <c r="H914" s="2" t="s">
        <v>5</v>
      </c>
      <c r="I914" s="2" t="s">
        <v>6</v>
      </c>
      <c r="J914" s="2" t="s">
        <v>5</v>
      </c>
      <c r="K914" s="2" t="s">
        <v>5</v>
      </c>
      <c r="L914" s="2" t="s">
        <v>7</v>
      </c>
      <c r="M914" s="1" t="s">
        <v>11359</v>
      </c>
      <c r="N914" s="1" t="s">
        <v>11360</v>
      </c>
      <c r="O914" s="2" t="s">
        <v>2448</v>
      </c>
      <c r="P914" s="1" t="s">
        <v>5911</v>
      </c>
      <c r="Q914" s="2" t="s">
        <v>1151</v>
      </c>
      <c r="R914" s="2" t="s">
        <v>5403</v>
      </c>
      <c r="S914" s="1" t="s">
        <v>10680</v>
      </c>
      <c r="T914" s="2" t="s">
        <v>13</v>
      </c>
      <c r="U914" s="3">
        <v>1</v>
      </c>
      <c r="V914" s="3">
        <v>1</v>
      </c>
      <c r="W914" s="4" t="s">
        <v>11361</v>
      </c>
      <c r="X914" s="4" t="s">
        <v>11361</v>
      </c>
      <c r="Y914" s="4" t="s">
        <v>8230</v>
      </c>
      <c r="Z914" s="4" t="s">
        <v>8230</v>
      </c>
      <c r="AA914" s="3">
        <v>132</v>
      </c>
      <c r="AB914" s="3">
        <v>102</v>
      </c>
      <c r="AC914" s="3">
        <v>104</v>
      </c>
      <c r="AD914" s="3">
        <v>1</v>
      </c>
      <c r="AE914" s="9">
        <v>1</v>
      </c>
      <c r="AF914" s="9">
        <v>2</v>
      </c>
      <c r="AG914" s="9">
        <v>2</v>
      </c>
      <c r="AH914" s="3">
        <v>1</v>
      </c>
      <c r="AI914" s="3">
        <v>1</v>
      </c>
      <c r="AJ914" s="3">
        <v>1</v>
      </c>
      <c r="AK914" s="3">
        <v>1</v>
      </c>
      <c r="AL914" s="3">
        <v>1</v>
      </c>
      <c r="AM914" s="3">
        <v>1</v>
      </c>
      <c r="AN914" s="3">
        <v>0</v>
      </c>
      <c r="AO914" s="3">
        <v>0</v>
      </c>
      <c r="AP914" s="3">
        <v>0</v>
      </c>
      <c r="AQ914" s="3">
        <v>0</v>
      </c>
      <c r="AR914" s="2" t="s">
        <v>5</v>
      </c>
      <c r="AS914" s="2" t="s">
        <v>46</v>
      </c>
      <c r="AT914" s="5" t="str">
        <f>HYPERLINK("http://catalog.hathitrust.org/Record/004076381","HathiTrust Record")</f>
        <v>HathiTrust Record</v>
      </c>
      <c r="AU914" s="5" t="str">
        <f>HYPERLINK("https://creighton-primo.hosted.exlibrisgroup.com/primo-explore/search?tab=default_tab&amp;search_scope=EVERYTHING&amp;vid=01CRU&amp;lang=en_US&amp;offset=0&amp;query=any,contains,991003255199702656","Catalog Record")</f>
        <v>Catalog Record</v>
      </c>
      <c r="AV914" s="5" t="str">
        <f>HYPERLINK("http://www.worldcat.org/oclc/43335872","WorldCat Record")</f>
        <v>WorldCat Record</v>
      </c>
      <c r="AW914" s="2" t="s">
        <v>11362</v>
      </c>
      <c r="AX914" s="2" t="s">
        <v>11363</v>
      </c>
      <c r="AY914" s="2" t="s">
        <v>11364</v>
      </c>
      <c r="AZ914" s="2" t="s">
        <v>11364</v>
      </c>
      <c r="BA914" s="2" t="s">
        <v>11365</v>
      </c>
      <c r="BB914" s="2" t="s">
        <v>20</v>
      </c>
      <c r="BD914" s="2" t="s">
        <v>11366</v>
      </c>
      <c r="BE914" s="2" t="s">
        <v>11367</v>
      </c>
      <c r="BF914" s="2" t="s">
        <v>11368</v>
      </c>
    </row>
    <row r="915" spans="1:58" ht="39.75" customHeight="1" x14ac:dyDescent="0.25">
      <c r="A915" s="7" t="s">
        <v>5</v>
      </c>
      <c r="B915" s="1" t="s">
        <v>0</v>
      </c>
      <c r="C915" s="1" t="s">
        <v>1</v>
      </c>
      <c r="D915" s="1" t="s">
        <v>11369</v>
      </c>
      <c r="E915" s="1" t="s">
        <v>11370</v>
      </c>
      <c r="F915" s="1" t="s">
        <v>11371</v>
      </c>
      <c r="H915" s="2" t="s">
        <v>5</v>
      </c>
      <c r="I915" s="2" t="s">
        <v>6</v>
      </c>
      <c r="J915" s="2" t="s">
        <v>5</v>
      </c>
      <c r="K915" s="2" t="s">
        <v>5</v>
      </c>
      <c r="L915" s="2" t="s">
        <v>7</v>
      </c>
      <c r="M915" s="1" t="s">
        <v>11359</v>
      </c>
      <c r="N915" s="1" t="s">
        <v>11372</v>
      </c>
      <c r="O915" s="2" t="s">
        <v>995</v>
      </c>
      <c r="P915" s="1" t="s">
        <v>5911</v>
      </c>
      <c r="Q915" s="2" t="s">
        <v>1151</v>
      </c>
      <c r="R915" s="2" t="s">
        <v>5403</v>
      </c>
      <c r="S915" s="1" t="s">
        <v>10680</v>
      </c>
      <c r="T915" s="2" t="s">
        <v>13</v>
      </c>
      <c r="U915" s="3">
        <v>1</v>
      </c>
      <c r="V915" s="3">
        <v>1</v>
      </c>
      <c r="W915" s="4" t="s">
        <v>9049</v>
      </c>
      <c r="X915" s="4" t="s">
        <v>9049</v>
      </c>
      <c r="Y915" s="4" t="s">
        <v>9659</v>
      </c>
      <c r="Z915" s="4" t="s">
        <v>9659</v>
      </c>
      <c r="AA915" s="3">
        <v>205</v>
      </c>
      <c r="AB915" s="3">
        <v>181</v>
      </c>
      <c r="AC915" s="3">
        <v>415</v>
      </c>
      <c r="AD915" s="3">
        <v>2</v>
      </c>
      <c r="AE915" s="9">
        <v>4</v>
      </c>
      <c r="AF915" s="9">
        <v>7</v>
      </c>
      <c r="AG915" s="9">
        <v>18</v>
      </c>
      <c r="AH915" s="3">
        <v>1</v>
      </c>
      <c r="AI915" s="3">
        <v>4</v>
      </c>
      <c r="AJ915" s="3">
        <v>4</v>
      </c>
      <c r="AK915" s="3">
        <v>6</v>
      </c>
      <c r="AL915" s="3">
        <v>4</v>
      </c>
      <c r="AM915" s="3">
        <v>10</v>
      </c>
      <c r="AN915" s="3">
        <v>1</v>
      </c>
      <c r="AO915" s="3">
        <v>2</v>
      </c>
      <c r="AP915" s="3">
        <v>0</v>
      </c>
      <c r="AQ915" s="3">
        <v>0</v>
      </c>
      <c r="AR915" s="2" t="s">
        <v>5</v>
      </c>
      <c r="AS915" s="2" t="s">
        <v>46</v>
      </c>
      <c r="AT915" s="5" t="str">
        <f>HYPERLINK("http://catalog.hathitrust.org/Record/002194590","HathiTrust Record")</f>
        <v>HathiTrust Record</v>
      </c>
      <c r="AU915" s="5" t="str">
        <f>HYPERLINK("https://creighton-primo.hosted.exlibrisgroup.com/primo-explore/search?tab=default_tab&amp;search_scope=EVERYTHING&amp;vid=01CRU&amp;lang=en_US&amp;offset=0&amp;query=any,contains,991005162899702656","Catalog Record")</f>
        <v>Catalog Record</v>
      </c>
      <c r="AV915" s="5" t="str">
        <f>HYPERLINK("http://www.worldcat.org/oclc/7801574","WorldCat Record")</f>
        <v>WorldCat Record</v>
      </c>
      <c r="AW915" s="2" t="s">
        <v>11373</v>
      </c>
      <c r="AX915" s="2" t="s">
        <v>11374</v>
      </c>
      <c r="AY915" s="2" t="s">
        <v>11375</v>
      </c>
      <c r="AZ915" s="2" t="s">
        <v>11375</v>
      </c>
      <c r="BA915" s="2" t="s">
        <v>11376</v>
      </c>
      <c r="BB915" s="2" t="s">
        <v>20</v>
      </c>
      <c r="BD915" s="2" t="s">
        <v>11377</v>
      </c>
      <c r="BE915" s="2" t="s">
        <v>11378</v>
      </c>
      <c r="BF915" s="2" t="s">
        <v>11379</v>
      </c>
    </row>
    <row r="916" spans="1:58" ht="39.75" customHeight="1" x14ac:dyDescent="0.25">
      <c r="A916" s="7" t="s">
        <v>5</v>
      </c>
      <c r="B916" s="1" t="s">
        <v>0</v>
      </c>
      <c r="C916" s="1" t="s">
        <v>1</v>
      </c>
      <c r="D916" s="1" t="s">
        <v>11380</v>
      </c>
      <c r="E916" s="1" t="s">
        <v>11381</v>
      </c>
      <c r="F916" s="1" t="s">
        <v>11382</v>
      </c>
      <c r="H916" s="2" t="s">
        <v>5</v>
      </c>
      <c r="I916" s="2" t="s">
        <v>6</v>
      </c>
      <c r="J916" s="2" t="s">
        <v>5</v>
      </c>
      <c r="K916" s="2" t="s">
        <v>5</v>
      </c>
      <c r="L916" s="2" t="s">
        <v>7</v>
      </c>
      <c r="M916" s="1" t="s">
        <v>11383</v>
      </c>
      <c r="N916" s="1" t="s">
        <v>11384</v>
      </c>
      <c r="O916" s="2" t="s">
        <v>554</v>
      </c>
      <c r="P916" s="1" t="s">
        <v>6210</v>
      </c>
      <c r="Q916" s="2" t="s">
        <v>1151</v>
      </c>
      <c r="R916" s="2" t="s">
        <v>5403</v>
      </c>
      <c r="S916" s="1" t="s">
        <v>10680</v>
      </c>
      <c r="T916" s="2" t="s">
        <v>13</v>
      </c>
      <c r="U916" s="3">
        <v>1</v>
      </c>
      <c r="V916" s="3">
        <v>1</v>
      </c>
      <c r="W916" s="4" t="s">
        <v>8639</v>
      </c>
      <c r="X916" s="4" t="s">
        <v>8639</v>
      </c>
      <c r="Y916" s="4" t="s">
        <v>8639</v>
      </c>
      <c r="Z916" s="4" t="s">
        <v>8639</v>
      </c>
      <c r="AA916" s="3">
        <v>64</v>
      </c>
      <c r="AB916" s="3">
        <v>48</v>
      </c>
      <c r="AC916" s="3">
        <v>70</v>
      </c>
      <c r="AD916" s="3">
        <v>2</v>
      </c>
      <c r="AE916" s="9">
        <v>2</v>
      </c>
      <c r="AF916" s="9">
        <v>2</v>
      </c>
      <c r="AG916" s="9">
        <v>4</v>
      </c>
      <c r="AH916" s="3">
        <v>0</v>
      </c>
      <c r="AI916" s="3">
        <v>2</v>
      </c>
      <c r="AJ916" s="3">
        <v>1</v>
      </c>
      <c r="AK916" s="3">
        <v>2</v>
      </c>
      <c r="AL916" s="3">
        <v>0</v>
      </c>
      <c r="AM916" s="3">
        <v>0</v>
      </c>
      <c r="AN916" s="3">
        <v>1</v>
      </c>
      <c r="AO916" s="3">
        <v>1</v>
      </c>
      <c r="AP916" s="3">
        <v>0</v>
      </c>
      <c r="AQ916" s="3">
        <v>0</v>
      </c>
      <c r="AR916" s="2" t="s">
        <v>5</v>
      </c>
      <c r="AS916" s="2" t="s">
        <v>46</v>
      </c>
      <c r="AT916" s="5" t="str">
        <f>HYPERLINK("http://catalog.hathitrust.org/Record/007136447","HathiTrust Record")</f>
        <v>HathiTrust Record</v>
      </c>
      <c r="AU916" s="5" t="str">
        <f>HYPERLINK("https://creighton-primo.hosted.exlibrisgroup.com/primo-explore/search?tab=default_tab&amp;search_scope=EVERYTHING&amp;vid=01CRU&amp;lang=en_US&amp;offset=0&amp;query=any,contains,991004333209702656","Catalog Record")</f>
        <v>Catalog Record</v>
      </c>
      <c r="AV916" s="5" t="str">
        <f>HYPERLINK("http://www.worldcat.org/oclc/17937966","WorldCat Record")</f>
        <v>WorldCat Record</v>
      </c>
      <c r="AW916" s="2" t="s">
        <v>11385</v>
      </c>
      <c r="AX916" s="2" t="s">
        <v>11386</v>
      </c>
      <c r="AY916" s="2" t="s">
        <v>11387</v>
      </c>
      <c r="AZ916" s="2" t="s">
        <v>11387</v>
      </c>
      <c r="BA916" s="2" t="s">
        <v>11388</v>
      </c>
      <c r="BB916" s="2" t="s">
        <v>20</v>
      </c>
      <c r="BD916" s="2" t="s">
        <v>11389</v>
      </c>
      <c r="BE916" s="2" t="s">
        <v>11390</v>
      </c>
      <c r="BF916" s="2" t="s">
        <v>11391</v>
      </c>
    </row>
    <row r="917" spans="1:58" ht="39.75" customHeight="1" x14ac:dyDescent="0.25">
      <c r="A917" s="7" t="s">
        <v>5</v>
      </c>
      <c r="B917" s="1" t="s">
        <v>0</v>
      </c>
      <c r="C917" s="1" t="s">
        <v>1</v>
      </c>
      <c r="D917" s="1" t="s">
        <v>11392</v>
      </c>
      <c r="E917" s="1" t="s">
        <v>11393</v>
      </c>
      <c r="F917" s="1" t="s">
        <v>11394</v>
      </c>
      <c r="H917" s="2" t="s">
        <v>5</v>
      </c>
      <c r="I917" s="2" t="s">
        <v>6</v>
      </c>
      <c r="J917" s="2" t="s">
        <v>5</v>
      </c>
      <c r="K917" s="2" t="s">
        <v>5</v>
      </c>
      <c r="L917" s="2" t="s">
        <v>7</v>
      </c>
      <c r="M917" s="1" t="s">
        <v>11359</v>
      </c>
      <c r="N917" s="1" t="s">
        <v>11395</v>
      </c>
      <c r="O917" s="2" t="s">
        <v>91</v>
      </c>
      <c r="P917" s="1" t="s">
        <v>2908</v>
      </c>
      <c r="Q917" s="2" t="s">
        <v>1151</v>
      </c>
      <c r="R917" s="2" t="s">
        <v>5403</v>
      </c>
      <c r="S917" s="1" t="s">
        <v>10680</v>
      </c>
      <c r="T917" s="2" t="s">
        <v>13</v>
      </c>
      <c r="U917" s="3">
        <v>1</v>
      </c>
      <c r="V917" s="3">
        <v>1</v>
      </c>
      <c r="W917" s="4" t="s">
        <v>11396</v>
      </c>
      <c r="X917" s="4" t="s">
        <v>11396</v>
      </c>
      <c r="Y917" s="4" t="s">
        <v>11397</v>
      </c>
      <c r="Z917" s="4" t="s">
        <v>11397</v>
      </c>
      <c r="AA917" s="3">
        <v>147</v>
      </c>
      <c r="AB917" s="3">
        <v>119</v>
      </c>
      <c r="AC917" s="3">
        <v>123</v>
      </c>
      <c r="AD917" s="3">
        <v>1</v>
      </c>
      <c r="AE917" s="9">
        <v>1</v>
      </c>
      <c r="AF917" s="9">
        <v>5</v>
      </c>
      <c r="AG917" s="9">
        <v>5</v>
      </c>
      <c r="AH917" s="3">
        <v>1</v>
      </c>
      <c r="AI917" s="3">
        <v>1</v>
      </c>
      <c r="AJ917" s="3">
        <v>2</v>
      </c>
      <c r="AK917" s="3">
        <v>2</v>
      </c>
      <c r="AL917" s="3">
        <v>3</v>
      </c>
      <c r="AM917" s="3">
        <v>3</v>
      </c>
      <c r="AN917" s="3">
        <v>0</v>
      </c>
      <c r="AO917" s="3">
        <v>0</v>
      </c>
      <c r="AP917" s="3">
        <v>0</v>
      </c>
      <c r="AQ917" s="3">
        <v>0</v>
      </c>
      <c r="AR917" s="2" t="s">
        <v>5</v>
      </c>
      <c r="AS917" s="2" t="s">
        <v>46</v>
      </c>
      <c r="AT917" s="5" t="str">
        <f>HYPERLINK("http://catalog.hathitrust.org/Record/003099271","HathiTrust Record")</f>
        <v>HathiTrust Record</v>
      </c>
      <c r="AU917" s="5" t="str">
        <f>HYPERLINK("https://creighton-primo.hosted.exlibrisgroup.com/primo-explore/search?tab=default_tab&amp;search_scope=EVERYTHING&amp;vid=01CRU&amp;lang=en_US&amp;offset=0&amp;query=any,contains,991002409109702656","Catalog Record")</f>
        <v>Catalog Record</v>
      </c>
      <c r="AV917" s="5" t="str">
        <f>HYPERLINK("http://www.worldcat.org/oclc/31360632","WorldCat Record")</f>
        <v>WorldCat Record</v>
      </c>
      <c r="AW917" s="2" t="s">
        <v>11398</v>
      </c>
      <c r="AX917" s="2" t="s">
        <v>11399</v>
      </c>
      <c r="AY917" s="2" t="s">
        <v>11400</v>
      </c>
      <c r="AZ917" s="2" t="s">
        <v>11400</v>
      </c>
      <c r="BA917" s="2" t="s">
        <v>11401</v>
      </c>
      <c r="BB917" s="2" t="s">
        <v>20</v>
      </c>
      <c r="BD917" s="2" t="s">
        <v>11402</v>
      </c>
      <c r="BE917" s="2" t="s">
        <v>11403</v>
      </c>
      <c r="BF917" s="2" t="s">
        <v>11404</v>
      </c>
    </row>
    <row r="918" spans="1:58" ht="39.75" customHeight="1" x14ac:dyDescent="0.25">
      <c r="A918" s="7" t="s">
        <v>5</v>
      </c>
      <c r="B918" s="1" t="s">
        <v>0</v>
      </c>
      <c r="C918" s="1" t="s">
        <v>1</v>
      </c>
      <c r="D918" s="1" t="s">
        <v>11405</v>
      </c>
      <c r="E918" s="1" t="s">
        <v>11406</v>
      </c>
      <c r="F918" s="1" t="s">
        <v>11407</v>
      </c>
      <c r="H918" s="2" t="s">
        <v>5</v>
      </c>
      <c r="I918" s="2" t="s">
        <v>6</v>
      </c>
      <c r="J918" s="2" t="s">
        <v>5</v>
      </c>
      <c r="K918" s="2" t="s">
        <v>5</v>
      </c>
      <c r="L918" s="2" t="s">
        <v>7</v>
      </c>
      <c r="N918" s="1" t="s">
        <v>11408</v>
      </c>
      <c r="O918" s="2" t="s">
        <v>322</v>
      </c>
      <c r="P918" s="1" t="s">
        <v>11409</v>
      </c>
      <c r="Q918" s="2" t="s">
        <v>1151</v>
      </c>
      <c r="R918" s="2" t="s">
        <v>5403</v>
      </c>
      <c r="S918" s="1" t="s">
        <v>10680</v>
      </c>
      <c r="T918" s="2" t="s">
        <v>13</v>
      </c>
      <c r="U918" s="3">
        <v>1</v>
      </c>
      <c r="V918" s="3">
        <v>1</v>
      </c>
      <c r="W918" s="4" t="s">
        <v>11410</v>
      </c>
      <c r="X918" s="4" t="s">
        <v>11410</v>
      </c>
      <c r="Y918" s="4" t="s">
        <v>5450</v>
      </c>
      <c r="Z918" s="4" t="s">
        <v>5450</v>
      </c>
      <c r="AA918" s="3">
        <v>90</v>
      </c>
      <c r="AB918" s="3">
        <v>68</v>
      </c>
      <c r="AC918" s="3">
        <v>76</v>
      </c>
      <c r="AD918" s="3">
        <v>1</v>
      </c>
      <c r="AE918" s="9">
        <v>1</v>
      </c>
      <c r="AF918" s="9">
        <v>4</v>
      </c>
      <c r="AG918" s="9">
        <v>5</v>
      </c>
      <c r="AH918" s="3">
        <v>0</v>
      </c>
      <c r="AI918" s="3">
        <v>0</v>
      </c>
      <c r="AJ918" s="3">
        <v>2</v>
      </c>
      <c r="AK918" s="3">
        <v>3</v>
      </c>
      <c r="AL918" s="3">
        <v>3</v>
      </c>
      <c r="AM918" s="3">
        <v>4</v>
      </c>
      <c r="AN918" s="3">
        <v>0</v>
      </c>
      <c r="AO918" s="3">
        <v>0</v>
      </c>
      <c r="AP918" s="3">
        <v>0</v>
      </c>
      <c r="AQ918" s="3">
        <v>0</v>
      </c>
      <c r="AR918" s="2" t="s">
        <v>5</v>
      </c>
      <c r="AS918" s="2" t="s">
        <v>46</v>
      </c>
      <c r="AT918" s="5" t="str">
        <f>HYPERLINK("http://catalog.hathitrust.org/Record/007129676","HathiTrust Record")</f>
        <v>HathiTrust Record</v>
      </c>
      <c r="AU918" s="5" t="str">
        <f>HYPERLINK("https://creighton-primo.hosted.exlibrisgroup.com/primo-explore/search?tab=default_tab&amp;search_scope=EVERYTHING&amp;vid=01CRU&amp;lang=en_US&amp;offset=0&amp;query=any,contains,991003772739702656","Catalog Record")</f>
        <v>Catalog Record</v>
      </c>
      <c r="AV918" s="5" t="str">
        <f>HYPERLINK("http://www.worldcat.org/oclc/30702031","WorldCat Record")</f>
        <v>WorldCat Record</v>
      </c>
      <c r="AW918" s="2" t="s">
        <v>11411</v>
      </c>
      <c r="AX918" s="2" t="s">
        <v>11412</v>
      </c>
      <c r="AY918" s="2" t="s">
        <v>11413</v>
      </c>
      <c r="AZ918" s="2" t="s">
        <v>11413</v>
      </c>
      <c r="BA918" s="2" t="s">
        <v>11414</v>
      </c>
      <c r="BB918" s="2" t="s">
        <v>20</v>
      </c>
      <c r="BD918" s="2" t="s">
        <v>11415</v>
      </c>
      <c r="BE918" s="2" t="s">
        <v>11416</v>
      </c>
      <c r="BF918" s="2" t="s">
        <v>11417</v>
      </c>
    </row>
    <row r="919" spans="1:58" ht="39.75" customHeight="1" x14ac:dyDescent="0.25">
      <c r="A919" s="7" t="s">
        <v>5</v>
      </c>
      <c r="B919" s="1" t="s">
        <v>0</v>
      </c>
      <c r="C919" s="1" t="s">
        <v>1</v>
      </c>
      <c r="D919" s="1" t="s">
        <v>11418</v>
      </c>
      <c r="E919" s="1" t="s">
        <v>11419</v>
      </c>
      <c r="F919" s="1" t="s">
        <v>11420</v>
      </c>
      <c r="H919" s="2" t="s">
        <v>5</v>
      </c>
      <c r="I919" s="2" t="s">
        <v>6</v>
      </c>
      <c r="J919" s="2" t="s">
        <v>5</v>
      </c>
      <c r="K919" s="2" t="s">
        <v>5</v>
      </c>
      <c r="L919" s="2" t="s">
        <v>7</v>
      </c>
      <c r="M919" s="1" t="s">
        <v>11421</v>
      </c>
      <c r="N919" s="1" t="s">
        <v>11422</v>
      </c>
      <c r="O919" s="2" t="s">
        <v>3250</v>
      </c>
      <c r="P919" s="1" t="s">
        <v>1377</v>
      </c>
      <c r="Q919" s="2" t="s">
        <v>60</v>
      </c>
      <c r="R919" s="2" t="s">
        <v>61</v>
      </c>
      <c r="T919" s="2" t="s">
        <v>13</v>
      </c>
      <c r="U919" s="3">
        <v>1</v>
      </c>
      <c r="V919" s="3">
        <v>1</v>
      </c>
      <c r="W919" s="4" t="s">
        <v>11423</v>
      </c>
      <c r="X919" s="4" t="s">
        <v>11423</v>
      </c>
      <c r="Y919" s="4" t="s">
        <v>11423</v>
      </c>
      <c r="Z919" s="4" t="s">
        <v>11423</v>
      </c>
      <c r="AA919" s="3">
        <v>424</v>
      </c>
      <c r="AB919" s="3">
        <v>410</v>
      </c>
      <c r="AC919" s="3">
        <v>446</v>
      </c>
      <c r="AD919" s="3">
        <v>3</v>
      </c>
      <c r="AE919" s="9">
        <v>3</v>
      </c>
      <c r="AF919" s="9">
        <v>15</v>
      </c>
      <c r="AG919" s="9">
        <v>15</v>
      </c>
      <c r="AH919" s="3">
        <v>4</v>
      </c>
      <c r="AI919" s="3">
        <v>4</v>
      </c>
      <c r="AJ919" s="3">
        <v>6</v>
      </c>
      <c r="AK919" s="3">
        <v>6</v>
      </c>
      <c r="AL919" s="3">
        <v>7</v>
      </c>
      <c r="AM919" s="3">
        <v>7</v>
      </c>
      <c r="AN919" s="3">
        <v>2</v>
      </c>
      <c r="AO919" s="3">
        <v>2</v>
      </c>
      <c r="AP919" s="3">
        <v>0</v>
      </c>
      <c r="AQ919" s="3">
        <v>0</v>
      </c>
      <c r="AR919" s="2" t="s">
        <v>5</v>
      </c>
      <c r="AS919" s="2" t="s">
        <v>5</v>
      </c>
      <c r="AU919" s="5" t="str">
        <f>HYPERLINK("https://creighton-primo.hosted.exlibrisgroup.com/primo-explore/search?tab=default_tab&amp;search_scope=EVERYTHING&amp;vid=01CRU&amp;lang=en_US&amp;offset=0&amp;query=any,contains,991004079849702656","Catalog Record")</f>
        <v>Catalog Record</v>
      </c>
      <c r="AV919" s="5" t="str">
        <f>HYPERLINK("http://www.worldcat.org/oclc/50982408","WorldCat Record")</f>
        <v>WorldCat Record</v>
      </c>
      <c r="AW919" s="2" t="s">
        <v>11424</v>
      </c>
      <c r="AX919" s="2" t="s">
        <v>11425</v>
      </c>
      <c r="AY919" s="2" t="s">
        <v>11426</v>
      </c>
      <c r="AZ919" s="2" t="s">
        <v>11426</v>
      </c>
      <c r="BA919" s="2" t="s">
        <v>11427</v>
      </c>
      <c r="BB919" s="2" t="s">
        <v>20</v>
      </c>
      <c r="BD919" s="2" t="s">
        <v>11428</v>
      </c>
      <c r="BE919" s="2" t="s">
        <v>11429</v>
      </c>
      <c r="BF919" s="2" t="s">
        <v>11430</v>
      </c>
    </row>
    <row r="920" spans="1:58" ht="39.75" customHeight="1" x14ac:dyDescent="0.25">
      <c r="A920" s="7" t="s">
        <v>5</v>
      </c>
      <c r="B920" s="1" t="s">
        <v>0</v>
      </c>
      <c r="C920" s="1" t="s">
        <v>1</v>
      </c>
      <c r="D920" s="1" t="s">
        <v>11431</v>
      </c>
      <c r="E920" s="1" t="s">
        <v>11432</v>
      </c>
      <c r="F920" s="1" t="s">
        <v>11433</v>
      </c>
      <c r="H920" s="2" t="s">
        <v>5</v>
      </c>
      <c r="I920" s="2" t="s">
        <v>6</v>
      </c>
      <c r="J920" s="2" t="s">
        <v>5</v>
      </c>
      <c r="K920" s="2" t="s">
        <v>5</v>
      </c>
      <c r="L920" s="2" t="s">
        <v>7</v>
      </c>
      <c r="M920" s="1" t="s">
        <v>11434</v>
      </c>
      <c r="N920" s="1" t="s">
        <v>11435</v>
      </c>
      <c r="O920" s="2" t="s">
        <v>569</v>
      </c>
      <c r="P920" s="1" t="s">
        <v>11436</v>
      </c>
      <c r="Q920" s="2" t="s">
        <v>1151</v>
      </c>
      <c r="R920" s="2" t="s">
        <v>5403</v>
      </c>
      <c r="T920" s="2" t="s">
        <v>13</v>
      </c>
      <c r="U920" s="3">
        <v>1</v>
      </c>
      <c r="V920" s="3">
        <v>1</v>
      </c>
      <c r="W920" s="4" t="s">
        <v>5941</v>
      </c>
      <c r="X920" s="4" t="s">
        <v>5941</v>
      </c>
      <c r="Y920" s="4" t="s">
        <v>5450</v>
      </c>
      <c r="Z920" s="4" t="s">
        <v>5450</v>
      </c>
      <c r="AA920" s="3">
        <v>98</v>
      </c>
      <c r="AB920" s="3">
        <v>82</v>
      </c>
      <c r="AC920" s="3">
        <v>83</v>
      </c>
      <c r="AD920" s="3">
        <v>1</v>
      </c>
      <c r="AE920" s="9">
        <v>1</v>
      </c>
      <c r="AF920" s="9">
        <v>2</v>
      </c>
      <c r="AG920" s="9">
        <v>2</v>
      </c>
      <c r="AH920" s="3">
        <v>0</v>
      </c>
      <c r="AI920" s="3">
        <v>0</v>
      </c>
      <c r="AJ920" s="3">
        <v>1</v>
      </c>
      <c r="AK920" s="3">
        <v>1</v>
      </c>
      <c r="AL920" s="3">
        <v>2</v>
      </c>
      <c r="AM920" s="3">
        <v>2</v>
      </c>
      <c r="AN920" s="3">
        <v>0</v>
      </c>
      <c r="AO920" s="3">
        <v>0</v>
      </c>
      <c r="AP920" s="3">
        <v>0</v>
      </c>
      <c r="AQ920" s="3">
        <v>0</v>
      </c>
      <c r="AR920" s="2" t="s">
        <v>5</v>
      </c>
      <c r="AS920" s="2" t="s">
        <v>46</v>
      </c>
      <c r="AT920" s="5" t="str">
        <f>HYPERLINK("http://catalog.hathitrust.org/Record/007148871","HathiTrust Record")</f>
        <v>HathiTrust Record</v>
      </c>
      <c r="AU920" s="5" t="str">
        <f>HYPERLINK("https://creighton-primo.hosted.exlibrisgroup.com/primo-explore/search?tab=default_tab&amp;search_scope=EVERYTHING&amp;vid=01CRU&amp;lang=en_US&amp;offset=0&amp;query=any,contains,991003772149702656","Catalog Record")</f>
        <v>Catalog Record</v>
      </c>
      <c r="AV920" s="5" t="str">
        <f>HYPERLINK("http://www.worldcat.org/oclc/41394249","WorldCat Record")</f>
        <v>WorldCat Record</v>
      </c>
      <c r="AW920" s="2" t="s">
        <v>11437</v>
      </c>
      <c r="AX920" s="2" t="s">
        <v>11438</v>
      </c>
      <c r="AY920" s="2" t="s">
        <v>11439</v>
      </c>
      <c r="AZ920" s="2" t="s">
        <v>11439</v>
      </c>
      <c r="BA920" s="2" t="s">
        <v>11440</v>
      </c>
      <c r="BB920" s="2" t="s">
        <v>20</v>
      </c>
      <c r="BD920" s="2" t="s">
        <v>11441</v>
      </c>
      <c r="BE920" s="2" t="s">
        <v>11442</v>
      </c>
      <c r="BF920" s="2" t="s">
        <v>11443</v>
      </c>
    </row>
    <row r="921" spans="1:58" ht="39.75" customHeight="1" x14ac:dyDescent="0.25">
      <c r="A921" s="7" t="s">
        <v>5</v>
      </c>
      <c r="B921" s="1" t="s">
        <v>0</v>
      </c>
      <c r="C921" s="1" t="s">
        <v>1</v>
      </c>
      <c r="D921" s="1" t="s">
        <v>11444</v>
      </c>
      <c r="E921" s="1" t="s">
        <v>11445</v>
      </c>
      <c r="F921" s="1" t="s">
        <v>11446</v>
      </c>
      <c r="H921" s="2" t="s">
        <v>5</v>
      </c>
      <c r="I921" s="2" t="s">
        <v>6</v>
      </c>
      <c r="J921" s="2" t="s">
        <v>5</v>
      </c>
      <c r="K921" s="2" t="s">
        <v>5</v>
      </c>
      <c r="L921" s="2" t="s">
        <v>7</v>
      </c>
      <c r="M921" s="1" t="s">
        <v>11434</v>
      </c>
      <c r="N921" s="1" t="s">
        <v>11447</v>
      </c>
      <c r="O921" s="2" t="s">
        <v>2610</v>
      </c>
      <c r="P921" s="1" t="s">
        <v>11448</v>
      </c>
      <c r="Q921" s="2" t="s">
        <v>1151</v>
      </c>
      <c r="R921" s="2" t="s">
        <v>5403</v>
      </c>
      <c r="S921" s="1" t="s">
        <v>10680</v>
      </c>
      <c r="T921" s="2" t="s">
        <v>13</v>
      </c>
      <c r="U921" s="3">
        <v>1</v>
      </c>
      <c r="V921" s="3">
        <v>1</v>
      </c>
      <c r="W921" s="4" t="s">
        <v>10422</v>
      </c>
      <c r="X921" s="4" t="s">
        <v>10422</v>
      </c>
      <c r="Y921" s="4" t="s">
        <v>10422</v>
      </c>
      <c r="Z921" s="4" t="s">
        <v>10422</v>
      </c>
      <c r="AA921" s="3">
        <v>59</v>
      </c>
      <c r="AB921" s="3">
        <v>48</v>
      </c>
      <c r="AC921" s="3">
        <v>147</v>
      </c>
      <c r="AD921" s="3">
        <v>1</v>
      </c>
      <c r="AE921" s="9">
        <v>2</v>
      </c>
      <c r="AF921" s="9">
        <v>3</v>
      </c>
      <c r="AG921" s="9">
        <v>6</v>
      </c>
      <c r="AH921" s="3">
        <v>1</v>
      </c>
      <c r="AI921" s="3">
        <v>1</v>
      </c>
      <c r="AJ921" s="3">
        <v>1</v>
      </c>
      <c r="AK921" s="3">
        <v>2</v>
      </c>
      <c r="AL921" s="3">
        <v>1</v>
      </c>
      <c r="AM921" s="3">
        <v>2</v>
      </c>
      <c r="AN921" s="3">
        <v>0</v>
      </c>
      <c r="AO921" s="3">
        <v>1</v>
      </c>
      <c r="AP921" s="3">
        <v>0</v>
      </c>
      <c r="AQ921" s="3">
        <v>0</v>
      </c>
      <c r="AR921" s="2" t="s">
        <v>5</v>
      </c>
      <c r="AS921" s="2" t="s">
        <v>5</v>
      </c>
      <c r="AU921" s="5" t="str">
        <f>HYPERLINK("https://creighton-primo.hosted.exlibrisgroup.com/primo-explore/search?tab=default_tab&amp;search_scope=EVERYTHING&amp;vid=01CRU&amp;lang=en_US&amp;offset=0&amp;query=any,contains,991003254519702656","Catalog Record")</f>
        <v>Catalog Record</v>
      </c>
      <c r="AV921" s="5" t="str">
        <f>HYPERLINK("http://www.worldcat.org/oclc/21478645","WorldCat Record")</f>
        <v>WorldCat Record</v>
      </c>
      <c r="AW921" s="2" t="s">
        <v>11449</v>
      </c>
      <c r="AX921" s="2" t="s">
        <v>11450</v>
      </c>
      <c r="AY921" s="2" t="s">
        <v>11451</v>
      </c>
      <c r="AZ921" s="2" t="s">
        <v>11451</v>
      </c>
      <c r="BA921" s="2" t="s">
        <v>11452</v>
      </c>
      <c r="BB921" s="2" t="s">
        <v>20</v>
      </c>
      <c r="BD921" s="2" t="s">
        <v>11453</v>
      </c>
      <c r="BE921" s="2" t="s">
        <v>11454</v>
      </c>
      <c r="BF921" s="2" t="s">
        <v>11455</v>
      </c>
    </row>
    <row r="922" spans="1:58" ht="39.75" customHeight="1" x14ac:dyDescent="0.25">
      <c r="A922" s="7" t="s">
        <v>5</v>
      </c>
      <c r="B922" s="1" t="s">
        <v>0</v>
      </c>
      <c r="C922" s="1" t="s">
        <v>1</v>
      </c>
      <c r="D922" s="1" t="s">
        <v>11456</v>
      </c>
      <c r="E922" s="1" t="s">
        <v>11457</v>
      </c>
      <c r="F922" s="1" t="s">
        <v>11458</v>
      </c>
      <c r="H922" s="2" t="s">
        <v>5</v>
      </c>
      <c r="I922" s="2" t="s">
        <v>6</v>
      </c>
      <c r="J922" s="2" t="s">
        <v>5</v>
      </c>
      <c r="K922" s="2" t="s">
        <v>5</v>
      </c>
      <c r="L922" s="2" t="s">
        <v>7</v>
      </c>
      <c r="M922" s="1" t="s">
        <v>11434</v>
      </c>
      <c r="N922" s="1" t="s">
        <v>11459</v>
      </c>
      <c r="O922" s="2" t="s">
        <v>3817</v>
      </c>
      <c r="Q922" s="2" t="s">
        <v>1151</v>
      </c>
      <c r="R922" s="2" t="s">
        <v>5403</v>
      </c>
      <c r="S922" s="1" t="s">
        <v>11460</v>
      </c>
      <c r="T922" s="2" t="s">
        <v>13</v>
      </c>
      <c r="U922" s="3">
        <v>2</v>
      </c>
      <c r="V922" s="3">
        <v>2</v>
      </c>
      <c r="W922" s="4" t="s">
        <v>10422</v>
      </c>
      <c r="X922" s="4" t="s">
        <v>10422</v>
      </c>
      <c r="Y922" s="4" t="s">
        <v>10422</v>
      </c>
      <c r="Z922" s="4" t="s">
        <v>10422</v>
      </c>
      <c r="AA922" s="3">
        <v>60</v>
      </c>
      <c r="AB922" s="3">
        <v>55</v>
      </c>
      <c r="AC922" s="3">
        <v>63</v>
      </c>
      <c r="AD922" s="3">
        <v>1</v>
      </c>
      <c r="AE922" s="9">
        <v>1</v>
      </c>
      <c r="AF922" s="9">
        <v>2</v>
      </c>
      <c r="AG922" s="9">
        <v>3</v>
      </c>
      <c r="AH922" s="3">
        <v>0</v>
      </c>
      <c r="AI922" s="3">
        <v>1</v>
      </c>
      <c r="AJ922" s="3">
        <v>1</v>
      </c>
      <c r="AK922" s="3">
        <v>1</v>
      </c>
      <c r="AL922" s="3">
        <v>2</v>
      </c>
      <c r="AM922" s="3">
        <v>3</v>
      </c>
      <c r="AN922" s="3">
        <v>0</v>
      </c>
      <c r="AO922" s="3">
        <v>0</v>
      </c>
      <c r="AP922" s="3">
        <v>0</v>
      </c>
      <c r="AQ922" s="3">
        <v>0</v>
      </c>
      <c r="AR922" s="2" t="s">
        <v>5</v>
      </c>
      <c r="AS922" s="2" t="s">
        <v>46</v>
      </c>
      <c r="AT922" s="5" t="str">
        <f>HYPERLINK("http://catalog.hathitrust.org/Record/004016357","HathiTrust Record")</f>
        <v>HathiTrust Record</v>
      </c>
      <c r="AU922" s="5" t="str">
        <f>HYPERLINK("https://creighton-primo.hosted.exlibrisgroup.com/primo-explore/search?tab=default_tab&amp;search_scope=EVERYTHING&amp;vid=01CRU&amp;lang=en_US&amp;offset=0&amp;query=any,contains,991003254549702656","Catalog Record")</f>
        <v>Catalog Record</v>
      </c>
      <c r="AV922" s="5" t="str">
        <f>HYPERLINK("http://www.worldcat.org/oclc/38417833","WorldCat Record")</f>
        <v>WorldCat Record</v>
      </c>
      <c r="AW922" s="2" t="s">
        <v>11461</v>
      </c>
      <c r="AX922" s="2" t="s">
        <v>11462</v>
      </c>
      <c r="AY922" s="2" t="s">
        <v>11463</v>
      </c>
      <c r="AZ922" s="2" t="s">
        <v>11463</v>
      </c>
      <c r="BA922" s="2" t="s">
        <v>11464</v>
      </c>
      <c r="BB922" s="2" t="s">
        <v>20</v>
      </c>
      <c r="BD922" s="2" t="s">
        <v>11465</v>
      </c>
      <c r="BE922" s="2" t="s">
        <v>11466</v>
      </c>
      <c r="BF922" s="2" t="s">
        <v>11467</v>
      </c>
    </row>
    <row r="923" spans="1:58" ht="39.75" customHeight="1" x14ac:dyDescent="0.25">
      <c r="A923" s="7" t="s">
        <v>5</v>
      </c>
      <c r="B923" s="1" t="s">
        <v>0</v>
      </c>
      <c r="C923" s="1" t="s">
        <v>1</v>
      </c>
      <c r="D923" s="1" t="s">
        <v>11468</v>
      </c>
      <c r="E923" s="1" t="s">
        <v>11469</v>
      </c>
      <c r="F923" s="1" t="s">
        <v>11470</v>
      </c>
      <c r="H923" s="2" t="s">
        <v>5</v>
      </c>
      <c r="I923" s="2" t="s">
        <v>6</v>
      </c>
      <c r="J923" s="2" t="s">
        <v>5</v>
      </c>
      <c r="K923" s="2" t="s">
        <v>5</v>
      </c>
      <c r="L923" s="2" t="s">
        <v>7</v>
      </c>
      <c r="M923" s="1" t="s">
        <v>11434</v>
      </c>
      <c r="N923" s="1" t="s">
        <v>11471</v>
      </c>
      <c r="O923" s="2" t="s">
        <v>569</v>
      </c>
      <c r="P923" s="1" t="s">
        <v>2908</v>
      </c>
      <c r="Q923" s="2" t="s">
        <v>1151</v>
      </c>
      <c r="R923" s="2" t="s">
        <v>1152</v>
      </c>
      <c r="S923" s="1" t="s">
        <v>10680</v>
      </c>
      <c r="T923" s="2" t="s">
        <v>13</v>
      </c>
      <c r="U923" s="3">
        <v>1</v>
      </c>
      <c r="V923" s="3">
        <v>1</v>
      </c>
      <c r="W923" s="4" t="s">
        <v>10422</v>
      </c>
      <c r="X923" s="4" t="s">
        <v>10422</v>
      </c>
      <c r="Y923" s="4" t="s">
        <v>10422</v>
      </c>
      <c r="Z923" s="4" t="s">
        <v>10422</v>
      </c>
      <c r="AA923" s="3">
        <v>98</v>
      </c>
      <c r="AB923" s="3">
        <v>81</v>
      </c>
      <c r="AC923" s="3">
        <v>97</v>
      </c>
      <c r="AD923" s="3">
        <v>1</v>
      </c>
      <c r="AE923" s="9">
        <v>1</v>
      </c>
      <c r="AF923" s="9">
        <v>2</v>
      </c>
      <c r="AG923" s="9">
        <v>2</v>
      </c>
      <c r="AH923" s="3">
        <v>0</v>
      </c>
      <c r="AI923" s="3">
        <v>0</v>
      </c>
      <c r="AJ923" s="3">
        <v>1</v>
      </c>
      <c r="AK923" s="3">
        <v>1</v>
      </c>
      <c r="AL923" s="3">
        <v>2</v>
      </c>
      <c r="AM923" s="3">
        <v>2</v>
      </c>
      <c r="AN923" s="3">
        <v>0</v>
      </c>
      <c r="AO923" s="3">
        <v>0</v>
      </c>
      <c r="AP923" s="3">
        <v>0</v>
      </c>
      <c r="AQ923" s="3">
        <v>0</v>
      </c>
      <c r="AR923" s="2" t="s">
        <v>5</v>
      </c>
      <c r="AS923" s="2" t="s">
        <v>46</v>
      </c>
      <c r="AT923" s="5" t="str">
        <f>HYPERLINK("http://catalog.hathitrust.org/Record/004020090","HathiTrust Record")</f>
        <v>HathiTrust Record</v>
      </c>
      <c r="AU923" s="5" t="str">
        <f>HYPERLINK("https://creighton-primo.hosted.exlibrisgroup.com/primo-explore/search?tab=default_tab&amp;search_scope=EVERYTHING&amp;vid=01CRU&amp;lang=en_US&amp;offset=0&amp;query=any,contains,991003254589702656","Catalog Record")</f>
        <v>Catalog Record</v>
      </c>
      <c r="AV923" s="5" t="str">
        <f>HYPERLINK("http://www.worldcat.org/oclc/40986933","WorldCat Record")</f>
        <v>WorldCat Record</v>
      </c>
      <c r="AW923" s="2" t="s">
        <v>11472</v>
      </c>
      <c r="AX923" s="2" t="s">
        <v>11473</v>
      </c>
      <c r="AY923" s="2" t="s">
        <v>11474</v>
      </c>
      <c r="AZ923" s="2" t="s">
        <v>11474</v>
      </c>
      <c r="BA923" s="2" t="s">
        <v>11475</v>
      </c>
      <c r="BB923" s="2" t="s">
        <v>20</v>
      </c>
      <c r="BD923" s="2" t="s">
        <v>11476</v>
      </c>
      <c r="BE923" s="2" t="s">
        <v>11477</v>
      </c>
      <c r="BF923" s="2" t="s">
        <v>11478</v>
      </c>
    </row>
    <row r="924" spans="1:58" ht="39.75" customHeight="1" x14ac:dyDescent="0.25">
      <c r="A924" s="7" t="s">
        <v>5</v>
      </c>
      <c r="B924" s="1" t="s">
        <v>0</v>
      </c>
      <c r="C924" s="1" t="s">
        <v>1</v>
      </c>
      <c r="D924" s="1" t="s">
        <v>11479</v>
      </c>
      <c r="E924" s="1" t="s">
        <v>11480</v>
      </c>
      <c r="F924" s="1" t="s">
        <v>11481</v>
      </c>
      <c r="H924" s="2" t="s">
        <v>5</v>
      </c>
      <c r="I924" s="2" t="s">
        <v>6</v>
      </c>
      <c r="J924" s="2" t="s">
        <v>5</v>
      </c>
      <c r="K924" s="2" t="s">
        <v>5</v>
      </c>
      <c r="L924" s="2" t="s">
        <v>7</v>
      </c>
      <c r="M924" s="1" t="s">
        <v>11434</v>
      </c>
      <c r="N924" s="1" t="s">
        <v>11482</v>
      </c>
      <c r="O924" s="2" t="s">
        <v>42</v>
      </c>
      <c r="P924" s="1" t="s">
        <v>2908</v>
      </c>
      <c r="Q924" s="2" t="s">
        <v>1151</v>
      </c>
      <c r="R924" s="2" t="s">
        <v>5403</v>
      </c>
      <c r="S924" s="1" t="s">
        <v>11483</v>
      </c>
      <c r="T924" s="2" t="s">
        <v>13</v>
      </c>
      <c r="U924" s="3">
        <v>1</v>
      </c>
      <c r="V924" s="3">
        <v>1</v>
      </c>
      <c r="W924" s="4" t="s">
        <v>8230</v>
      </c>
      <c r="X924" s="4" t="s">
        <v>8230</v>
      </c>
      <c r="Y924" s="4" t="s">
        <v>8230</v>
      </c>
      <c r="Z924" s="4" t="s">
        <v>8230</v>
      </c>
      <c r="AA924" s="3">
        <v>104</v>
      </c>
      <c r="AB924" s="3">
        <v>90</v>
      </c>
      <c r="AC924" s="3">
        <v>140</v>
      </c>
      <c r="AD924" s="3">
        <v>2</v>
      </c>
      <c r="AE924" s="9">
        <v>2</v>
      </c>
      <c r="AF924" s="9">
        <v>4</v>
      </c>
      <c r="AG924" s="9">
        <v>6</v>
      </c>
      <c r="AH924" s="3">
        <v>1</v>
      </c>
      <c r="AI924" s="3">
        <v>1</v>
      </c>
      <c r="AJ924" s="3">
        <v>1</v>
      </c>
      <c r="AK924" s="3">
        <v>2</v>
      </c>
      <c r="AL924" s="3">
        <v>1</v>
      </c>
      <c r="AM924" s="3">
        <v>3</v>
      </c>
      <c r="AN924" s="3">
        <v>1</v>
      </c>
      <c r="AO924" s="3">
        <v>1</v>
      </c>
      <c r="AP924" s="3">
        <v>0</v>
      </c>
      <c r="AQ924" s="3">
        <v>0</v>
      </c>
      <c r="AR924" s="2" t="s">
        <v>5</v>
      </c>
      <c r="AS924" s="2" t="s">
        <v>5</v>
      </c>
      <c r="AU924" s="5" t="str">
        <f>HYPERLINK("https://creighton-primo.hosted.exlibrisgroup.com/primo-explore/search?tab=default_tab&amp;search_scope=EVERYTHING&amp;vid=01CRU&amp;lang=en_US&amp;offset=0&amp;query=any,contains,991003254619702656","Catalog Record")</f>
        <v>Catalog Record</v>
      </c>
      <c r="AV924" s="5" t="str">
        <f>HYPERLINK("http://www.worldcat.org/oclc/23890963","WorldCat Record")</f>
        <v>WorldCat Record</v>
      </c>
      <c r="AW924" s="2" t="s">
        <v>11484</v>
      </c>
      <c r="AX924" s="2" t="s">
        <v>11485</v>
      </c>
      <c r="AY924" s="2" t="s">
        <v>11486</v>
      </c>
      <c r="AZ924" s="2" t="s">
        <v>11486</v>
      </c>
      <c r="BA924" s="2" t="s">
        <v>11487</v>
      </c>
      <c r="BB924" s="2" t="s">
        <v>20</v>
      </c>
      <c r="BD924" s="2" t="s">
        <v>11488</v>
      </c>
      <c r="BE924" s="2" t="s">
        <v>11489</v>
      </c>
      <c r="BF924" s="2" t="s">
        <v>11490</v>
      </c>
    </row>
    <row r="925" spans="1:58" ht="39.75" customHeight="1" x14ac:dyDescent="0.25">
      <c r="A925" s="7" t="s">
        <v>5</v>
      </c>
      <c r="B925" s="1" t="s">
        <v>0</v>
      </c>
      <c r="C925" s="1" t="s">
        <v>1</v>
      </c>
      <c r="D925" s="1" t="s">
        <v>11491</v>
      </c>
      <c r="E925" s="1" t="s">
        <v>11492</v>
      </c>
      <c r="F925" s="1" t="s">
        <v>11493</v>
      </c>
      <c r="H925" s="2" t="s">
        <v>5</v>
      </c>
      <c r="I925" s="2" t="s">
        <v>6</v>
      </c>
      <c r="J925" s="2" t="s">
        <v>5</v>
      </c>
      <c r="K925" s="2" t="s">
        <v>5</v>
      </c>
      <c r="L925" s="2" t="s">
        <v>7</v>
      </c>
      <c r="N925" s="1" t="s">
        <v>10679</v>
      </c>
      <c r="O925" s="2" t="s">
        <v>508</v>
      </c>
      <c r="P925" s="1" t="s">
        <v>2908</v>
      </c>
      <c r="Q925" s="2" t="s">
        <v>1151</v>
      </c>
      <c r="R925" s="2" t="s">
        <v>5403</v>
      </c>
      <c r="S925" s="1" t="s">
        <v>10680</v>
      </c>
      <c r="T925" s="2" t="s">
        <v>13</v>
      </c>
      <c r="U925" s="3">
        <v>1</v>
      </c>
      <c r="V925" s="3">
        <v>1</v>
      </c>
      <c r="W925" s="4" t="s">
        <v>10681</v>
      </c>
      <c r="X925" s="4" t="s">
        <v>10681</v>
      </c>
      <c r="Y925" s="4" t="s">
        <v>10681</v>
      </c>
      <c r="Z925" s="4" t="s">
        <v>10681</v>
      </c>
      <c r="AA925" s="3">
        <v>74</v>
      </c>
      <c r="AB925" s="3">
        <v>63</v>
      </c>
      <c r="AC925" s="3">
        <v>65</v>
      </c>
      <c r="AD925" s="3">
        <v>1</v>
      </c>
      <c r="AE925" s="9">
        <v>1</v>
      </c>
      <c r="AF925" s="9">
        <v>2</v>
      </c>
      <c r="AG925" s="9">
        <v>2</v>
      </c>
      <c r="AH925" s="3">
        <v>0</v>
      </c>
      <c r="AI925" s="3">
        <v>0</v>
      </c>
      <c r="AJ925" s="3">
        <v>2</v>
      </c>
      <c r="AK925" s="3">
        <v>2</v>
      </c>
      <c r="AL925" s="3">
        <v>1</v>
      </c>
      <c r="AM925" s="3">
        <v>1</v>
      </c>
      <c r="AN925" s="3">
        <v>0</v>
      </c>
      <c r="AO925" s="3">
        <v>0</v>
      </c>
      <c r="AP925" s="3">
        <v>0</v>
      </c>
      <c r="AQ925" s="3">
        <v>0</v>
      </c>
      <c r="AR925" s="2" t="s">
        <v>5</v>
      </c>
      <c r="AS925" s="2" t="s">
        <v>46</v>
      </c>
      <c r="AT925" s="5" t="str">
        <f>HYPERLINK("http://catalog.hathitrust.org/Record/004246326","HathiTrust Record")</f>
        <v>HathiTrust Record</v>
      </c>
      <c r="AU925" s="5" t="str">
        <f>HYPERLINK("https://creighton-primo.hosted.exlibrisgroup.com/primo-explore/search?tab=default_tab&amp;search_scope=EVERYTHING&amp;vid=01CRU&amp;lang=en_US&amp;offset=0&amp;query=any,contains,991003926339702656","Catalog Record")</f>
        <v>Catalog Record</v>
      </c>
      <c r="AV925" s="5" t="str">
        <f>HYPERLINK("http://www.worldcat.org/oclc/57751428","WorldCat Record")</f>
        <v>WorldCat Record</v>
      </c>
      <c r="AW925" s="2" t="s">
        <v>11494</v>
      </c>
      <c r="AX925" s="2" t="s">
        <v>11495</v>
      </c>
      <c r="AY925" s="2" t="s">
        <v>11496</v>
      </c>
      <c r="AZ925" s="2" t="s">
        <v>11496</v>
      </c>
      <c r="BA925" s="2" t="s">
        <v>11497</v>
      </c>
      <c r="BB925" s="2" t="s">
        <v>20</v>
      </c>
      <c r="BD925" s="2" t="s">
        <v>11498</v>
      </c>
      <c r="BE925" s="2" t="s">
        <v>11499</v>
      </c>
      <c r="BF925" s="2" t="s">
        <v>11500</v>
      </c>
    </row>
    <row r="926" spans="1:58" ht="39.75" customHeight="1" x14ac:dyDescent="0.25">
      <c r="A926" s="7" t="s">
        <v>5</v>
      </c>
      <c r="B926" s="1" t="s">
        <v>0</v>
      </c>
      <c r="C926" s="1" t="s">
        <v>1</v>
      </c>
      <c r="D926" s="1" t="s">
        <v>11501</v>
      </c>
      <c r="E926" s="1" t="s">
        <v>11502</v>
      </c>
      <c r="F926" s="1" t="s">
        <v>11503</v>
      </c>
      <c r="H926" s="2" t="s">
        <v>5</v>
      </c>
      <c r="I926" s="2" t="s">
        <v>6</v>
      </c>
      <c r="J926" s="2" t="s">
        <v>5</v>
      </c>
      <c r="K926" s="2" t="s">
        <v>5</v>
      </c>
      <c r="L926" s="2" t="s">
        <v>7</v>
      </c>
      <c r="N926" s="1" t="s">
        <v>11504</v>
      </c>
      <c r="O926" s="2" t="s">
        <v>3817</v>
      </c>
      <c r="P926" s="1" t="s">
        <v>5911</v>
      </c>
      <c r="Q926" s="2" t="s">
        <v>1151</v>
      </c>
      <c r="R926" s="2" t="s">
        <v>4146</v>
      </c>
      <c r="S926" s="1" t="s">
        <v>11505</v>
      </c>
      <c r="T926" s="2" t="s">
        <v>13</v>
      </c>
      <c r="U926" s="3">
        <v>1</v>
      </c>
      <c r="V926" s="3">
        <v>1</v>
      </c>
      <c r="W926" s="4" t="s">
        <v>8667</v>
      </c>
      <c r="X926" s="4" t="s">
        <v>8667</v>
      </c>
      <c r="Y926" s="4" t="s">
        <v>8667</v>
      </c>
      <c r="Z926" s="4" t="s">
        <v>8667</v>
      </c>
      <c r="AA926" s="3">
        <v>46</v>
      </c>
      <c r="AB926" s="3">
        <v>39</v>
      </c>
      <c r="AC926" s="3">
        <v>41</v>
      </c>
      <c r="AD926" s="3">
        <v>1</v>
      </c>
      <c r="AE926" s="9">
        <v>1</v>
      </c>
      <c r="AF926" s="9">
        <v>0</v>
      </c>
      <c r="AG926" s="9">
        <v>0</v>
      </c>
      <c r="AH926" s="3">
        <v>0</v>
      </c>
      <c r="AI926" s="3">
        <v>0</v>
      </c>
      <c r="AJ926" s="3">
        <v>0</v>
      </c>
      <c r="AK926" s="3">
        <v>0</v>
      </c>
      <c r="AL926" s="3">
        <v>0</v>
      </c>
      <c r="AM926" s="3">
        <v>0</v>
      </c>
      <c r="AN926" s="3">
        <v>0</v>
      </c>
      <c r="AO926" s="3">
        <v>0</v>
      </c>
      <c r="AP926" s="3">
        <v>0</v>
      </c>
      <c r="AQ926" s="3">
        <v>0</v>
      </c>
      <c r="AR926" s="2" t="s">
        <v>5</v>
      </c>
      <c r="AS926" s="2" t="s">
        <v>46</v>
      </c>
      <c r="AT926" s="5" t="str">
        <f>HYPERLINK("http://catalog.hathitrust.org/Record/101101723","HathiTrust Record")</f>
        <v>HathiTrust Record</v>
      </c>
      <c r="AU926" s="5" t="str">
        <f>HYPERLINK("https://creighton-primo.hosted.exlibrisgroup.com/primo-explore/search?tab=default_tab&amp;search_scope=EVERYTHING&amp;vid=01CRU&amp;lang=en_US&amp;offset=0&amp;query=any,contains,991004339319702656","Catalog Record")</f>
        <v>Catalog Record</v>
      </c>
      <c r="AV926" s="5" t="str">
        <f>HYPERLINK("http://www.worldcat.org/oclc/37527871","WorldCat Record")</f>
        <v>WorldCat Record</v>
      </c>
      <c r="AW926" s="2" t="s">
        <v>11506</v>
      </c>
      <c r="AX926" s="2" t="s">
        <v>11507</v>
      </c>
      <c r="AY926" s="2" t="s">
        <v>11508</v>
      </c>
      <c r="AZ926" s="2" t="s">
        <v>11508</v>
      </c>
      <c r="BA926" s="2" t="s">
        <v>11509</v>
      </c>
      <c r="BB926" s="2" t="s">
        <v>20</v>
      </c>
      <c r="BD926" s="2" t="s">
        <v>11510</v>
      </c>
      <c r="BE926" s="2" t="s">
        <v>11511</v>
      </c>
      <c r="BF926" s="2" t="s">
        <v>11512</v>
      </c>
    </row>
    <row r="927" spans="1:58" ht="39.75" customHeight="1" x14ac:dyDescent="0.25">
      <c r="A927" s="7" t="s">
        <v>5</v>
      </c>
      <c r="B927" s="1" t="s">
        <v>0</v>
      </c>
      <c r="C927" s="1" t="s">
        <v>1</v>
      </c>
      <c r="D927" s="1" t="s">
        <v>11513</v>
      </c>
      <c r="E927" s="1" t="s">
        <v>11514</v>
      </c>
      <c r="F927" s="1" t="s">
        <v>11515</v>
      </c>
      <c r="H927" s="2" t="s">
        <v>5</v>
      </c>
      <c r="I927" s="2" t="s">
        <v>6</v>
      </c>
      <c r="J927" s="2" t="s">
        <v>5</v>
      </c>
      <c r="K927" s="2" t="s">
        <v>5</v>
      </c>
      <c r="L927" s="2" t="s">
        <v>7</v>
      </c>
      <c r="M927" s="1" t="s">
        <v>11516</v>
      </c>
      <c r="N927" s="1" t="s">
        <v>11517</v>
      </c>
      <c r="O927" s="2" t="s">
        <v>291</v>
      </c>
      <c r="P927" s="1" t="s">
        <v>11518</v>
      </c>
      <c r="Q927" s="2" t="s">
        <v>1151</v>
      </c>
      <c r="R927" s="2" t="s">
        <v>5403</v>
      </c>
      <c r="S927" s="1" t="s">
        <v>11519</v>
      </c>
      <c r="T927" s="2" t="s">
        <v>13</v>
      </c>
      <c r="U927" s="3">
        <v>1</v>
      </c>
      <c r="V927" s="3">
        <v>1</v>
      </c>
      <c r="W927" s="4" t="s">
        <v>5137</v>
      </c>
      <c r="X927" s="4" t="s">
        <v>5137</v>
      </c>
      <c r="Y927" s="4" t="s">
        <v>5137</v>
      </c>
      <c r="Z927" s="4" t="s">
        <v>5137</v>
      </c>
      <c r="AA927" s="3">
        <v>90</v>
      </c>
      <c r="AB927" s="3">
        <v>80</v>
      </c>
      <c r="AC927" s="3">
        <v>156</v>
      </c>
      <c r="AD927" s="3">
        <v>1</v>
      </c>
      <c r="AE927" s="9">
        <v>1</v>
      </c>
      <c r="AF927" s="9">
        <v>1</v>
      </c>
      <c r="AG927" s="9">
        <v>3</v>
      </c>
      <c r="AH927" s="3">
        <v>0</v>
      </c>
      <c r="AI927" s="3">
        <v>1</v>
      </c>
      <c r="AJ927" s="3">
        <v>0</v>
      </c>
      <c r="AK927" s="3">
        <v>1</v>
      </c>
      <c r="AL927" s="3">
        <v>1</v>
      </c>
      <c r="AM927" s="3">
        <v>2</v>
      </c>
      <c r="AN927" s="3">
        <v>0</v>
      </c>
      <c r="AO927" s="3">
        <v>0</v>
      </c>
      <c r="AP927" s="3">
        <v>0</v>
      </c>
      <c r="AQ927" s="3">
        <v>0</v>
      </c>
      <c r="AR927" s="2" t="s">
        <v>5</v>
      </c>
      <c r="AS927" s="2" t="s">
        <v>46</v>
      </c>
      <c r="AT927" s="5" t="str">
        <f>HYPERLINK("http://catalog.hathitrust.org/Record/007875753","HathiTrust Record")</f>
        <v>HathiTrust Record</v>
      </c>
      <c r="AU927" s="5" t="str">
        <f>HYPERLINK("https://creighton-primo.hosted.exlibrisgroup.com/primo-explore/search?tab=default_tab&amp;search_scope=EVERYTHING&amp;vid=01CRU&amp;lang=en_US&amp;offset=0&amp;query=any,contains,991004509379702656","Catalog Record")</f>
        <v>Catalog Record</v>
      </c>
      <c r="AV927" s="5" t="str">
        <f>HYPERLINK("http://www.worldcat.org/oclc/4030320","WorldCat Record")</f>
        <v>WorldCat Record</v>
      </c>
      <c r="AW927" s="2" t="s">
        <v>11520</v>
      </c>
      <c r="AX927" s="2" t="s">
        <v>11521</v>
      </c>
      <c r="AY927" s="2" t="s">
        <v>11522</v>
      </c>
      <c r="AZ927" s="2" t="s">
        <v>11522</v>
      </c>
      <c r="BA927" s="2" t="s">
        <v>11523</v>
      </c>
      <c r="BB927" s="2" t="s">
        <v>20</v>
      </c>
      <c r="BD927" s="2" t="s">
        <v>11524</v>
      </c>
      <c r="BE927" s="2" t="s">
        <v>11525</v>
      </c>
      <c r="BF927" s="2" t="s">
        <v>11526</v>
      </c>
    </row>
    <row r="928" spans="1:58" ht="39.75" customHeight="1" x14ac:dyDescent="0.25">
      <c r="A928" s="7" t="s">
        <v>5</v>
      </c>
      <c r="B928" s="1" t="s">
        <v>0</v>
      </c>
      <c r="C928" s="1" t="s">
        <v>1</v>
      </c>
      <c r="D928" s="1" t="s">
        <v>11527</v>
      </c>
      <c r="E928" s="1" t="s">
        <v>11528</v>
      </c>
      <c r="F928" s="1" t="s">
        <v>11529</v>
      </c>
      <c r="H928" s="2" t="s">
        <v>5</v>
      </c>
      <c r="I928" s="2" t="s">
        <v>6</v>
      </c>
      <c r="J928" s="2" t="s">
        <v>5</v>
      </c>
      <c r="K928" s="2" t="s">
        <v>5</v>
      </c>
      <c r="L928" s="2" t="s">
        <v>7</v>
      </c>
      <c r="M928" s="1" t="s">
        <v>11530</v>
      </c>
      <c r="N928" s="1" t="s">
        <v>11531</v>
      </c>
      <c r="O928" s="2" t="s">
        <v>3817</v>
      </c>
      <c r="P928" s="1" t="s">
        <v>2908</v>
      </c>
      <c r="Q928" s="2" t="s">
        <v>1151</v>
      </c>
      <c r="R928" s="2" t="s">
        <v>5403</v>
      </c>
      <c r="S928" s="1" t="s">
        <v>10680</v>
      </c>
      <c r="T928" s="2" t="s">
        <v>13</v>
      </c>
      <c r="U928" s="3">
        <v>1</v>
      </c>
      <c r="V928" s="3">
        <v>1</v>
      </c>
      <c r="W928" s="4" t="s">
        <v>10681</v>
      </c>
      <c r="X928" s="4" t="s">
        <v>10681</v>
      </c>
      <c r="Y928" s="4" t="s">
        <v>10681</v>
      </c>
      <c r="Z928" s="4" t="s">
        <v>10681</v>
      </c>
      <c r="AA928" s="3">
        <v>57</v>
      </c>
      <c r="AB928" s="3">
        <v>51</v>
      </c>
      <c r="AC928" s="3">
        <v>62</v>
      </c>
      <c r="AD928" s="3">
        <v>1</v>
      </c>
      <c r="AE928" s="9">
        <v>1</v>
      </c>
      <c r="AF928" s="9">
        <v>1</v>
      </c>
      <c r="AG928" s="9">
        <v>1</v>
      </c>
      <c r="AH928" s="3">
        <v>0</v>
      </c>
      <c r="AI928" s="3">
        <v>0</v>
      </c>
      <c r="AJ928" s="3">
        <v>1</v>
      </c>
      <c r="AK928" s="3">
        <v>1</v>
      </c>
      <c r="AL928" s="3">
        <v>0</v>
      </c>
      <c r="AM928" s="3">
        <v>0</v>
      </c>
      <c r="AN928" s="3">
        <v>0</v>
      </c>
      <c r="AO928" s="3">
        <v>0</v>
      </c>
      <c r="AP928" s="3">
        <v>0</v>
      </c>
      <c r="AQ928" s="3">
        <v>0</v>
      </c>
      <c r="AR928" s="2" t="s">
        <v>5</v>
      </c>
      <c r="AS928" s="2" t="s">
        <v>46</v>
      </c>
      <c r="AT928" s="5" t="str">
        <f>HYPERLINK("http://catalog.hathitrust.org/Record/003298107","HathiTrust Record")</f>
        <v>HathiTrust Record</v>
      </c>
      <c r="AU928" s="5" t="str">
        <f>HYPERLINK("https://creighton-primo.hosted.exlibrisgroup.com/primo-explore/search?tab=default_tab&amp;search_scope=EVERYTHING&amp;vid=01CRU&amp;lang=en_US&amp;offset=0&amp;query=any,contains,991003926129702656","Catalog Record")</f>
        <v>Catalog Record</v>
      </c>
      <c r="AV928" s="5" t="str">
        <f>HYPERLINK("http://www.worldcat.org/oclc/37926811","WorldCat Record")</f>
        <v>WorldCat Record</v>
      </c>
      <c r="AW928" s="2" t="s">
        <v>11532</v>
      </c>
      <c r="AX928" s="2" t="s">
        <v>11533</v>
      </c>
      <c r="AY928" s="2" t="s">
        <v>11534</v>
      </c>
      <c r="AZ928" s="2" t="s">
        <v>11534</v>
      </c>
      <c r="BA928" s="2" t="s">
        <v>11535</v>
      </c>
      <c r="BB928" s="2" t="s">
        <v>20</v>
      </c>
      <c r="BD928" s="2" t="s">
        <v>11536</v>
      </c>
      <c r="BE928" s="2" t="s">
        <v>11537</v>
      </c>
      <c r="BF928" s="2" t="s">
        <v>11538</v>
      </c>
    </row>
    <row r="929" spans="1:58" ht="39.75" customHeight="1" x14ac:dyDescent="0.25">
      <c r="A929" s="7" t="s">
        <v>5</v>
      </c>
      <c r="B929" s="1" t="s">
        <v>0</v>
      </c>
      <c r="C929" s="1" t="s">
        <v>1</v>
      </c>
      <c r="D929" s="1" t="s">
        <v>11539</v>
      </c>
      <c r="E929" s="1" t="s">
        <v>11540</v>
      </c>
      <c r="F929" s="1" t="s">
        <v>11541</v>
      </c>
      <c r="H929" s="2" t="s">
        <v>5</v>
      </c>
      <c r="I929" s="2" t="s">
        <v>6</v>
      </c>
      <c r="J929" s="2" t="s">
        <v>5</v>
      </c>
      <c r="K929" s="2" t="s">
        <v>5</v>
      </c>
      <c r="L929" s="2" t="s">
        <v>7</v>
      </c>
      <c r="M929" s="1" t="s">
        <v>11542</v>
      </c>
      <c r="N929" s="1" t="s">
        <v>11543</v>
      </c>
      <c r="O929" s="2" t="s">
        <v>6611</v>
      </c>
      <c r="P929" s="1" t="s">
        <v>2908</v>
      </c>
      <c r="Q929" s="2" t="s">
        <v>1151</v>
      </c>
      <c r="R929" s="2" t="s">
        <v>5403</v>
      </c>
      <c r="S929" s="1" t="s">
        <v>10680</v>
      </c>
      <c r="T929" s="2" t="s">
        <v>13</v>
      </c>
      <c r="U929" s="3">
        <v>1</v>
      </c>
      <c r="V929" s="3">
        <v>1</v>
      </c>
      <c r="W929" s="4" t="s">
        <v>10681</v>
      </c>
      <c r="X929" s="4" t="s">
        <v>10681</v>
      </c>
      <c r="Y929" s="4" t="s">
        <v>10681</v>
      </c>
      <c r="Z929" s="4" t="s">
        <v>10681</v>
      </c>
      <c r="AA929" s="3">
        <v>84</v>
      </c>
      <c r="AB929" s="3">
        <v>72</v>
      </c>
      <c r="AC929" s="3">
        <v>87</v>
      </c>
      <c r="AD929" s="3">
        <v>2</v>
      </c>
      <c r="AE929" s="9">
        <v>2</v>
      </c>
      <c r="AF929" s="9">
        <v>3</v>
      </c>
      <c r="AG929" s="9">
        <v>3</v>
      </c>
      <c r="AH929" s="3">
        <v>0</v>
      </c>
      <c r="AI929" s="3">
        <v>0</v>
      </c>
      <c r="AJ929" s="3">
        <v>2</v>
      </c>
      <c r="AK929" s="3">
        <v>2</v>
      </c>
      <c r="AL929" s="3">
        <v>0</v>
      </c>
      <c r="AM929" s="3">
        <v>0</v>
      </c>
      <c r="AN929" s="3">
        <v>1</v>
      </c>
      <c r="AO929" s="3">
        <v>1</v>
      </c>
      <c r="AP929" s="3">
        <v>0</v>
      </c>
      <c r="AQ929" s="3">
        <v>0</v>
      </c>
      <c r="AR929" s="2" t="s">
        <v>5</v>
      </c>
      <c r="AS929" s="2" t="s">
        <v>46</v>
      </c>
      <c r="AT929" s="5" t="str">
        <f>HYPERLINK("http://catalog.hathitrust.org/Record/007148820","HathiTrust Record")</f>
        <v>HathiTrust Record</v>
      </c>
      <c r="AU929" s="5" t="str">
        <f>HYPERLINK("https://creighton-primo.hosted.exlibrisgroup.com/primo-explore/search?tab=default_tab&amp;search_scope=EVERYTHING&amp;vid=01CRU&amp;lang=en_US&amp;offset=0&amp;query=any,contains,991003926439702656","Catalog Record")</f>
        <v>Catalog Record</v>
      </c>
      <c r="AV929" s="5" t="str">
        <f>HYPERLINK("http://www.worldcat.org/oclc/32916541","WorldCat Record")</f>
        <v>WorldCat Record</v>
      </c>
      <c r="AW929" s="2" t="s">
        <v>11544</v>
      </c>
      <c r="AX929" s="2" t="s">
        <v>11545</v>
      </c>
      <c r="AY929" s="2" t="s">
        <v>11546</v>
      </c>
      <c r="AZ929" s="2" t="s">
        <v>11546</v>
      </c>
      <c r="BA929" s="2" t="s">
        <v>11547</v>
      </c>
      <c r="BB929" s="2" t="s">
        <v>20</v>
      </c>
      <c r="BD929" s="2" t="s">
        <v>11548</v>
      </c>
      <c r="BE929" s="2" t="s">
        <v>11549</v>
      </c>
      <c r="BF929" s="2" t="s">
        <v>11550</v>
      </c>
    </row>
    <row r="930" spans="1:58" ht="39.75" customHeight="1" x14ac:dyDescent="0.25">
      <c r="A930" s="7" t="s">
        <v>5</v>
      </c>
      <c r="B930" s="1" t="s">
        <v>0</v>
      </c>
      <c r="C930" s="1" t="s">
        <v>1</v>
      </c>
      <c r="D930" s="1" t="s">
        <v>11551</v>
      </c>
      <c r="E930" s="1" t="s">
        <v>11552</v>
      </c>
      <c r="F930" s="1" t="s">
        <v>11553</v>
      </c>
      <c r="H930" s="2" t="s">
        <v>5</v>
      </c>
      <c r="I930" s="2" t="s">
        <v>6</v>
      </c>
      <c r="J930" s="2" t="s">
        <v>5</v>
      </c>
      <c r="K930" s="2" t="s">
        <v>5</v>
      </c>
      <c r="L930" s="2" t="s">
        <v>7</v>
      </c>
      <c r="M930" s="1" t="s">
        <v>11554</v>
      </c>
      <c r="N930" s="1" t="s">
        <v>10679</v>
      </c>
      <c r="O930" s="2" t="s">
        <v>508</v>
      </c>
      <c r="P930" s="1" t="s">
        <v>2908</v>
      </c>
      <c r="Q930" s="2" t="s">
        <v>1151</v>
      </c>
      <c r="R930" s="2" t="s">
        <v>5403</v>
      </c>
      <c r="S930" s="1" t="s">
        <v>10680</v>
      </c>
      <c r="T930" s="2" t="s">
        <v>13</v>
      </c>
      <c r="U930" s="3">
        <v>1</v>
      </c>
      <c r="V930" s="3">
        <v>1</v>
      </c>
      <c r="W930" s="4" t="s">
        <v>10681</v>
      </c>
      <c r="X930" s="4" t="s">
        <v>10681</v>
      </c>
      <c r="Y930" s="4" t="s">
        <v>10681</v>
      </c>
      <c r="Z930" s="4" t="s">
        <v>10681</v>
      </c>
      <c r="AA930" s="3">
        <v>90</v>
      </c>
      <c r="AB930" s="3">
        <v>73</v>
      </c>
      <c r="AC930" s="3">
        <v>86</v>
      </c>
      <c r="AD930" s="3">
        <v>1</v>
      </c>
      <c r="AE930" s="9">
        <v>1</v>
      </c>
      <c r="AF930" s="9">
        <v>2</v>
      </c>
      <c r="AG930" s="9">
        <v>2</v>
      </c>
      <c r="AH930" s="3">
        <v>0</v>
      </c>
      <c r="AI930" s="3">
        <v>0</v>
      </c>
      <c r="AJ930" s="3">
        <v>1</v>
      </c>
      <c r="AK930" s="3">
        <v>1</v>
      </c>
      <c r="AL930" s="3">
        <v>2</v>
      </c>
      <c r="AM930" s="3">
        <v>2</v>
      </c>
      <c r="AN930" s="3">
        <v>0</v>
      </c>
      <c r="AO930" s="3">
        <v>0</v>
      </c>
      <c r="AP930" s="3">
        <v>0</v>
      </c>
      <c r="AQ930" s="3">
        <v>0</v>
      </c>
      <c r="AR930" s="2" t="s">
        <v>5</v>
      </c>
      <c r="AS930" s="2" t="s">
        <v>46</v>
      </c>
      <c r="AT930" s="5" t="str">
        <f>HYPERLINK("http://catalog.hathitrust.org/Record/004157462","HathiTrust Record")</f>
        <v>HathiTrust Record</v>
      </c>
      <c r="AU930" s="5" t="str">
        <f>HYPERLINK("https://creighton-primo.hosted.exlibrisgroup.com/primo-explore/search?tab=default_tab&amp;search_scope=EVERYTHING&amp;vid=01CRU&amp;lang=en_US&amp;offset=0&amp;query=any,contains,991003926399702656","Catalog Record")</f>
        <v>Catalog Record</v>
      </c>
      <c r="AV930" s="5" t="str">
        <f>HYPERLINK("http://www.worldcat.org/oclc/46918433","WorldCat Record")</f>
        <v>WorldCat Record</v>
      </c>
      <c r="AW930" s="2" t="s">
        <v>11555</v>
      </c>
      <c r="AX930" s="2" t="s">
        <v>11556</v>
      </c>
      <c r="AY930" s="2" t="s">
        <v>11557</v>
      </c>
      <c r="AZ930" s="2" t="s">
        <v>11557</v>
      </c>
      <c r="BA930" s="2" t="s">
        <v>11558</v>
      </c>
      <c r="BB930" s="2" t="s">
        <v>20</v>
      </c>
      <c r="BD930" s="2" t="s">
        <v>11559</v>
      </c>
      <c r="BE930" s="2" t="s">
        <v>11560</v>
      </c>
      <c r="BF930" s="2" t="s">
        <v>11561</v>
      </c>
    </row>
    <row r="931" spans="1:58" ht="39.75" customHeight="1" x14ac:dyDescent="0.25">
      <c r="A931" s="7" t="s">
        <v>5</v>
      </c>
      <c r="B931" s="1" t="s">
        <v>0</v>
      </c>
      <c r="C931" s="1" t="s">
        <v>1</v>
      </c>
      <c r="D931" s="1" t="s">
        <v>11562</v>
      </c>
      <c r="E931" s="1" t="s">
        <v>11563</v>
      </c>
      <c r="F931" s="1" t="s">
        <v>11564</v>
      </c>
      <c r="H931" s="2" t="s">
        <v>5</v>
      </c>
      <c r="I931" s="2" t="s">
        <v>6</v>
      </c>
      <c r="J931" s="2" t="s">
        <v>5</v>
      </c>
      <c r="K931" s="2" t="s">
        <v>46</v>
      </c>
      <c r="L931" s="2" t="s">
        <v>7</v>
      </c>
      <c r="N931" s="1" t="s">
        <v>11565</v>
      </c>
      <c r="O931" s="2" t="s">
        <v>508</v>
      </c>
      <c r="Q931" s="2" t="s">
        <v>1151</v>
      </c>
      <c r="R931" s="2" t="s">
        <v>9502</v>
      </c>
      <c r="T931" s="2" t="s">
        <v>13</v>
      </c>
      <c r="U931" s="3">
        <v>2</v>
      </c>
      <c r="V931" s="3">
        <v>2</v>
      </c>
      <c r="W931" s="4" t="s">
        <v>11566</v>
      </c>
      <c r="X931" s="4" t="s">
        <v>11566</v>
      </c>
      <c r="Y931" s="4" t="s">
        <v>11567</v>
      </c>
      <c r="Z931" s="4" t="s">
        <v>11567</v>
      </c>
      <c r="AA931" s="3">
        <v>115</v>
      </c>
      <c r="AB931" s="3">
        <v>112</v>
      </c>
      <c r="AC931" s="3">
        <v>143</v>
      </c>
      <c r="AD931" s="3">
        <v>1</v>
      </c>
      <c r="AE931" s="9">
        <v>2</v>
      </c>
      <c r="AF931" s="9">
        <v>6</v>
      </c>
      <c r="AG931" s="9">
        <v>7</v>
      </c>
      <c r="AH931" s="3">
        <v>2</v>
      </c>
      <c r="AI931" s="3">
        <v>2</v>
      </c>
      <c r="AJ931" s="3">
        <v>3</v>
      </c>
      <c r="AK931" s="3">
        <v>3</v>
      </c>
      <c r="AL931" s="3">
        <v>2</v>
      </c>
      <c r="AM931" s="3">
        <v>2</v>
      </c>
      <c r="AN931" s="3">
        <v>0</v>
      </c>
      <c r="AO931" s="3">
        <v>1</v>
      </c>
      <c r="AP931" s="3">
        <v>0</v>
      </c>
      <c r="AQ931" s="3">
        <v>0</v>
      </c>
      <c r="AR931" s="2" t="s">
        <v>5</v>
      </c>
      <c r="AS931" s="2" t="s">
        <v>46</v>
      </c>
      <c r="AT931" s="5" t="str">
        <f>HYPERLINK("http://catalog.hathitrust.org/Record/004227310","HathiTrust Record")</f>
        <v>HathiTrust Record</v>
      </c>
      <c r="AU931" s="5" t="str">
        <f>HYPERLINK("https://creighton-primo.hosted.exlibrisgroup.com/primo-explore/search?tab=default_tab&amp;search_scope=EVERYTHING&amp;vid=01CRU&amp;lang=en_US&amp;offset=0&amp;query=any,contains,991003558449702656","Catalog Record")</f>
        <v>Catalog Record</v>
      </c>
      <c r="AV931" s="5" t="str">
        <f>HYPERLINK("http://www.worldcat.org/oclc/47521515","WorldCat Record")</f>
        <v>WorldCat Record</v>
      </c>
      <c r="AW931" s="2" t="s">
        <v>11568</v>
      </c>
      <c r="AX931" s="2" t="s">
        <v>11569</v>
      </c>
      <c r="AY931" s="2" t="s">
        <v>11570</v>
      </c>
      <c r="AZ931" s="2" t="s">
        <v>11570</v>
      </c>
      <c r="BA931" s="2" t="s">
        <v>11571</v>
      </c>
      <c r="BB931" s="2" t="s">
        <v>20</v>
      </c>
      <c r="BD931" s="2" t="s">
        <v>11572</v>
      </c>
      <c r="BE931" s="2" t="s">
        <v>11573</v>
      </c>
      <c r="BF931" s="2" t="s">
        <v>11574</v>
      </c>
    </row>
    <row r="932" spans="1:58" ht="39.75" customHeight="1" x14ac:dyDescent="0.25">
      <c r="A932" s="7" t="s">
        <v>5</v>
      </c>
      <c r="B932" s="1" t="s">
        <v>0</v>
      </c>
      <c r="C932" s="1" t="s">
        <v>1</v>
      </c>
      <c r="D932" s="1" t="s">
        <v>11575</v>
      </c>
      <c r="E932" s="1" t="s">
        <v>11576</v>
      </c>
      <c r="F932" s="1" t="s">
        <v>11577</v>
      </c>
      <c r="G932" s="2" t="s">
        <v>2083</v>
      </c>
      <c r="H932" s="2" t="s">
        <v>46</v>
      </c>
      <c r="I932" s="2" t="s">
        <v>6</v>
      </c>
      <c r="J932" s="2" t="s">
        <v>5</v>
      </c>
      <c r="K932" s="2" t="s">
        <v>5</v>
      </c>
      <c r="L932" s="2" t="s">
        <v>7</v>
      </c>
      <c r="N932" s="1" t="s">
        <v>11578</v>
      </c>
      <c r="O932" s="2" t="s">
        <v>1515</v>
      </c>
      <c r="Q932" s="2" t="s">
        <v>1151</v>
      </c>
      <c r="R932" s="2" t="s">
        <v>9502</v>
      </c>
      <c r="T932" s="2" t="s">
        <v>13</v>
      </c>
      <c r="U932" s="3">
        <v>1</v>
      </c>
      <c r="V932" s="3">
        <v>2</v>
      </c>
      <c r="W932" s="4" t="s">
        <v>11579</v>
      </c>
      <c r="X932" s="4" t="s">
        <v>11579</v>
      </c>
      <c r="Y932" s="4" t="s">
        <v>11579</v>
      </c>
      <c r="Z932" s="4" t="s">
        <v>11579</v>
      </c>
      <c r="AA932" s="3">
        <v>169</v>
      </c>
      <c r="AB932" s="3">
        <v>131</v>
      </c>
      <c r="AC932" s="3">
        <v>133</v>
      </c>
      <c r="AD932" s="3">
        <v>2</v>
      </c>
      <c r="AE932" s="9">
        <v>2</v>
      </c>
      <c r="AF932" s="9">
        <v>8</v>
      </c>
      <c r="AG932" s="9">
        <v>8</v>
      </c>
      <c r="AH932" s="3">
        <v>0</v>
      </c>
      <c r="AI932" s="3">
        <v>0</v>
      </c>
      <c r="AJ932" s="3">
        <v>4</v>
      </c>
      <c r="AK932" s="3">
        <v>4</v>
      </c>
      <c r="AL932" s="3">
        <v>5</v>
      </c>
      <c r="AM932" s="3">
        <v>5</v>
      </c>
      <c r="AN932" s="3">
        <v>1</v>
      </c>
      <c r="AO932" s="3">
        <v>1</v>
      </c>
      <c r="AP932" s="3">
        <v>0</v>
      </c>
      <c r="AQ932" s="3">
        <v>0</v>
      </c>
      <c r="AR932" s="2" t="s">
        <v>5</v>
      </c>
      <c r="AS932" s="2" t="s">
        <v>46</v>
      </c>
      <c r="AT932" s="5" t="str">
        <f>HYPERLINK("http://catalog.hathitrust.org/Record/000239880","HathiTrust Record")</f>
        <v>HathiTrust Record</v>
      </c>
      <c r="AU932" s="5" t="str">
        <f>HYPERLINK("https://creighton-primo.hosted.exlibrisgroup.com/primo-explore/search?tab=default_tab&amp;search_scope=EVERYTHING&amp;vid=01CRU&amp;lang=en_US&amp;offset=0&amp;query=any,contains,991004342449702656","Catalog Record")</f>
        <v>Catalog Record</v>
      </c>
      <c r="AV932" s="5" t="str">
        <f>HYPERLINK("http://www.worldcat.org/oclc/7876773","WorldCat Record")</f>
        <v>WorldCat Record</v>
      </c>
      <c r="AW932" s="2" t="s">
        <v>11580</v>
      </c>
      <c r="AX932" s="2" t="s">
        <v>11581</v>
      </c>
      <c r="AY932" s="2" t="s">
        <v>11582</v>
      </c>
      <c r="AZ932" s="2" t="s">
        <v>11582</v>
      </c>
      <c r="BA932" s="2" t="s">
        <v>11583</v>
      </c>
      <c r="BB932" s="2" t="s">
        <v>20</v>
      </c>
      <c r="BE932" s="2" t="s">
        <v>11584</v>
      </c>
      <c r="BF932" s="2" t="s">
        <v>11585</v>
      </c>
    </row>
    <row r="933" spans="1:58" ht="39.75" customHeight="1" x14ac:dyDescent="0.25">
      <c r="A933" s="7" t="s">
        <v>5</v>
      </c>
      <c r="B933" s="1" t="s">
        <v>0</v>
      </c>
      <c r="C933" s="1" t="s">
        <v>1</v>
      </c>
      <c r="D933" s="1" t="s">
        <v>11575</v>
      </c>
      <c r="E933" s="1" t="s">
        <v>11576</v>
      </c>
      <c r="F933" s="1" t="s">
        <v>11577</v>
      </c>
      <c r="G933" s="2" t="s">
        <v>2107</v>
      </c>
      <c r="H933" s="2" t="s">
        <v>46</v>
      </c>
      <c r="I933" s="2" t="s">
        <v>6</v>
      </c>
      <c r="J933" s="2" t="s">
        <v>5</v>
      </c>
      <c r="K933" s="2" t="s">
        <v>5</v>
      </c>
      <c r="L933" s="2" t="s">
        <v>7</v>
      </c>
      <c r="N933" s="1" t="s">
        <v>11578</v>
      </c>
      <c r="O933" s="2" t="s">
        <v>1515</v>
      </c>
      <c r="Q933" s="2" t="s">
        <v>1151</v>
      </c>
      <c r="R933" s="2" t="s">
        <v>9502</v>
      </c>
      <c r="T933" s="2" t="s">
        <v>13</v>
      </c>
      <c r="U933" s="3">
        <v>1</v>
      </c>
      <c r="V933" s="3">
        <v>2</v>
      </c>
      <c r="W933" s="4" t="s">
        <v>11579</v>
      </c>
      <c r="X933" s="4" t="s">
        <v>11579</v>
      </c>
      <c r="Y933" s="4" t="s">
        <v>11579</v>
      </c>
      <c r="Z933" s="4" t="s">
        <v>11579</v>
      </c>
      <c r="AA933" s="3">
        <v>169</v>
      </c>
      <c r="AB933" s="3">
        <v>131</v>
      </c>
      <c r="AC933" s="3">
        <v>133</v>
      </c>
      <c r="AD933" s="3">
        <v>2</v>
      </c>
      <c r="AE933" s="9">
        <v>2</v>
      </c>
      <c r="AF933" s="9">
        <v>8</v>
      </c>
      <c r="AG933" s="9">
        <v>8</v>
      </c>
      <c r="AH933" s="3">
        <v>0</v>
      </c>
      <c r="AI933" s="3">
        <v>0</v>
      </c>
      <c r="AJ933" s="3">
        <v>4</v>
      </c>
      <c r="AK933" s="3">
        <v>4</v>
      </c>
      <c r="AL933" s="3">
        <v>5</v>
      </c>
      <c r="AM933" s="3">
        <v>5</v>
      </c>
      <c r="AN933" s="3">
        <v>1</v>
      </c>
      <c r="AO933" s="3">
        <v>1</v>
      </c>
      <c r="AP933" s="3">
        <v>0</v>
      </c>
      <c r="AQ933" s="3">
        <v>0</v>
      </c>
      <c r="AR933" s="2" t="s">
        <v>5</v>
      </c>
      <c r="AS933" s="2" t="s">
        <v>46</v>
      </c>
      <c r="AT933" s="5" t="str">
        <f>HYPERLINK("http://catalog.hathitrust.org/Record/000239880","HathiTrust Record")</f>
        <v>HathiTrust Record</v>
      </c>
      <c r="AU933" s="5" t="str">
        <f>HYPERLINK("https://creighton-primo.hosted.exlibrisgroup.com/primo-explore/search?tab=default_tab&amp;search_scope=EVERYTHING&amp;vid=01CRU&amp;lang=en_US&amp;offset=0&amp;query=any,contains,991004342449702656","Catalog Record")</f>
        <v>Catalog Record</v>
      </c>
      <c r="AV933" s="5" t="str">
        <f>HYPERLINK("http://www.worldcat.org/oclc/7876773","WorldCat Record")</f>
        <v>WorldCat Record</v>
      </c>
      <c r="AW933" s="2" t="s">
        <v>11580</v>
      </c>
      <c r="AX933" s="2" t="s">
        <v>11581</v>
      </c>
      <c r="AY933" s="2" t="s">
        <v>11582</v>
      </c>
      <c r="AZ933" s="2" t="s">
        <v>11582</v>
      </c>
      <c r="BA933" s="2" t="s">
        <v>11583</v>
      </c>
      <c r="BB933" s="2" t="s">
        <v>20</v>
      </c>
      <c r="BE933" s="2" t="s">
        <v>11586</v>
      </c>
      <c r="BF933" s="2" t="s">
        <v>11587</v>
      </c>
    </row>
    <row r="934" spans="1:58" ht="39.75" customHeight="1" x14ac:dyDescent="0.25">
      <c r="A934" s="7" t="s">
        <v>5</v>
      </c>
      <c r="B934" s="1" t="s">
        <v>0</v>
      </c>
      <c r="C934" s="1" t="s">
        <v>1</v>
      </c>
      <c r="D934" s="1" t="s">
        <v>11588</v>
      </c>
      <c r="E934" s="1" t="s">
        <v>11589</v>
      </c>
      <c r="F934" s="1" t="s">
        <v>11590</v>
      </c>
      <c r="H934" s="2" t="s">
        <v>5</v>
      </c>
      <c r="I934" s="2" t="s">
        <v>6</v>
      </c>
      <c r="J934" s="2" t="s">
        <v>5</v>
      </c>
      <c r="K934" s="2" t="s">
        <v>5</v>
      </c>
      <c r="L934" s="2" t="s">
        <v>7</v>
      </c>
      <c r="N934" s="1" t="s">
        <v>11591</v>
      </c>
      <c r="O934" s="2" t="s">
        <v>421</v>
      </c>
      <c r="Q934" s="2" t="s">
        <v>1151</v>
      </c>
      <c r="R934" s="2" t="s">
        <v>9502</v>
      </c>
      <c r="T934" s="2" t="s">
        <v>13</v>
      </c>
      <c r="U934" s="3">
        <v>1</v>
      </c>
      <c r="V934" s="3">
        <v>1</v>
      </c>
      <c r="W934" s="4" t="s">
        <v>8639</v>
      </c>
      <c r="X934" s="4" t="s">
        <v>8639</v>
      </c>
      <c r="Y934" s="4" t="s">
        <v>8639</v>
      </c>
      <c r="Z934" s="4" t="s">
        <v>8639</v>
      </c>
      <c r="AA934" s="3">
        <v>102</v>
      </c>
      <c r="AB934" s="3">
        <v>74</v>
      </c>
      <c r="AC934" s="3">
        <v>78</v>
      </c>
      <c r="AD934" s="3">
        <v>1</v>
      </c>
      <c r="AE934" s="9">
        <v>1</v>
      </c>
      <c r="AF934" s="9">
        <v>4</v>
      </c>
      <c r="AG934" s="9">
        <v>4</v>
      </c>
      <c r="AH934" s="3">
        <v>0</v>
      </c>
      <c r="AI934" s="3">
        <v>0</v>
      </c>
      <c r="AJ934" s="3">
        <v>2</v>
      </c>
      <c r="AK934" s="3">
        <v>2</v>
      </c>
      <c r="AL934" s="3">
        <v>3</v>
      </c>
      <c r="AM934" s="3">
        <v>3</v>
      </c>
      <c r="AN934" s="3">
        <v>0</v>
      </c>
      <c r="AO934" s="3">
        <v>0</v>
      </c>
      <c r="AP934" s="3">
        <v>0</v>
      </c>
      <c r="AQ934" s="3">
        <v>0</v>
      </c>
      <c r="AR934" s="2" t="s">
        <v>5</v>
      </c>
      <c r="AS934" s="2" t="s">
        <v>46</v>
      </c>
      <c r="AT934" s="5" t="str">
        <f>HYPERLINK("http://catalog.hathitrust.org/Record/002563449","HathiTrust Record")</f>
        <v>HathiTrust Record</v>
      </c>
      <c r="AU934" s="5" t="str">
        <f>HYPERLINK("https://creighton-primo.hosted.exlibrisgroup.com/primo-explore/search?tab=default_tab&amp;search_scope=EVERYTHING&amp;vid=01CRU&amp;lang=en_US&amp;offset=0&amp;query=any,contains,991004332309702656","Catalog Record")</f>
        <v>Catalog Record</v>
      </c>
      <c r="AV934" s="5" t="str">
        <f>HYPERLINK("http://www.worldcat.org/oclc/11866628","WorldCat Record")</f>
        <v>WorldCat Record</v>
      </c>
      <c r="AW934" s="2" t="s">
        <v>11592</v>
      </c>
      <c r="AX934" s="2" t="s">
        <v>11593</v>
      </c>
      <c r="AY934" s="2" t="s">
        <v>11594</v>
      </c>
      <c r="AZ934" s="2" t="s">
        <v>11594</v>
      </c>
      <c r="BA934" s="2" t="s">
        <v>11595</v>
      </c>
      <c r="BB934" s="2" t="s">
        <v>20</v>
      </c>
      <c r="BE934" s="2" t="s">
        <v>11596</v>
      </c>
      <c r="BF934" s="2" t="s">
        <v>11597</v>
      </c>
    </row>
    <row r="935" spans="1:58" ht="39.75" customHeight="1" x14ac:dyDescent="0.25">
      <c r="A935" s="7" t="s">
        <v>5</v>
      </c>
      <c r="B935" s="1" t="s">
        <v>0</v>
      </c>
      <c r="C935" s="1" t="s">
        <v>1</v>
      </c>
      <c r="D935" s="1" t="s">
        <v>11598</v>
      </c>
      <c r="E935" s="1" t="s">
        <v>11599</v>
      </c>
      <c r="F935" s="1" t="s">
        <v>11600</v>
      </c>
      <c r="H935" s="2" t="s">
        <v>5</v>
      </c>
      <c r="I935" s="2" t="s">
        <v>6</v>
      </c>
      <c r="J935" s="2" t="s">
        <v>5</v>
      </c>
      <c r="K935" s="2" t="s">
        <v>5</v>
      </c>
      <c r="L935" s="2" t="s">
        <v>7</v>
      </c>
      <c r="M935" s="1" t="s">
        <v>11601</v>
      </c>
      <c r="N935" s="1" t="s">
        <v>11602</v>
      </c>
      <c r="O935" s="2" t="s">
        <v>995</v>
      </c>
      <c r="Q935" s="2" t="s">
        <v>1151</v>
      </c>
      <c r="R935" s="2" t="s">
        <v>9502</v>
      </c>
      <c r="T935" s="2" t="s">
        <v>13</v>
      </c>
      <c r="U935" s="3">
        <v>1</v>
      </c>
      <c r="V935" s="3">
        <v>1</v>
      </c>
      <c r="W935" s="4" t="s">
        <v>8639</v>
      </c>
      <c r="X935" s="4" t="s">
        <v>8639</v>
      </c>
      <c r="Y935" s="4" t="s">
        <v>8639</v>
      </c>
      <c r="Z935" s="4" t="s">
        <v>8639</v>
      </c>
      <c r="AA935" s="3">
        <v>82</v>
      </c>
      <c r="AB935" s="3">
        <v>58</v>
      </c>
      <c r="AC935" s="3">
        <v>59</v>
      </c>
      <c r="AD935" s="3">
        <v>1</v>
      </c>
      <c r="AE935" s="9">
        <v>1</v>
      </c>
      <c r="AF935" s="9">
        <v>1</v>
      </c>
      <c r="AG935" s="9">
        <v>1</v>
      </c>
      <c r="AH935" s="3">
        <v>0</v>
      </c>
      <c r="AI935" s="3">
        <v>0</v>
      </c>
      <c r="AJ935" s="3">
        <v>1</v>
      </c>
      <c r="AK935" s="3">
        <v>1</v>
      </c>
      <c r="AL935" s="3">
        <v>0</v>
      </c>
      <c r="AM935" s="3">
        <v>0</v>
      </c>
      <c r="AN935" s="3">
        <v>0</v>
      </c>
      <c r="AO935" s="3">
        <v>0</v>
      </c>
      <c r="AP935" s="3">
        <v>0</v>
      </c>
      <c r="AQ935" s="3">
        <v>0</v>
      </c>
      <c r="AR935" s="2" t="s">
        <v>5</v>
      </c>
      <c r="AS935" s="2" t="s">
        <v>46</v>
      </c>
      <c r="AT935" s="5" t="str">
        <f>HYPERLINK("http://catalog.hathitrust.org/Record/006084603","HathiTrust Record")</f>
        <v>HathiTrust Record</v>
      </c>
      <c r="AU935" s="5" t="str">
        <f>HYPERLINK("https://creighton-primo.hosted.exlibrisgroup.com/primo-explore/search?tab=default_tab&amp;search_scope=EVERYTHING&amp;vid=01CRU&amp;lang=en_US&amp;offset=0&amp;query=any,contains,991004332269702656","Catalog Record")</f>
        <v>Catalog Record</v>
      </c>
      <c r="AV935" s="5" t="str">
        <f>HYPERLINK("http://www.worldcat.org/oclc/9441893","WorldCat Record")</f>
        <v>WorldCat Record</v>
      </c>
      <c r="AW935" s="2" t="s">
        <v>11603</v>
      </c>
      <c r="AX935" s="2" t="s">
        <v>11604</v>
      </c>
      <c r="AY935" s="2" t="s">
        <v>11605</v>
      </c>
      <c r="AZ935" s="2" t="s">
        <v>11605</v>
      </c>
      <c r="BA935" s="2" t="s">
        <v>11606</v>
      </c>
      <c r="BB935" s="2" t="s">
        <v>20</v>
      </c>
      <c r="BE935" s="2" t="s">
        <v>11607</v>
      </c>
      <c r="BF935" s="2" t="s">
        <v>11608</v>
      </c>
    </row>
    <row r="936" spans="1:58" ht="39.75" customHeight="1" x14ac:dyDescent="0.25">
      <c r="A936" s="7" t="s">
        <v>5</v>
      </c>
      <c r="B936" s="1" t="s">
        <v>0</v>
      </c>
      <c r="C936" s="1" t="s">
        <v>1</v>
      </c>
      <c r="D936" s="1" t="s">
        <v>11609</v>
      </c>
      <c r="E936" s="1" t="s">
        <v>11610</v>
      </c>
      <c r="F936" s="1" t="s">
        <v>11611</v>
      </c>
      <c r="H936" s="2" t="s">
        <v>5</v>
      </c>
      <c r="I936" s="2" t="s">
        <v>6</v>
      </c>
      <c r="J936" s="2" t="s">
        <v>5</v>
      </c>
      <c r="K936" s="2" t="s">
        <v>5</v>
      </c>
      <c r="L936" s="2" t="s">
        <v>7</v>
      </c>
      <c r="M936" s="1" t="s">
        <v>11612</v>
      </c>
      <c r="N936" s="1" t="s">
        <v>11613</v>
      </c>
      <c r="O936" s="2" t="s">
        <v>886</v>
      </c>
      <c r="P936" s="1" t="s">
        <v>5911</v>
      </c>
      <c r="Q936" s="2" t="s">
        <v>1151</v>
      </c>
      <c r="R936" s="2" t="s">
        <v>1152</v>
      </c>
      <c r="S936" s="1" t="s">
        <v>11614</v>
      </c>
      <c r="T936" s="2" t="s">
        <v>13</v>
      </c>
      <c r="U936" s="3">
        <v>1</v>
      </c>
      <c r="V936" s="3">
        <v>1</v>
      </c>
      <c r="W936" s="4" t="s">
        <v>5071</v>
      </c>
      <c r="X936" s="4" t="s">
        <v>5071</v>
      </c>
      <c r="Y936" s="4" t="s">
        <v>5071</v>
      </c>
      <c r="Z936" s="4" t="s">
        <v>5071</v>
      </c>
      <c r="AA936" s="3">
        <v>206</v>
      </c>
      <c r="AB936" s="3">
        <v>156</v>
      </c>
      <c r="AC936" s="3">
        <v>171</v>
      </c>
      <c r="AD936" s="3">
        <v>2</v>
      </c>
      <c r="AE936" s="9">
        <v>2</v>
      </c>
      <c r="AF936" s="9">
        <v>6</v>
      </c>
      <c r="AG936" s="9">
        <v>6</v>
      </c>
      <c r="AH936" s="3">
        <v>0</v>
      </c>
      <c r="AI936" s="3">
        <v>0</v>
      </c>
      <c r="AJ936" s="3">
        <v>2</v>
      </c>
      <c r="AK936" s="3">
        <v>2</v>
      </c>
      <c r="AL936" s="3">
        <v>5</v>
      </c>
      <c r="AM936" s="3">
        <v>5</v>
      </c>
      <c r="AN936" s="3">
        <v>1</v>
      </c>
      <c r="AO936" s="3">
        <v>1</v>
      </c>
      <c r="AP936" s="3">
        <v>0</v>
      </c>
      <c r="AQ936" s="3">
        <v>0</v>
      </c>
      <c r="AR936" s="2" t="s">
        <v>5</v>
      </c>
      <c r="AS936" s="2" t="s">
        <v>5</v>
      </c>
      <c r="AU936" s="5" t="str">
        <f>HYPERLINK("https://creighton-primo.hosted.exlibrisgroup.com/primo-explore/search?tab=default_tab&amp;search_scope=EVERYTHING&amp;vid=01CRU&amp;lang=en_US&amp;offset=0&amp;query=any,contains,991004336819702656","Catalog Record")</f>
        <v>Catalog Record</v>
      </c>
      <c r="AV936" s="5" t="str">
        <f>HYPERLINK("http://www.worldcat.org/oclc/1110459","WorldCat Record")</f>
        <v>WorldCat Record</v>
      </c>
      <c r="AW936" s="2" t="s">
        <v>11615</v>
      </c>
      <c r="AX936" s="2" t="s">
        <v>11616</v>
      </c>
      <c r="AY936" s="2" t="s">
        <v>11617</v>
      </c>
      <c r="AZ936" s="2" t="s">
        <v>11617</v>
      </c>
      <c r="BA936" s="2" t="s">
        <v>11618</v>
      </c>
      <c r="BB936" s="2" t="s">
        <v>20</v>
      </c>
      <c r="BD936" s="2" t="s">
        <v>11619</v>
      </c>
      <c r="BE936" s="2" t="s">
        <v>11620</v>
      </c>
      <c r="BF936" s="2" t="s">
        <v>11621</v>
      </c>
    </row>
    <row r="937" spans="1:58" ht="39.75" customHeight="1" x14ac:dyDescent="0.25">
      <c r="A937" s="7" t="s">
        <v>5</v>
      </c>
      <c r="B937" s="1" t="s">
        <v>0</v>
      </c>
      <c r="C937" s="1" t="s">
        <v>1</v>
      </c>
      <c r="D937" s="1" t="s">
        <v>11622</v>
      </c>
      <c r="E937" s="1" t="s">
        <v>11623</v>
      </c>
      <c r="F937" s="1" t="s">
        <v>11624</v>
      </c>
      <c r="H937" s="2" t="s">
        <v>5</v>
      </c>
      <c r="I937" s="2" t="s">
        <v>6</v>
      </c>
      <c r="J937" s="2" t="s">
        <v>5</v>
      </c>
      <c r="K937" s="2" t="s">
        <v>5</v>
      </c>
      <c r="L937" s="2" t="s">
        <v>7</v>
      </c>
      <c r="M937" s="1" t="s">
        <v>11625</v>
      </c>
      <c r="N937" s="1" t="s">
        <v>11626</v>
      </c>
      <c r="O937" s="2" t="s">
        <v>162</v>
      </c>
      <c r="Q937" s="2" t="s">
        <v>1151</v>
      </c>
      <c r="R937" s="2" t="s">
        <v>9502</v>
      </c>
      <c r="S937" s="1" t="s">
        <v>11627</v>
      </c>
      <c r="T937" s="2" t="s">
        <v>13</v>
      </c>
      <c r="U937" s="3">
        <v>1</v>
      </c>
      <c r="V937" s="3">
        <v>1</v>
      </c>
      <c r="W937" s="4" t="s">
        <v>6701</v>
      </c>
      <c r="X937" s="4" t="s">
        <v>6701</v>
      </c>
      <c r="Y937" s="4" t="s">
        <v>10209</v>
      </c>
      <c r="Z937" s="4" t="s">
        <v>10209</v>
      </c>
      <c r="AA937" s="3">
        <v>109</v>
      </c>
      <c r="AB937" s="3">
        <v>89</v>
      </c>
      <c r="AC937" s="3">
        <v>91</v>
      </c>
      <c r="AD937" s="3">
        <v>2</v>
      </c>
      <c r="AE937" s="9">
        <v>2</v>
      </c>
      <c r="AF937" s="9">
        <v>3</v>
      </c>
      <c r="AG937" s="9">
        <v>3</v>
      </c>
      <c r="AH937" s="3">
        <v>0</v>
      </c>
      <c r="AI937" s="3">
        <v>0</v>
      </c>
      <c r="AJ937" s="3">
        <v>1</v>
      </c>
      <c r="AK937" s="3">
        <v>1</v>
      </c>
      <c r="AL937" s="3">
        <v>2</v>
      </c>
      <c r="AM937" s="3">
        <v>2</v>
      </c>
      <c r="AN937" s="3">
        <v>1</v>
      </c>
      <c r="AO937" s="3">
        <v>1</v>
      </c>
      <c r="AP937" s="3">
        <v>0</v>
      </c>
      <c r="AQ937" s="3">
        <v>0</v>
      </c>
      <c r="AR937" s="2" t="s">
        <v>5</v>
      </c>
      <c r="AS937" s="2" t="s">
        <v>46</v>
      </c>
      <c r="AT937" s="5" t="str">
        <f>HYPERLINK("http://catalog.hathitrust.org/Record/101102894","HathiTrust Record")</f>
        <v>HathiTrust Record</v>
      </c>
      <c r="AU937" s="5" t="str">
        <f>HYPERLINK("https://creighton-primo.hosted.exlibrisgroup.com/primo-explore/search?tab=default_tab&amp;search_scope=EVERYTHING&amp;vid=01CRU&amp;lang=en_US&amp;offset=0&amp;query=any,contains,991003757429702656","Catalog Record")</f>
        <v>Catalog Record</v>
      </c>
      <c r="AV937" s="5" t="str">
        <f>HYPERLINK("http://www.worldcat.org/oclc/804057","WorldCat Record")</f>
        <v>WorldCat Record</v>
      </c>
      <c r="AW937" s="2" t="s">
        <v>11628</v>
      </c>
      <c r="AX937" s="2" t="s">
        <v>11629</v>
      </c>
      <c r="AY937" s="2" t="s">
        <v>11630</v>
      </c>
      <c r="AZ937" s="2" t="s">
        <v>11630</v>
      </c>
      <c r="BA937" s="2" t="s">
        <v>11631</v>
      </c>
      <c r="BB937" s="2" t="s">
        <v>20</v>
      </c>
      <c r="BE937" s="2" t="s">
        <v>11632</v>
      </c>
      <c r="BF937" s="2" t="s">
        <v>11633</v>
      </c>
    </row>
    <row r="938" spans="1:58" ht="39.75" customHeight="1" x14ac:dyDescent="0.25">
      <c r="A938" s="7" t="s">
        <v>5</v>
      </c>
      <c r="B938" s="1" t="s">
        <v>0</v>
      </c>
      <c r="C938" s="1" t="s">
        <v>1</v>
      </c>
      <c r="D938" s="1" t="s">
        <v>11634</v>
      </c>
      <c r="E938" s="1" t="s">
        <v>11635</v>
      </c>
      <c r="F938" s="1" t="s">
        <v>11636</v>
      </c>
      <c r="H938" s="2" t="s">
        <v>5</v>
      </c>
      <c r="I938" s="2" t="s">
        <v>6</v>
      </c>
      <c r="J938" s="2" t="s">
        <v>5</v>
      </c>
      <c r="K938" s="2" t="s">
        <v>5</v>
      </c>
      <c r="L938" s="2" t="s">
        <v>7</v>
      </c>
      <c r="M938" s="1" t="s">
        <v>11637</v>
      </c>
      <c r="N938" s="1" t="s">
        <v>11638</v>
      </c>
      <c r="O938" s="2" t="s">
        <v>1515</v>
      </c>
      <c r="Q938" s="2" t="s">
        <v>1151</v>
      </c>
      <c r="R938" s="2" t="s">
        <v>9502</v>
      </c>
      <c r="S938" s="1" t="s">
        <v>11639</v>
      </c>
      <c r="T938" s="2" t="s">
        <v>13</v>
      </c>
      <c r="U938" s="3">
        <v>1</v>
      </c>
      <c r="V938" s="3">
        <v>1</v>
      </c>
      <c r="W938" s="4" t="s">
        <v>5071</v>
      </c>
      <c r="X938" s="4" t="s">
        <v>5071</v>
      </c>
      <c r="Y938" s="4" t="s">
        <v>5071</v>
      </c>
      <c r="Z938" s="4" t="s">
        <v>5071</v>
      </c>
      <c r="AA938" s="3">
        <v>96</v>
      </c>
      <c r="AB938" s="3">
        <v>71</v>
      </c>
      <c r="AC938" s="3">
        <v>76</v>
      </c>
      <c r="AD938" s="3">
        <v>1</v>
      </c>
      <c r="AE938" s="9">
        <v>1</v>
      </c>
      <c r="AF938" s="9">
        <v>3</v>
      </c>
      <c r="AG938" s="9">
        <v>3</v>
      </c>
      <c r="AH938" s="3">
        <v>0</v>
      </c>
      <c r="AI938" s="3">
        <v>0</v>
      </c>
      <c r="AJ938" s="3">
        <v>3</v>
      </c>
      <c r="AK938" s="3">
        <v>3</v>
      </c>
      <c r="AL938" s="3">
        <v>1</v>
      </c>
      <c r="AM938" s="3">
        <v>1</v>
      </c>
      <c r="AN938" s="3">
        <v>0</v>
      </c>
      <c r="AO938" s="3">
        <v>0</v>
      </c>
      <c r="AP938" s="3">
        <v>0</v>
      </c>
      <c r="AQ938" s="3">
        <v>0</v>
      </c>
      <c r="AR938" s="2" t="s">
        <v>5</v>
      </c>
      <c r="AS938" s="2" t="s">
        <v>46</v>
      </c>
      <c r="AT938" s="5" t="str">
        <f>HYPERLINK("http://catalog.hathitrust.org/Record/002197128","HathiTrust Record")</f>
        <v>HathiTrust Record</v>
      </c>
      <c r="AU938" s="5" t="str">
        <f>HYPERLINK("https://creighton-primo.hosted.exlibrisgroup.com/primo-explore/search?tab=default_tab&amp;search_scope=EVERYTHING&amp;vid=01CRU&amp;lang=en_US&amp;offset=0&amp;query=any,contains,991004337399702656","Catalog Record")</f>
        <v>Catalog Record</v>
      </c>
      <c r="AV938" s="5" t="str">
        <f>HYPERLINK("http://www.worldcat.org/oclc/9577050","WorldCat Record")</f>
        <v>WorldCat Record</v>
      </c>
      <c r="AW938" s="2" t="s">
        <v>11640</v>
      </c>
      <c r="AX938" s="2" t="s">
        <v>11641</v>
      </c>
      <c r="AY938" s="2" t="s">
        <v>11642</v>
      </c>
      <c r="AZ938" s="2" t="s">
        <v>11642</v>
      </c>
      <c r="BA938" s="2" t="s">
        <v>11643</v>
      </c>
      <c r="BB938" s="2" t="s">
        <v>20</v>
      </c>
      <c r="BE938" s="2" t="s">
        <v>11644</v>
      </c>
      <c r="BF938" s="2" t="s">
        <v>11645</v>
      </c>
    </row>
    <row r="939" spans="1:58" ht="39.75" customHeight="1" x14ac:dyDescent="0.25">
      <c r="A939" s="7" t="s">
        <v>5</v>
      </c>
      <c r="B939" s="1" t="s">
        <v>0</v>
      </c>
      <c r="C939" s="1" t="s">
        <v>1</v>
      </c>
      <c r="D939" s="1" t="s">
        <v>11646</v>
      </c>
      <c r="E939" s="1" t="s">
        <v>11647</v>
      </c>
      <c r="F939" s="1" t="s">
        <v>11648</v>
      </c>
      <c r="H939" s="2" t="s">
        <v>5</v>
      </c>
      <c r="I939" s="2" t="s">
        <v>6</v>
      </c>
      <c r="J939" s="2" t="s">
        <v>5</v>
      </c>
      <c r="K939" s="2" t="s">
        <v>5</v>
      </c>
      <c r="L939" s="2" t="s">
        <v>7</v>
      </c>
      <c r="M939" s="1" t="s">
        <v>11649</v>
      </c>
      <c r="N939" s="1" t="s">
        <v>11650</v>
      </c>
      <c r="O939" s="2" t="s">
        <v>261</v>
      </c>
      <c r="P939" s="1" t="s">
        <v>5359</v>
      </c>
      <c r="Q939" s="2" t="s">
        <v>1151</v>
      </c>
      <c r="R939" s="2" t="s">
        <v>5403</v>
      </c>
      <c r="T939" s="2" t="s">
        <v>13</v>
      </c>
      <c r="U939" s="3">
        <v>2</v>
      </c>
      <c r="V939" s="3">
        <v>2</v>
      </c>
      <c r="W939" s="4" t="s">
        <v>3793</v>
      </c>
      <c r="X939" s="4" t="s">
        <v>3793</v>
      </c>
      <c r="Y939" s="4" t="s">
        <v>5361</v>
      </c>
      <c r="Z939" s="4" t="s">
        <v>5361</v>
      </c>
      <c r="AA939" s="3">
        <v>22</v>
      </c>
      <c r="AB939" s="3">
        <v>15</v>
      </c>
      <c r="AC939" s="3">
        <v>186</v>
      </c>
      <c r="AD939" s="3">
        <v>1</v>
      </c>
      <c r="AE939" s="9">
        <v>2</v>
      </c>
      <c r="AF939" s="9">
        <v>0</v>
      </c>
      <c r="AG939" s="9">
        <v>7</v>
      </c>
      <c r="AH939" s="3">
        <v>0</v>
      </c>
      <c r="AI939" s="3">
        <v>2</v>
      </c>
      <c r="AJ939" s="3">
        <v>0</v>
      </c>
      <c r="AK939" s="3">
        <v>2</v>
      </c>
      <c r="AL939" s="3">
        <v>0</v>
      </c>
      <c r="AM939" s="3">
        <v>4</v>
      </c>
      <c r="AN939" s="3">
        <v>0</v>
      </c>
      <c r="AO939" s="3">
        <v>1</v>
      </c>
      <c r="AP939" s="3">
        <v>0</v>
      </c>
      <c r="AQ939" s="3">
        <v>0</v>
      </c>
      <c r="AR939" s="2" t="s">
        <v>5</v>
      </c>
      <c r="AS939" s="2" t="s">
        <v>5</v>
      </c>
      <c r="AU939" s="5" t="str">
        <f>HYPERLINK("https://creighton-primo.hosted.exlibrisgroup.com/primo-explore/search?tab=default_tab&amp;search_scope=EVERYTHING&amp;vid=01CRU&amp;lang=en_US&amp;offset=0&amp;query=any,contains,991001264339702656","Catalog Record")</f>
        <v>Catalog Record</v>
      </c>
      <c r="AV939" s="5" t="str">
        <f>HYPERLINK("http://www.worldcat.org/oclc/17802665","WorldCat Record")</f>
        <v>WorldCat Record</v>
      </c>
      <c r="AW939" s="2" t="s">
        <v>11651</v>
      </c>
      <c r="AX939" s="2" t="s">
        <v>11652</v>
      </c>
      <c r="AY939" s="2" t="s">
        <v>11653</v>
      </c>
      <c r="AZ939" s="2" t="s">
        <v>11653</v>
      </c>
      <c r="BA939" s="2" t="s">
        <v>11654</v>
      </c>
      <c r="BB939" s="2" t="s">
        <v>20</v>
      </c>
      <c r="BE939" s="2" t="s">
        <v>11655</v>
      </c>
      <c r="BF939" s="2" t="s">
        <v>11656</v>
      </c>
    </row>
    <row r="940" spans="1:58" ht="39.75" customHeight="1" x14ac:dyDescent="0.25">
      <c r="A940" s="7" t="s">
        <v>5</v>
      </c>
      <c r="B940" s="1" t="s">
        <v>0</v>
      </c>
      <c r="C940" s="1" t="s">
        <v>1</v>
      </c>
      <c r="D940" s="1" t="s">
        <v>11657</v>
      </c>
      <c r="E940" s="1" t="s">
        <v>11658</v>
      </c>
      <c r="F940" s="1" t="s">
        <v>11659</v>
      </c>
      <c r="H940" s="2" t="s">
        <v>5</v>
      </c>
      <c r="I940" s="2" t="s">
        <v>6</v>
      </c>
      <c r="J940" s="2" t="s">
        <v>5</v>
      </c>
      <c r="K940" s="2" t="s">
        <v>5</v>
      </c>
      <c r="L940" s="2" t="s">
        <v>7</v>
      </c>
      <c r="M940" s="1" t="s">
        <v>11660</v>
      </c>
      <c r="N940" s="1" t="s">
        <v>11661</v>
      </c>
      <c r="O940" s="2" t="s">
        <v>1273</v>
      </c>
      <c r="Q940" s="2" t="s">
        <v>1151</v>
      </c>
      <c r="R940" s="2" t="s">
        <v>9502</v>
      </c>
      <c r="S940" s="1" t="s">
        <v>11662</v>
      </c>
      <c r="T940" s="2" t="s">
        <v>13</v>
      </c>
      <c r="U940" s="3">
        <v>1</v>
      </c>
      <c r="V940" s="3">
        <v>1</v>
      </c>
      <c r="W940" s="4" t="s">
        <v>5071</v>
      </c>
      <c r="X940" s="4" t="s">
        <v>5071</v>
      </c>
      <c r="Y940" s="4" t="s">
        <v>5071</v>
      </c>
      <c r="Z940" s="4" t="s">
        <v>5071</v>
      </c>
      <c r="AA940" s="3">
        <v>87</v>
      </c>
      <c r="AB940" s="3">
        <v>60</v>
      </c>
      <c r="AC940" s="3">
        <v>62</v>
      </c>
      <c r="AD940" s="3">
        <v>1</v>
      </c>
      <c r="AE940" s="9">
        <v>1</v>
      </c>
      <c r="AF940" s="9">
        <v>3</v>
      </c>
      <c r="AG940" s="9">
        <v>3</v>
      </c>
      <c r="AH940" s="3">
        <v>0</v>
      </c>
      <c r="AI940" s="3">
        <v>0</v>
      </c>
      <c r="AJ940" s="3">
        <v>3</v>
      </c>
      <c r="AK940" s="3">
        <v>3</v>
      </c>
      <c r="AL940" s="3">
        <v>1</v>
      </c>
      <c r="AM940" s="3">
        <v>1</v>
      </c>
      <c r="AN940" s="3">
        <v>0</v>
      </c>
      <c r="AO940" s="3">
        <v>0</v>
      </c>
      <c r="AP940" s="3">
        <v>0</v>
      </c>
      <c r="AQ940" s="3">
        <v>0</v>
      </c>
      <c r="AR940" s="2" t="s">
        <v>5</v>
      </c>
      <c r="AS940" s="2" t="s">
        <v>46</v>
      </c>
      <c r="AT940" s="5" t="str">
        <f>HYPERLINK("http://catalog.hathitrust.org/Record/101102911","HathiTrust Record")</f>
        <v>HathiTrust Record</v>
      </c>
      <c r="AU940" s="5" t="str">
        <f>HYPERLINK("https://creighton-primo.hosted.exlibrisgroup.com/primo-explore/search?tab=default_tab&amp;search_scope=EVERYTHING&amp;vid=01CRU&amp;lang=en_US&amp;offset=0&amp;query=any,contains,991004337599702656","Catalog Record")</f>
        <v>Catalog Record</v>
      </c>
      <c r="AV940" s="5" t="str">
        <f>HYPERLINK("http://www.worldcat.org/oclc/15717134","WorldCat Record")</f>
        <v>WorldCat Record</v>
      </c>
      <c r="AW940" s="2" t="s">
        <v>11663</v>
      </c>
      <c r="AX940" s="2" t="s">
        <v>11664</v>
      </c>
      <c r="AY940" s="2" t="s">
        <v>11665</v>
      </c>
      <c r="AZ940" s="2" t="s">
        <v>11665</v>
      </c>
      <c r="BA940" s="2" t="s">
        <v>11666</v>
      </c>
      <c r="BB940" s="2" t="s">
        <v>20</v>
      </c>
      <c r="BE940" s="2" t="s">
        <v>11667</v>
      </c>
      <c r="BF940" s="2" t="s">
        <v>11668</v>
      </c>
    </row>
    <row r="941" spans="1:58" ht="39.75" customHeight="1" x14ac:dyDescent="0.25">
      <c r="A941" s="7" t="s">
        <v>5</v>
      </c>
      <c r="B941" s="1" t="s">
        <v>0</v>
      </c>
      <c r="C941" s="1" t="s">
        <v>1</v>
      </c>
      <c r="D941" s="1" t="s">
        <v>11669</v>
      </c>
      <c r="E941" s="1" t="s">
        <v>11670</v>
      </c>
      <c r="F941" s="1" t="s">
        <v>11671</v>
      </c>
      <c r="H941" s="2" t="s">
        <v>5</v>
      </c>
      <c r="I941" s="2" t="s">
        <v>6</v>
      </c>
      <c r="J941" s="2" t="s">
        <v>5</v>
      </c>
      <c r="K941" s="2" t="s">
        <v>5</v>
      </c>
      <c r="L941" s="2" t="s">
        <v>7</v>
      </c>
      <c r="M941" s="1" t="s">
        <v>11660</v>
      </c>
      <c r="N941" s="1" t="s">
        <v>11672</v>
      </c>
      <c r="O941" s="2" t="s">
        <v>421</v>
      </c>
      <c r="Q941" s="2" t="s">
        <v>1151</v>
      </c>
      <c r="R941" s="2" t="s">
        <v>9502</v>
      </c>
      <c r="S941" s="1" t="s">
        <v>11673</v>
      </c>
      <c r="T941" s="2" t="s">
        <v>13</v>
      </c>
      <c r="U941" s="3">
        <v>1</v>
      </c>
      <c r="V941" s="3">
        <v>1</v>
      </c>
      <c r="W941" s="4" t="s">
        <v>5071</v>
      </c>
      <c r="X941" s="4" t="s">
        <v>5071</v>
      </c>
      <c r="Y941" s="4" t="s">
        <v>5071</v>
      </c>
      <c r="Z941" s="4" t="s">
        <v>5071</v>
      </c>
      <c r="AA941" s="3">
        <v>70</v>
      </c>
      <c r="AB941" s="3">
        <v>58</v>
      </c>
      <c r="AC941" s="3">
        <v>60</v>
      </c>
      <c r="AD941" s="3">
        <v>1</v>
      </c>
      <c r="AE941" s="9">
        <v>1</v>
      </c>
      <c r="AF941" s="9">
        <v>3</v>
      </c>
      <c r="AG941" s="9">
        <v>3</v>
      </c>
      <c r="AH941" s="3">
        <v>0</v>
      </c>
      <c r="AI941" s="3">
        <v>0</v>
      </c>
      <c r="AJ941" s="3">
        <v>2</v>
      </c>
      <c r="AK941" s="3">
        <v>2</v>
      </c>
      <c r="AL941" s="3">
        <v>2</v>
      </c>
      <c r="AM941" s="3">
        <v>2</v>
      </c>
      <c r="AN941" s="3">
        <v>0</v>
      </c>
      <c r="AO941" s="3">
        <v>0</v>
      </c>
      <c r="AP941" s="3">
        <v>0</v>
      </c>
      <c r="AQ941" s="3">
        <v>0</v>
      </c>
      <c r="AR941" s="2" t="s">
        <v>5</v>
      </c>
      <c r="AS941" s="2" t="s">
        <v>46</v>
      </c>
      <c r="AT941" s="5" t="str">
        <f>HYPERLINK("http://catalog.hathitrust.org/Record/009502793","HathiTrust Record")</f>
        <v>HathiTrust Record</v>
      </c>
      <c r="AU941" s="5" t="str">
        <f>HYPERLINK("https://creighton-primo.hosted.exlibrisgroup.com/primo-explore/search?tab=default_tab&amp;search_scope=EVERYTHING&amp;vid=01CRU&amp;lang=en_US&amp;offset=0&amp;query=any,contains,991004337739702656","Catalog Record")</f>
        <v>Catalog Record</v>
      </c>
      <c r="AV941" s="5" t="str">
        <f>HYPERLINK("http://www.worldcat.org/oclc/10817311","WorldCat Record")</f>
        <v>WorldCat Record</v>
      </c>
      <c r="AW941" s="2" t="s">
        <v>11674</v>
      </c>
      <c r="AX941" s="2" t="s">
        <v>11675</v>
      </c>
      <c r="AY941" s="2" t="s">
        <v>11676</v>
      </c>
      <c r="AZ941" s="2" t="s">
        <v>11676</v>
      </c>
      <c r="BA941" s="2" t="s">
        <v>11677</v>
      </c>
      <c r="BB941" s="2" t="s">
        <v>20</v>
      </c>
      <c r="BE941" s="2" t="s">
        <v>11678</v>
      </c>
      <c r="BF941" s="2" t="s">
        <v>11679</v>
      </c>
    </row>
    <row r="942" spans="1:58" ht="39.75" customHeight="1" x14ac:dyDescent="0.25">
      <c r="A942" s="7" t="s">
        <v>5</v>
      </c>
      <c r="B942" s="1" t="s">
        <v>0</v>
      </c>
      <c r="C942" s="1" t="s">
        <v>1</v>
      </c>
      <c r="D942" s="1" t="s">
        <v>11680</v>
      </c>
      <c r="E942" s="1" t="s">
        <v>11681</v>
      </c>
      <c r="F942" s="1" t="s">
        <v>11682</v>
      </c>
      <c r="H942" s="2" t="s">
        <v>5</v>
      </c>
      <c r="I942" s="2" t="s">
        <v>6</v>
      </c>
      <c r="J942" s="2" t="s">
        <v>5</v>
      </c>
      <c r="K942" s="2" t="s">
        <v>46</v>
      </c>
      <c r="L942" s="2" t="s">
        <v>7</v>
      </c>
      <c r="N942" s="1" t="s">
        <v>11683</v>
      </c>
      <c r="O942" s="2" t="s">
        <v>3250</v>
      </c>
      <c r="Q942" s="2" t="s">
        <v>1151</v>
      </c>
      <c r="R942" s="2" t="s">
        <v>9502</v>
      </c>
      <c r="T942" s="2" t="s">
        <v>13</v>
      </c>
      <c r="U942" s="3">
        <v>1</v>
      </c>
      <c r="V942" s="3">
        <v>1</v>
      </c>
      <c r="W942" s="4" t="s">
        <v>997</v>
      </c>
      <c r="X942" s="4" t="s">
        <v>997</v>
      </c>
      <c r="Y942" s="4" t="s">
        <v>997</v>
      </c>
      <c r="Z942" s="4" t="s">
        <v>997</v>
      </c>
      <c r="AA942" s="3">
        <v>20</v>
      </c>
      <c r="AB942" s="3">
        <v>19</v>
      </c>
      <c r="AC942" s="3">
        <v>143</v>
      </c>
      <c r="AD942" s="3">
        <v>2</v>
      </c>
      <c r="AE942" s="9">
        <v>2</v>
      </c>
      <c r="AF942" s="9">
        <v>2</v>
      </c>
      <c r="AG942" s="9">
        <v>7</v>
      </c>
      <c r="AH942" s="3">
        <v>0</v>
      </c>
      <c r="AI942" s="3">
        <v>2</v>
      </c>
      <c r="AJ942" s="3">
        <v>1</v>
      </c>
      <c r="AK942" s="3">
        <v>3</v>
      </c>
      <c r="AL942" s="3">
        <v>0</v>
      </c>
      <c r="AM942" s="3">
        <v>2</v>
      </c>
      <c r="AN942" s="3">
        <v>1</v>
      </c>
      <c r="AO942" s="3">
        <v>1</v>
      </c>
      <c r="AP942" s="3">
        <v>0</v>
      </c>
      <c r="AQ942" s="3">
        <v>0</v>
      </c>
      <c r="AR942" s="2" t="s">
        <v>5</v>
      </c>
      <c r="AS942" s="2" t="s">
        <v>5</v>
      </c>
      <c r="AU942" s="5" t="str">
        <f>HYPERLINK("https://creighton-primo.hosted.exlibrisgroup.com/primo-explore/search?tab=default_tab&amp;search_scope=EVERYTHING&amp;vid=01CRU&amp;lang=en_US&amp;offset=0&amp;query=any,contains,991004209299702656","Catalog Record")</f>
        <v>Catalog Record</v>
      </c>
      <c r="AV942" s="5" t="str">
        <f>HYPERLINK("http://www.worldcat.org/oclc/54067732","WorldCat Record")</f>
        <v>WorldCat Record</v>
      </c>
      <c r="AW942" s="2" t="s">
        <v>11568</v>
      </c>
      <c r="AX942" s="2" t="s">
        <v>11684</v>
      </c>
      <c r="AY942" s="2" t="s">
        <v>11685</v>
      </c>
      <c r="AZ942" s="2" t="s">
        <v>11685</v>
      </c>
      <c r="BA942" s="2" t="s">
        <v>11686</v>
      </c>
      <c r="BB942" s="2" t="s">
        <v>20</v>
      </c>
      <c r="BD942" s="2" t="s">
        <v>11687</v>
      </c>
      <c r="BE942" s="2" t="s">
        <v>11688</v>
      </c>
      <c r="BF942" s="2" t="s">
        <v>11689</v>
      </c>
    </row>
    <row r="943" spans="1:58" ht="39.75" customHeight="1" x14ac:dyDescent="0.25">
      <c r="A943" s="7" t="s">
        <v>5</v>
      </c>
      <c r="B943" s="1" t="s">
        <v>0</v>
      </c>
      <c r="C943" s="1" t="s">
        <v>1</v>
      </c>
      <c r="D943" s="1" t="s">
        <v>11690</v>
      </c>
      <c r="E943" s="1" t="s">
        <v>11691</v>
      </c>
      <c r="F943" s="1" t="s">
        <v>11692</v>
      </c>
      <c r="H943" s="2" t="s">
        <v>5</v>
      </c>
      <c r="I943" s="2" t="s">
        <v>6</v>
      </c>
      <c r="J943" s="2" t="s">
        <v>5</v>
      </c>
      <c r="K943" s="2" t="s">
        <v>5</v>
      </c>
      <c r="L943" s="2" t="s">
        <v>7</v>
      </c>
      <c r="N943" s="1" t="s">
        <v>11693</v>
      </c>
      <c r="O943" s="2" t="s">
        <v>2448</v>
      </c>
      <c r="Q943" s="2" t="s">
        <v>1151</v>
      </c>
      <c r="R943" s="2" t="s">
        <v>9502</v>
      </c>
      <c r="S943" s="1" t="s">
        <v>11694</v>
      </c>
      <c r="T943" s="2" t="s">
        <v>13</v>
      </c>
      <c r="U943" s="3">
        <v>3</v>
      </c>
      <c r="V943" s="3">
        <v>3</v>
      </c>
      <c r="W943" s="4" t="s">
        <v>11695</v>
      </c>
      <c r="X943" s="4" t="s">
        <v>11695</v>
      </c>
      <c r="Y943" s="4" t="s">
        <v>11696</v>
      </c>
      <c r="Z943" s="4" t="s">
        <v>11696</v>
      </c>
      <c r="AA943" s="3">
        <v>48</v>
      </c>
      <c r="AB943" s="3">
        <v>44</v>
      </c>
      <c r="AC943" s="3">
        <v>56</v>
      </c>
      <c r="AD943" s="3">
        <v>1</v>
      </c>
      <c r="AE943" s="9">
        <v>1</v>
      </c>
      <c r="AF943" s="9">
        <v>3</v>
      </c>
      <c r="AG943" s="9">
        <v>3</v>
      </c>
      <c r="AH943" s="3">
        <v>0</v>
      </c>
      <c r="AI943" s="3">
        <v>0</v>
      </c>
      <c r="AJ943" s="3">
        <v>2</v>
      </c>
      <c r="AK943" s="3">
        <v>2</v>
      </c>
      <c r="AL943" s="3">
        <v>2</v>
      </c>
      <c r="AM943" s="3">
        <v>2</v>
      </c>
      <c r="AN943" s="3">
        <v>0</v>
      </c>
      <c r="AO943" s="3">
        <v>0</v>
      </c>
      <c r="AP943" s="3">
        <v>0</v>
      </c>
      <c r="AQ943" s="3">
        <v>0</v>
      </c>
      <c r="AR943" s="2" t="s">
        <v>5</v>
      </c>
      <c r="AS943" s="2" t="s">
        <v>46</v>
      </c>
      <c r="AT943" s="5" t="str">
        <f>HYPERLINK("http://catalog.hathitrust.org/Record/004048055","HathiTrust Record")</f>
        <v>HathiTrust Record</v>
      </c>
      <c r="AU943" s="5" t="str">
        <f>HYPERLINK("https://creighton-primo.hosted.exlibrisgroup.com/primo-explore/search?tab=default_tab&amp;search_scope=EVERYTHING&amp;vid=01CRU&amp;lang=en_US&amp;offset=0&amp;query=any,contains,991003050349702656","Catalog Record")</f>
        <v>Catalog Record</v>
      </c>
      <c r="AV943" s="5" t="str">
        <f>HYPERLINK("http://www.worldcat.org/oclc/42896372","WorldCat Record")</f>
        <v>WorldCat Record</v>
      </c>
      <c r="AW943" s="2" t="s">
        <v>11697</v>
      </c>
      <c r="AX943" s="2" t="s">
        <v>11698</v>
      </c>
      <c r="AY943" s="2" t="s">
        <v>11699</v>
      </c>
      <c r="AZ943" s="2" t="s">
        <v>11699</v>
      </c>
      <c r="BA943" s="2" t="s">
        <v>11700</v>
      </c>
      <c r="BB943" s="2" t="s">
        <v>20</v>
      </c>
      <c r="BD943" s="2" t="s">
        <v>11701</v>
      </c>
      <c r="BE943" s="2" t="s">
        <v>11702</v>
      </c>
      <c r="BF943" s="2" t="s">
        <v>11703</v>
      </c>
    </row>
    <row r="944" spans="1:58" ht="39.75" customHeight="1" x14ac:dyDescent="0.25">
      <c r="A944" s="7" t="s">
        <v>5</v>
      </c>
      <c r="B944" s="1" t="s">
        <v>0</v>
      </c>
      <c r="C944" s="1" t="s">
        <v>1</v>
      </c>
      <c r="D944" s="1" t="s">
        <v>11704</v>
      </c>
      <c r="E944" s="1" t="s">
        <v>11705</v>
      </c>
      <c r="F944" s="1" t="s">
        <v>11706</v>
      </c>
      <c r="H944" s="2" t="s">
        <v>5</v>
      </c>
      <c r="I944" s="2" t="s">
        <v>6</v>
      </c>
      <c r="J944" s="2" t="s">
        <v>5</v>
      </c>
      <c r="K944" s="2" t="s">
        <v>5</v>
      </c>
      <c r="L944" s="2" t="s">
        <v>7</v>
      </c>
      <c r="N944" s="1" t="s">
        <v>11661</v>
      </c>
      <c r="O944" s="2" t="s">
        <v>1273</v>
      </c>
      <c r="Q944" s="2" t="s">
        <v>1151</v>
      </c>
      <c r="R944" s="2" t="s">
        <v>9502</v>
      </c>
      <c r="T944" s="2" t="s">
        <v>13</v>
      </c>
      <c r="U944" s="3">
        <v>1</v>
      </c>
      <c r="V944" s="3">
        <v>1</v>
      </c>
      <c r="W944" s="4" t="s">
        <v>11707</v>
      </c>
      <c r="X944" s="4" t="s">
        <v>11707</v>
      </c>
      <c r="Y944" s="4" t="s">
        <v>11708</v>
      </c>
      <c r="Z944" s="4" t="s">
        <v>11708</v>
      </c>
      <c r="AA944" s="3">
        <v>14</v>
      </c>
      <c r="AB944" s="3">
        <v>11</v>
      </c>
      <c r="AC944" s="3">
        <v>12</v>
      </c>
      <c r="AD944" s="3">
        <v>1</v>
      </c>
      <c r="AE944" s="9">
        <v>1</v>
      </c>
      <c r="AF944" s="9">
        <v>0</v>
      </c>
      <c r="AG944" s="9">
        <v>0</v>
      </c>
      <c r="AH944" s="3">
        <v>0</v>
      </c>
      <c r="AI944" s="3">
        <v>0</v>
      </c>
      <c r="AJ944" s="3">
        <v>0</v>
      </c>
      <c r="AK944" s="3">
        <v>0</v>
      </c>
      <c r="AL944" s="3">
        <v>0</v>
      </c>
      <c r="AM944" s="3">
        <v>0</v>
      </c>
      <c r="AN944" s="3">
        <v>0</v>
      </c>
      <c r="AO944" s="3">
        <v>0</v>
      </c>
      <c r="AP944" s="3">
        <v>0</v>
      </c>
      <c r="AQ944" s="3">
        <v>0</v>
      </c>
      <c r="AR944" s="2" t="s">
        <v>5</v>
      </c>
      <c r="AS944" s="2" t="s">
        <v>5</v>
      </c>
      <c r="AU944" s="5" t="str">
        <f>HYPERLINK("https://creighton-primo.hosted.exlibrisgroup.com/primo-explore/search?tab=default_tab&amp;search_scope=EVERYTHING&amp;vid=01CRU&amp;lang=en_US&amp;offset=0&amp;query=any,contains,991003677789702656","Catalog Record")</f>
        <v>Catalog Record</v>
      </c>
      <c r="AV944" s="5" t="str">
        <f>HYPERLINK("http://www.worldcat.org/oclc/20342127","WorldCat Record")</f>
        <v>WorldCat Record</v>
      </c>
      <c r="AW944" s="2" t="s">
        <v>11709</v>
      </c>
      <c r="AX944" s="2" t="s">
        <v>11710</v>
      </c>
      <c r="AY944" s="2" t="s">
        <v>11711</v>
      </c>
      <c r="AZ944" s="2" t="s">
        <v>11711</v>
      </c>
      <c r="BA944" s="2" t="s">
        <v>11712</v>
      </c>
      <c r="BB944" s="2" t="s">
        <v>20</v>
      </c>
      <c r="BE944" s="2" t="s">
        <v>11713</v>
      </c>
      <c r="BF944" s="2" t="s">
        <v>11714</v>
      </c>
    </row>
    <row r="945" spans="1:58" ht="39.75" customHeight="1" x14ac:dyDescent="0.25">
      <c r="A945" s="7" t="s">
        <v>5</v>
      </c>
      <c r="B945" s="1" t="s">
        <v>0</v>
      </c>
      <c r="C945" s="1" t="s">
        <v>1</v>
      </c>
      <c r="D945" s="1" t="s">
        <v>11715</v>
      </c>
      <c r="E945" s="1" t="s">
        <v>11716</v>
      </c>
      <c r="F945" s="1" t="s">
        <v>11717</v>
      </c>
      <c r="H945" s="2" t="s">
        <v>5</v>
      </c>
      <c r="I945" s="2" t="s">
        <v>6</v>
      </c>
      <c r="J945" s="2" t="s">
        <v>5</v>
      </c>
      <c r="K945" s="2" t="s">
        <v>5</v>
      </c>
      <c r="L945" s="2" t="s">
        <v>7</v>
      </c>
      <c r="M945" s="1" t="s">
        <v>11718</v>
      </c>
      <c r="N945" s="1" t="s">
        <v>11719</v>
      </c>
      <c r="O945" s="2" t="s">
        <v>2448</v>
      </c>
      <c r="P945" s="1" t="s">
        <v>2908</v>
      </c>
      <c r="Q945" s="2" t="s">
        <v>1151</v>
      </c>
      <c r="R945" s="2" t="s">
        <v>5403</v>
      </c>
      <c r="S945" s="1" t="s">
        <v>10033</v>
      </c>
      <c r="T945" s="2" t="s">
        <v>13</v>
      </c>
      <c r="U945" s="3">
        <v>1</v>
      </c>
      <c r="V945" s="3">
        <v>1</v>
      </c>
      <c r="W945" s="4" t="s">
        <v>11720</v>
      </c>
      <c r="X945" s="4" t="s">
        <v>11720</v>
      </c>
      <c r="Y945" s="4" t="s">
        <v>11720</v>
      </c>
      <c r="Z945" s="4" t="s">
        <v>11720</v>
      </c>
      <c r="AA945" s="3">
        <v>134</v>
      </c>
      <c r="AB945" s="3">
        <v>109</v>
      </c>
      <c r="AC945" s="3">
        <v>117</v>
      </c>
      <c r="AD945" s="3">
        <v>1</v>
      </c>
      <c r="AE945" s="9">
        <v>1</v>
      </c>
      <c r="AF945" s="9">
        <v>4</v>
      </c>
      <c r="AG945" s="9">
        <v>4</v>
      </c>
      <c r="AH945" s="3">
        <v>1</v>
      </c>
      <c r="AI945" s="3">
        <v>1</v>
      </c>
      <c r="AJ945" s="3">
        <v>1</v>
      </c>
      <c r="AK945" s="3">
        <v>1</v>
      </c>
      <c r="AL945" s="3">
        <v>3</v>
      </c>
      <c r="AM945" s="3">
        <v>3</v>
      </c>
      <c r="AN945" s="3">
        <v>0</v>
      </c>
      <c r="AO945" s="3">
        <v>0</v>
      </c>
      <c r="AP945" s="3">
        <v>0</v>
      </c>
      <c r="AQ945" s="3">
        <v>0</v>
      </c>
      <c r="AR945" s="2" t="s">
        <v>5</v>
      </c>
      <c r="AS945" s="2" t="s">
        <v>46</v>
      </c>
      <c r="AT945" s="5" t="str">
        <f>HYPERLINK("http://catalog.hathitrust.org/Record/004088117","HathiTrust Record")</f>
        <v>HathiTrust Record</v>
      </c>
      <c r="AU945" s="5" t="str">
        <f>HYPERLINK("https://creighton-primo.hosted.exlibrisgroup.com/primo-explore/search?tab=default_tab&amp;search_scope=EVERYTHING&amp;vid=01CRU&amp;lang=en_US&amp;offset=0&amp;query=any,contains,991003253729702656","Catalog Record")</f>
        <v>Catalog Record</v>
      </c>
      <c r="AV945" s="5" t="str">
        <f>HYPERLINK("http://www.worldcat.org/oclc/43869301","WorldCat Record")</f>
        <v>WorldCat Record</v>
      </c>
      <c r="AW945" s="2" t="s">
        <v>11721</v>
      </c>
      <c r="AX945" s="2" t="s">
        <v>11722</v>
      </c>
      <c r="AY945" s="2" t="s">
        <v>11723</v>
      </c>
      <c r="AZ945" s="2" t="s">
        <v>11723</v>
      </c>
      <c r="BA945" s="2" t="s">
        <v>11724</v>
      </c>
      <c r="BB945" s="2" t="s">
        <v>20</v>
      </c>
      <c r="BD945" s="2" t="s">
        <v>11725</v>
      </c>
      <c r="BE945" s="2" t="s">
        <v>11726</v>
      </c>
      <c r="BF945" s="2" t="s">
        <v>11727</v>
      </c>
    </row>
    <row r="946" spans="1:58" ht="39.75" customHeight="1" x14ac:dyDescent="0.25">
      <c r="A946" s="7" t="s">
        <v>5</v>
      </c>
      <c r="B946" s="1" t="s">
        <v>0</v>
      </c>
      <c r="C946" s="1" t="s">
        <v>1</v>
      </c>
      <c r="D946" s="1" t="s">
        <v>11728</v>
      </c>
      <c r="E946" s="1" t="s">
        <v>11729</v>
      </c>
      <c r="F946" s="1" t="s">
        <v>11730</v>
      </c>
      <c r="H946" s="2" t="s">
        <v>5</v>
      </c>
      <c r="I946" s="2" t="s">
        <v>6</v>
      </c>
      <c r="J946" s="2" t="s">
        <v>5</v>
      </c>
      <c r="K946" s="2" t="s">
        <v>5</v>
      </c>
      <c r="L946" s="2" t="s">
        <v>7</v>
      </c>
      <c r="M946" s="1" t="s">
        <v>11731</v>
      </c>
      <c r="N946" s="1" t="s">
        <v>11732</v>
      </c>
      <c r="O946" s="2" t="s">
        <v>2859</v>
      </c>
      <c r="Q946" s="2" t="s">
        <v>1151</v>
      </c>
      <c r="R946" s="2" t="s">
        <v>9502</v>
      </c>
      <c r="T946" s="2" t="s">
        <v>13</v>
      </c>
      <c r="U946" s="3">
        <v>2</v>
      </c>
      <c r="V946" s="3">
        <v>2</v>
      </c>
      <c r="W946" s="4" t="s">
        <v>5071</v>
      </c>
      <c r="X946" s="4" t="s">
        <v>5071</v>
      </c>
      <c r="Y946" s="4" t="s">
        <v>5071</v>
      </c>
      <c r="Z946" s="4" t="s">
        <v>5071</v>
      </c>
      <c r="AA946" s="3">
        <v>124</v>
      </c>
      <c r="AB946" s="3">
        <v>84</v>
      </c>
      <c r="AC946" s="3">
        <v>86</v>
      </c>
      <c r="AD946" s="3">
        <v>1</v>
      </c>
      <c r="AE946" s="9">
        <v>1</v>
      </c>
      <c r="AF946" s="9">
        <v>3</v>
      </c>
      <c r="AG946" s="9">
        <v>3</v>
      </c>
      <c r="AH946" s="3">
        <v>0</v>
      </c>
      <c r="AI946" s="3">
        <v>0</v>
      </c>
      <c r="AJ946" s="3">
        <v>2</v>
      </c>
      <c r="AK946" s="3">
        <v>2</v>
      </c>
      <c r="AL946" s="3">
        <v>2</v>
      </c>
      <c r="AM946" s="3">
        <v>2</v>
      </c>
      <c r="AN946" s="3">
        <v>0</v>
      </c>
      <c r="AO946" s="3">
        <v>0</v>
      </c>
      <c r="AP946" s="3">
        <v>0</v>
      </c>
      <c r="AQ946" s="3">
        <v>0</v>
      </c>
      <c r="AR946" s="2" t="s">
        <v>5</v>
      </c>
      <c r="AS946" s="2" t="s">
        <v>46</v>
      </c>
      <c r="AT946" s="5" t="str">
        <f>HYPERLINK("http://catalog.hathitrust.org/Record/002727642","HathiTrust Record")</f>
        <v>HathiTrust Record</v>
      </c>
      <c r="AU946" s="5" t="str">
        <f>HYPERLINK("https://creighton-primo.hosted.exlibrisgroup.com/primo-explore/search?tab=default_tab&amp;search_scope=EVERYTHING&amp;vid=01CRU&amp;lang=en_US&amp;offset=0&amp;query=any,contains,991004336489702656","Catalog Record")</f>
        <v>Catalog Record</v>
      </c>
      <c r="AV946" s="5" t="str">
        <f>HYPERLINK("http://www.worldcat.org/oclc/12403792","WorldCat Record")</f>
        <v>WorldCat Record</v>
      </c>
      <c r="AW946" s="2" t="s">
        <v>11733</v>
      </c>
      <c r="AX946" s="2" t="s">
        <v>11734</v>
      </c>
      <c r="AY946" s="2" t="s">
        <v>11735</v>
      </c>
      <c r="AZ946" s="2" t="s">
        <v>11735</v>
      </c>
      <c r="BA946" s="2" t="s">
        <v>11736</v>
      </c>
      <c r="BB946" s="2" t="s">
        <v>20</v>
      </c>
      <c r="BE946" s="2" t="s">
        <v>11737</v>
      </c>
      <c r="BF946" s="2" t="s">
        <v>11738</v>
      </c>
    </row>
    <row r="947" spans="1:58" ht="39.75" customHeight="1" x14ac:dyDescent="0.25">
      <c r="A947" s="7" t="s">
        <v>5</v>
      </c>
      <c r="B947" s="1" t="s">
        <v>0</v>
      </c>
      <c r="C947" s="1" t="s">
        <v>1</v>
      </c>
      <c r="D947" s="1" t="s">
        <v>11739</v>
      </c>
      <c r="E947" s="1" t="s">
        <v>11740</v>
      </c>
      <c r="F947" s="1" t="s">
        <v>11741</v>
      </c>
      <c r="H947" s="2" t="s">
        <v>5</v>
      </c>
      <c r="I947" s="2" t="s">
        <v>6</v>
      </c>
      <c r="J947" s="2" t="s">
        <v>5</v>
      </c>
      <c r="K947" s="2" t="s">
        <v>5</v>
      </c>
      <c r="L947" s="2" t="s">
        <v>7</v>
      </c>
      <c r="M947" s="1" t="s">
        <v>10007</v>
      </c>
      <c r="N947" s="1" t="s">
        <v>11742</v>
      </c>
      <c r="O947" s="2" t="s">
        <v>639</v>
      </c>
      <c r="P947" s="1" t="s">
        <v>5911</v>
      </c>
      <c r="Q947" s="2" t="s">
        <v>1151</v>
      </c>
      <c r="R947" s="2" t="s">
        <v>4146</v>
      </c>
      <c r="S947" s="1" t="s">
        <v>11743</v>
      </c>
      <c r="T947" s="2" t="s">
        <v>13</v>
      </c>
      <c r="U947" s="3">
        <v>1</v>
      </c>
      <c r="V947" s="3">
        <v>1</v>
      </c>
      <c r="W947" s="4" t="s">
        <v>11744</v>
      </c>
      <c r="X947" s="4" t="s">
        <v>11744</v>
      </c>
      <c r="Y947" s="4" t="s">
        <v>11744</v>
      </c>
      <c r="Z947" s="4" t="s">
        <v>11744</v>
      </c>
      <c r="AA947" s="3">
        <v>79</v>
      </c>
      <c r="AB947" s="3">
        <v>54</v>
      </c>
      <c r="AC947" s="3">
        <v>55</v>
      </c>
      <c r="AD947" s="3">
        <v>1</v>
      </c>
      <c r="AE947" s="9">
        <v>1</v>
      </c>
      <c r="AF947" s="9">
        <v>0</v>
      </c>
      <c r="AG947" s="9">
        <v>0</v>
      </c>
      <c r="AH947" s="3">
        <v>0</v>
      </c>
      <c r="AI947" s="3">
        <v>0</v>
      </c>
      <c r="AJ947" s="3">
        <v>0</v>
      </c>
      <c r="AK947" s="3">
        <v>0</v>
      </c>
      <c r="AL947" s="3">
        <v>0</v>
      </c>
      <c r="AM947" s="3">
        <v>0</v>
      </c>
      <c r="AN947" s="3">
        <v>0</v>
      </c>
      <c r="AO947" s="3">
        <v>0</v>
      </c>
      <c r="AP947" s="3">
        <v>0</v>
      </c>
      <c r="AQ947" s="3">
        <v>0</v>
      </c>
      <c r="AR947" s="2" t="s">
        <v>5</v>
      </c>
      <c r="AS947" s="2" t="s">
        <v>5</v>
      </c>
      <c r="AU947" s="5" t="str">
        <f>HYPERLINK("https://creighton-primo.hosted.exlibrisgroup.com/primo-explore/search?tab=default_tab&amp;search_scope=EVERYTHING&amp;vid=01CRU&amp;lang=en_US&amp;offset=0&amp;query=any,contains,991003818449702656","Catalog Record")</f>
        <v>Catalog Record</v>
      </c>
      <c r="AV947" s="5" t="str">
        <f>HYPERLINK("http://www.worldcat.org/oclc/20492093","WorldCat Record")</f>
        <v>WorldCat Record</v>
      </c>
      <c r="AW947" s="2" t="s">
        <v>11745</v>
      </c>
      <c r="AX947" s="2" t="s">
        <v>11746</v>
      </c>
      <c r="AY947" s="2" t="s">
        <v>11747</v>
      </c>
      <c r="AZ947" s="2" t="s">
        <v>11747</v>
      </c>
      <c r="BA947" s="2" t="s">
        <v>11748</v>
      </c>
      <c r="BB947" s="2" t="s">
        <v>20</v>
      </c>
      <c r="BD947" s="2" t="s">
        <v>11749</v>
      </c>
      <c r="BE947" s="2" t="s">
        <v>11750</v>
      </c>
      <c r="BF947" s="2" t="s">
        <v>11751</v>
      </c>
    </row>
    <row r="948" spans="1:58" ht="39.75" customHeight="1" x14ac:dyDescent="0.25">
      <c r="A948" s="7" t="s">
        <v>5</v>
      </c>
      <c r="B948" s="1" t="s">
        <v>0</v>
      </c>
      <c r="C948" s="1" t="s">
        <v>1</v>
      </c>
      <c r="D948" s="1" t="s">
        <v>11752</v>
      </c>
      <c r="E948" s="1" t="s">
        <v>11753</v>
      </c>
      <c r="F948" s="1" t="s">
        <v>11754</v>
      </c>
      <c r="H948" s="2" t="s">
        <v>5</v>
      </c>
      <c r="I948" s="2" t="s">
        <v>6</v>
      </c>
      <c r="J948" s="2" t="s">
        <v>5</v>
      </c>
      <c r="K948" s="2" t="s">
        <v>5</v>
      </c>
      <c r="L948" s="2" t="s">
        <v>7</v>
      </c>
      <c r="M948" s="1" t="s">
        <v>11755</v>
      </c>
      <c r="N948" s="1" t="s">
        <v>11756</v>
      </c>
      <c r="O948" s="2" t="s">
        <v>42</v>
      </c>
      <c r="P948" s="1" t="s">
        <v>11757</v>
      </c>
      <c r="Q948" s="2" t="s">
        <v>60</v>
      </c>
      <c r="R948" s="2" t="s">
        <v>1066</v>
      </c>
      <c r="S948" s="1" t="s">
        <v>11758</v>
      </c>
      <c r="T948" s="2" t="s">
        <v>13</v>
      </c>
      <c r="U948" s="3">
        <v>0</v>
      </c>
      <c r="V948" s="3">
        <v>0</v>
      </c>
      <c r="W948" s="4" t="s">
        <v>11759</v>
      </c>
      <c r="X948" s="4" t="s">
        <v>11759</v>
      </c>
      <c r="Y948" s="4" t="s">
        <v>10591</v>
      </c>
      <c r="Z948" s="4" t="s">
        <v>10591</v>
      </c>
      <c r="AA948" s="3">
        <v>247</v>
      </c>
      <c r="AB948" s="3">
        <v>219</v>
      </c>
      <c r="AC948" s="3">
        <v>612</v>
      </c>
      <c r="AD948" s="3">
        <v>2</v>
      </c>
      <c r="AE948" s="9">
        <v>4</v>
      </c>
      <c r="AF948" s="9">
        <v>12</v>
      </c>
      <c r="AG948" s="9">
        <v>36</v>
      </c>
      <c r="AH948" s="3">
        <v>3</v>
      </c>
      <c r="AI948" s="3">
        <v>14</v>
      </c>
      <c r="AJ948" s="3">
        <v>2</v>
      </c>
      <c r="AK948" s="3">
        <v>9</v>
      </c>
      <c r="AL948" s="3">
        <v>9</v>
      </c>
      <c r="AM948" s="3">
        <v>20</v>
      </c>
      <c r="AN948" s="3">
        <v>1</v>
      </c>
      <c r="AO948" s="3">
        <v>3</v>
      </c>
      <c r="AP948" s="3">
        <v>0</v>
      </c>
      <c r="AQ948" s="3">
        <v>0</v>
      </c>
      <c r="AR948" s="2" t="s">
        <v>5</v>
      </c>
      <c r="AS948" s="2" t="s">
        <v>46</v>
      </c>
      <c r="AT948" s="5" t="str">
        <f>HYPERLINK("http://catalog.hathitrust.org/Record/008321760","HathiTrust Record")</f>
        <v>HathiTrust Record</v>
      </c>
      <c r="AU948" s="5" t="str">
        <f>HYPERLINK("https://creighton-primo.hosted.exlibrisgroup.com/primo-explore/search?tab=default_tab&amp;search_scope=EVERYTHING&amp;vid=01CRU&amp;lang=en_US&amp;offset=0&amp;query=any,contains,991001811569702656","Catalog Record")</f>
        <v>Catalog Record</v>
      </c>
      <c r="AV948" s="5" t="str">
        <f>HYPERLINK("http://www.worldcat.org/oclc/22756633","WorldCat Record")</f>
        <v>WorldCat Record</v>
      </c>
      <c r="AW948" s="2" t="s">
        <v>11760</v>
      </c>
      <c r="AX948" s="2" t="s">
        <v>11761</v>
      </c>
      <c r="AY948" s="2" t="s">
        <v>11762</v>
      </c>
      <c r="AZ948" s="2" t="s">
        <v>11762</v>
      </c>
      <c r="BA948" s="2" t="s">
        <v>11763</v>
      </c>
      <c r="BB948" s="2" t="s">
        <v>20</v>
      </c>
      <c r="BD948" s="2" t="s">
        <v>11764</v>
      </c>
      <c r="BE948" s="2" t="s">
        <v>11765</v>
      </c>
      <c r="BF948" s="2" t="s">
        <v>11766</v>
      </c>
    </row>
    <row r="949" spans="1:58" ht="39.75" customHeight="1" x14ac:dyDescent="0.25">
      <c r="A949" s="7" t="s">
        <v>5</v>
      </c>
      <c r="B949" s="1" t="s">
        <v>0</v>
      </c>
      <c r="C949" s="1" t="s">
        <v>1</v>
      </c>
      <c r="D949" s="1" t="s">
        <v>11767</v>
      </c>
      <c r="E949" s="1" t="s">
        <v>11768</v>
      </c>
      <c r="F949" s="1" t="s">
        <v>11769</v>
      </c>
      <c r="H949" s="2" t="s">
        <v>5</v>
      </c>
      <c r="I949" s="2" t="s">
        <v>6</v>
      </c>
      <c r="J949" s="2" t="s">
        <v>5</v>
      </c>
      <c r="K949" s="2" t="s">
        <v>5</v>
      </c>
      <c r="L949" s="2" t="s">
        <v>7</v>
      </c>
      <c r="M949" s="1" t="s">
        <v>9694</v>
      </c>
      <c r="N949" s="1" t="s">
        <v>11770</v>
      </c>
      <c r="O949" s="2" t="s">
        <v>261</v>
      </c>
      <c r="P949" s="1" t="s">
        <v>5911</v>
      </c>
      <c r="Q949" s="2" t="s">
        <v>1151</v>
      </c>
      <c r="R949" s="2" t="s">
        <v>5403</v>
      </c>
      <c r="S949" s="1" t="s">
        <v>10446</v>
      </c>
      <c r="T949" s="2" t="s">
        <v>13</v>
      </c>
      <c r="U949" s="3">
        <v>0</v>
      </c>
      <c r="V949" s="3">
        <v>0</v>
      </c>
      <c r="W949" s="4" t="s">
        <v>11771</v>
      </c>
      <c r="X949" s="4" t="s">
        <v>11771</v>
      </c>
      <c r="Y949" s="4" t="s">
        <v>93</v>
      </c>
      <c r="Z949" s="4" t="s">
        <v>93</v>
      </c>
      <c r="AA949" s="3">
        <v>215</v>
      </c>
      <c r="AB949" s="3">
        <v>164</v>
      </c>
      <c r="AC949" s="3">
        <v>197</v>
      </c>
      <c r="AD949" s="3">
        <v>1</v>
      </c>
      <c r="AE949" s="9">
        <v>1</v>
      </c>
      <c r="AF949" s="9">
        <v>9</v>
      </c>
      <c r="AG949" s="9">
        <v>11</v>
      </c>
      <c r="AH949" s="3">
        <v>2</v>
      </c>
      <c r="AI949" s="3">
        <v>2</v>
      </c>
      <c r="AJ949" s="3">
        <v>3</v>
      </c>
      <c r="AK949" s="3">
        <v>5</v>
      </c>
      <c r="AL949" s="3">
        <v>6</v>
      </c>
      <c r="AM949" s="3">
        <v>7</v>
      </c>
      <c r="AN949" s="3">
        <v>0</v>
      </c>
      <c r="AO949" s="3">
        <v>0</v>
      </c>
      <c r="AP949" s="3">
        <v>0</v>
      </c>
      <c r="AQ949" s="3">
        <v>0</v>
      </c>
      <c r="AR949" s="2" t="s">
        <v>5</v>
      </c>
      <c r="AS949" s="2" t="s">
        <v>46</v>
      </c>
      <c r="AT949" s="5" t="str">
        <f>HYPERLINK("http://catalog.hathitrust.org/Record/101103217","HathiTrust Record")</f>
        <v>HathiTrust Record</v>
      </c>
      <c r="AU949" s="5" t="str">
        <f>HYPERLINK("https://creighton-primo.hosted.exlibrisgroup.com/primo-explore/search?tab=default_tab&amp;search_scope=EVERYTHING&amp;vid=01CRU&amp;lang=en_US&amp;offset=0&amp;query=any,contains,991000814259702656","Catalog Record")</f>
        <v>Catalog Record</v>
      </c>
      <c r="AV949" s="5" t="str">
        <f>HYPERLINK("http://www.worldcat.org/oclc/13334417","WorldCat Record")</f>
        <v>WorldCat Record</v>
      </c>
      <c r="AW949" s="2" t="s">
        <v>11772</v>
      </c>
      <c r="AX949" s="2" t="s">
        <v>11773</v>
      </c>
      <c r="AY949" s="2" t="s">
        <v>11774</v>
      </c>
      <c r="AZ949" s="2" t="s">
        <v>11774</v>
      </c>
      <c r="BA949" s="2" t="s">
        <v>11775</v>
      </c>
      <c r="BB949" s="2" t="s">
        <v>20</v>
      </c>
      <c r="BD949" s="2" t="s">
        <v>11776</v>
      </c>
      <c r="BE949" s="2" t="s">
        <v>11777</v>
      </c>
      <c r="BF949" s="2" t="s">
        <v>11778</v>
      </c>
    </row>
    <row r="950" spans="1:58" ht="39.75" customHeight="1" x14ac:dyDescent="0.25">
      <c r="A950" s="7" t="s">
        <v>5</v>
      </c>
      <c r="B950" s="1" t="s">
        <v>0</v>
      </c>
      <c r="C950" s="1" t="s">
        <v>1</v>
      </c>
      <c r="D950" s="1" t="s">
        <v>11779</v>
      </c>
      <c r="E950" s="1" t="s">
        <v>11780</v>
      </c>
      <c r="F950" s="1" t="s">
        <v>11781</v>
      </c>
      <c r="H950" s="2" t="s">
        <v>5</v>
      </c>
      <c r="I950" s="2" t="s">
        <v>6</v>
      </c>
      <c r="J950" s="2" t="s">
        <v>5</v>
      </c>
      <c r="K950" s="2" t="s">
        <v>5</v>
      </c>
      <c r="L950" s="2" t="s">
        <v>7</v>
      </c>
      <c r="M950" s="1" t="s">
        <v>9694</v>
      </c>
      <c r="N950" s="1" t="s">
        <v>11782</v>
      </c>
      <c r="O950" s="2" t="s">
        <v>162</v>
      </c>
      <c r="Q950" s="2" t="s">
        <v>1151</v>
      </c>
      <c r="R950" s="2" t="s">
        <v>4146</v>
      </c>
      <c r="S950" s="1" t="s">
        <v>11783</v>
      </c>
      <c r="T950" s="2" t="s">
        <v>13</v>
      </c>
      <c r="U950" s="3">
        <v>1</v>
      </c>
      <c r="V950" s="3">
        <v>1</v>
      </c>
      <c r="W950" s="4" t="s">
        <v>8639</v>
      </c>
      <c r="X950" s="4" t="s">
        <v>8639</v>
      </c>
      <c r="Y950" s="4" t="s">
        <v>8639</v>
      </c>
      <c r="Z950" s="4" t="s">
        <v>8639</v>
      </c>
      <c r="AA950" s="3">
        <v>294</v>
      </c>
      <c r="AB950" s="3">
        <v>237</v>
      </c>
      <c r="AC950" s="3">
        <v>239</v>
      </c>
      <c r="AD950" s="3">
        <v>3</v>
      </c>
      <c r="AE950" s="9">
        <v>3</v>
      </c>
      <c r="AF950" s="9">
        <v>15</v>
      </c>
      <c r="AG950" s="9">
        <v>15</v>
      </c>
      <c r="AH950" s="3">
        <v>4</v>
      </c>
      <c r="AI950" s="3">
        <v>4</v>
      </c>
      <c r="AJ950" s="3">
        <v>5</v>
      </c>
      <c r="AK950" s="3">
        <v>5</v>
      </c>
      <c r="AL950" s="3">
        <v>7</v>
      </c>
      <c r="AM950" s="3">
        <v>7</v>
      </c>
      <c r="AN950" s="3">
        <v>2</v>
      </c>
      <c r="AO950" s="3">
        <v>2</v>
      </c>
      <c r="AP950" s="3">
        <v>0</v>
      </c>
      <c r="AQ950" s="3">
        <v>0</v>
      </c>
      <c r="AR950" s="2" t="s">
        <v>5</v>
      </c>
      <c r="AS950" s="2" t="s">
        <v>46</v>
      </c>
      <c r="AT950" s="5" t="str">
        <f>HYPERLINK("http://catalog.hathitrust.org/Record/001050408","HathiTrust Record")</f>
        <v>HathiTrust Record</v>
      </c>
      <c r="AU950" s="5" t="str">
        <f>HYPERLINK("https://creighton-primo.hosted.exlibrisgroup.com/primo-explore/search?tab=default_tab&amp;search_scope=EVERYTHING&amp;vid=01CRU&amp;lang=en_US&amp;offset=0&amp;query=any,contains,991004332749702656","Catalog Record")</f>
        <v>Catalog Record</v>
      </c>
      <c r="AV950" s="5" t="str">
        <f>HYPERLINK("http://www.worldcat.org/oclc/21622216","WorldCat Record")</f>
        <v>WorldCat Record</v>
      </c>
      <c r="AW950" s="2" t="s">
        <v>11784</v>
      </c>
      <c r="AX950" s="2" t="s">
        <v>11785</v>
      </c>
      <c r="AY950" s="2" t="s">
        <v>11786</v>
      </c>
      <c r="AZ950" s="2" t="s">
        <v>11786</v>
      </c>
      <c r="BA950" s="2" t="s">
        <v>11787</v>
      </c>
      <c r="BB950" s="2" t="s">
        <v>20</v>
      </c>
      <c r="BE950" s="2" t="s">
        <v>11788</v>
      </c>
      <c r="BF950" s="2" t="s">
        <v>11789</v>
      </c>
    </row>
    <row r="951" spans="1:58" ht="39.75" customHeight="1" x14ac:dyDescent="0.25">
      <c r="A951" s="7" t="s">
        <v>5</v>
      </c>
      <c r="B951" s="1" t="s">
        <v>0</v>
      </c>
      <c r="C951" s="1" t="s">
        <v>1</v>
      </c>
      <c r="D951" s="1" t="s">
        <v>11790</v>
      </c>
      <c r="E951" s="1" t="s">
        <v>11791</v>
      </c>
      <c r="F951" s="1" t="s">
        <v>11792</v>
      </c>
      <c r="H951" s="2" t="s">
        <v>5</v>
      </c>
      <c r="I951" s="2" t="s">
        <v>6</v>
      </c>
      <c r="J951" s="2" t="s">
        <v>5</v>
      </c>
      <c r="K951" s="2" t="s">
        <v>5</v>
      </c>
      <c r="L951" s="2" t="s">
        <v>7</v>
      </c>
      <c r="M951" s="1" t="s">
        <v>9694</v>
      </c>
      <c r="N951" s="1" t="s">
        <v>11793</v>
      </c>
      <c r="O951" s="2" t="s">
        <v>27</v>
      </c>
      <c r="P951" s="1" t="s">
        <v>11794</v>
      </c>
      <c r="Q951" s="2" t="s">
        <v>1151</v>
      </c>
      <c r="R951" s="2" t="s">
        <v>4146</v>
      </c>
      <c r="S951" s="1" t="s">
        <v>11795</v>
      </c>
      <c r="T951" s="2" t="s">
        <v>13</v>
      </c>
      <c r="U951" s="3">
        <v>1</v>
      </c>
      <c r="V951" s="3">
        <v>1</v>
      </c>
      <c r="W951" s="4" t="s">
        <v>1154</v>
      </c>
      <c r="X951" s="4" t="s">
        <v>1154</v>
      </c>
      <c r="Y951" s="4" t="s">
        <v>1154</v>
      </c>
      <c r="Z951" s="4" t="s">
        <v>1154</v>
      </c>
      <c r="AA951" s="3">
        <v>60</v>
      </c>
      <c r="AB951" s="3">
        <v>51</v>
      </c>
      <c r="AC951" s="3">
        <v>54</v>
      </c>
      <c r="AD951" s="3">
        <v>1</v>
      </c>
      <c r="AE951" s="9">
        <v>1</v>
      </c>
      <c r="AF951" s="9">
        <v>2</v>
      </c>
      <c r="AG951" s="9">
        <v>2</v>
      </c>
      <c r="AH951" s="3">
        <v>1</v>
      </c>
      <c r="AI951" s="3">
        <v>1</v>
      </c>
      <c r="AJ951" s="3">
        <v>1</v>
      </c>
      <c r="AK951" s="3">
        <v>1</v>
      </c>
      <c r="AL951" s="3">
        <v>1</v>
      </c>
      <c r="AM951" s="3">
        <v>1</v>
      </c>
      <c r="AN951" s="3">
        <v>0</v>
      </c>
      <c r="AO951" s="3">
        <v>0</v>
      </c>
      <c r="AP951" s="3">
        <v>0</v>
      </c>
      <c r="AQ951" s="3">
        <v>0</v>
      </c>
      <c r="AR951" s="2" t="s">
        <v>5</v>
      </c>
      <c r="AS951" s="2" t="s">
        <v>46</v>
      </c>
      <c r="AT951" s="5" t="str">
        <f>HYPERLINK("http://catalog.hathitrust.org/Record/101103220","HathiTrust Record")</f>
        <v>HathiTrust Record</v>
      </c>
      <c r="AU951" s="5" t="str">
        <f>HYPERLINK("https://creighton-primo.hosted.exlibrisgroup.com/primo-explore/search?tab=default_tab&amp;search_scope=EVERYTHING&amp;vid=01CRU&amp;lang=en_US&amp;offset=0&amp;query=any,contains,991003845859702656","Catalog Record")</f>
        <v>Catalog Record</v>
      </c>
      <c r="AV951" s="5" t="str">
        <f>HYPERLINK("http://www.worldcat.org/oclc/30439167","WorldCat Record")</f>
        <v>WorldCat Record</v>
      </c>
      <c r="AW951" s="2" t="s">
        <v>11796</v>
      </c>
      <c r="AX951" s="2" t="s">
        <v>11797</v>
      </c>
      <c r="AY951" s="2" t="s">
        <v>11798</v>
      </c>
      <c r="AZ951" s="2" t="s">
        <v>11798</v>
      </c>
      <c r="BA951" s="2" t="s">
        <v>11799</v>
      </c>
      <c r="BB951" s="2" t="s">
        <v>20</v>
      </c>
      <c r="BD951" s="2" t="s">
        <v>11800</v>
      </c>
      <c r="BE951" s="2" t="s">
        <v>11801</v>
      </c>
      <c r="BF951" s="2" t="s">
        <v>11802</v>
      </c>
    </row>
    <row r="952" spans="1:58" ht="39.75" customHeight="1" x14ac:dyDescent="0.25">
      <c r="A952" s="7" t="s">
        <v>5</v>
      </c>
      <c r="B952" s="1" t="s">
        <v>0</v>
      </c>
      <c r="C952" s="1" t="s">
        <v>1</v>
      </c>
      <c r="D952" s="1" t="s">
        <v>11803</v>
      </c>
      <c r="E952" s="1" t="s">
        <v>11804</v>
      </c>
      <c r="F952" s="1" t="s">
        <v>11805</v>
      </c>
      <c r="H952" s="2" t="s">
        <v>5</v>
      </c>
      <c r="I952" s="2" t="s">
        <v>6</v>
      </c>
      <c r="J952" s="2" t="s">
        <v>5</v>
      </c>
      <c r="K952" s="2" t="s">
        <v>5</v>
      </c>
      <c r="L952" s="2" t="s">
        <v>7</v>
      </c>
      <c r="N952" s="1" t="s">
        <v>11806</v>
      </c>
      <c r="O952" s="2" t="s">
        <v>291</v>
      </c>
      <c r="Q952" s="2" t="s">
        <v>1151</v>
      </c>
      <c r="R952" s="2" t="s">
        <v>9502</v>
      </c>
      <c r="S952" s="1" t="s">
        <v>11807</v>
      </c>
      <c r="T952" s="2" t="s">
        <v>13</v>
      </c>
      <c r="U952" s="3">
        <v>0</v>
      </c>
      <c r="V952" s="3">
        <v>0</v>
      </c>
      <c r="W952" s="4" t="s">
        <v>11771</v>
      </c>
      <c r="X952" s="4" t="s">
        <v>11771</v>
      </c>
      <c r="Y952" s="4" t="s">
        <v>11808</v>
      </c>
      <c r="Z952" s="4" t="s">
        <v>11808</v>
      </c>
      <c r="AA952" s="3">
        <v>150</v>
      </c>
      <c r="AB952" s="3">
        <v>94</v>
      </c>
      <c r="AC952" s="3">
        <v>101</v>
      </c>
      <c r="AD952" s="3">
        <v>2</v>
      </c>
      <c r="AE952" s="9">
        <v>2</v>
      </c>
      <c r="AF952" s="9">
        <v>3</v>
      </c>
      <c r="AG952" s="9">
        <v>3</v>
      </c>
      <c r="AH952" s="3">
        <v>0</v>
      </c>
      <c r="AI952" s="3">
        <v>0</v>
      </c>
      <c r="AJ952" s="3">
        <v>1</v>
      </c>
      <c r="AK952" s="3">
        <v>1</v>
      </c>
      <c r="AL952" s="3">
        <v>1</v>
      </c>
      <c r="AM952" s="3">
        <v>1</v>
      </c>
      <c r="AN952" s="3">
        <v>1</v>
      </c>
      <c r="AO952" s="3">
        <v>1</v>
      </c>
      <c r="AP952" s="3">
        <v>0</v>
      </c>
      <c r="AQ952" s="3">
        <v>0</v>
      </c>
      <c r="AR952" s="2" t="s">
        <v>5</v>
      </c>
      <c r="AS952" s="2" t="s">
        <v>46</v>
      </c>
      <c r="AT952" s="5" t="str">
        <f>HYPERLINK("http://catalog.hathitrust.org/Record/000662004","HathiTrust Record")</f>
        <v>HathiTrust Record</v>
      </c>
      <c r="AU952" s="5" t="str">
        <f>HYPERLINK("https://creighton-primo.hosted.exlibrisgroup.com/primo-explore/search?tab=default_tab&amp;search_scope=EVERYTHING&amp;vid=01CRU&amp;lang=en_US&amp;offset=0&amp;query=any,contains,991000382229702656","Catalog Record")</f>
        <v>Catalog Record</v>
      </c>
      <c r="AV952" s="5" t="str">
        <f>HYPERLINK("http://www.worldcat.org/oclc/10505403","WorldCat Record")</f>
        <v>WorldCat Record</v>
      </c>
      <c r="AW952" s="2" t="s">
        <v>11809</v>
      </c>
      <c r="AX952" s="2" t="s">
        <v>11810</v>
      </c>
      <c r="AY952" s="2" t="s">
        <v>11811</v>
      </c>
      <c r="AZ952" s="2" t="s">
        <v>11811</v>
      </c>
      <c r="BA952" s="2" t="s">
        <v>11812</v>
      </c>
      <c r="BB952" s="2" t="s">
        <v>20</v>
      </c>
      <c r="BE952" s="2" t="s">
        <v>11813</v>
      </c>
      <c r="BF952" s="2" t="s">
        <v>11814</v>
      </c>
    </row>
    <row r="953" spans="1:58" ht="39.75" customHeight="1" x14ac:dyDescent="0.25">
      <c r="A953" s="7" t="s">
        <v>5</v>
      </c>
      <c r="B953" s="1" t="s">
        <v>0</v>
      </c>
      <c r="C953" s="1" t="s">
        <v>1</v>
      </c>
      <c r="D953" s="1" t="s">
        <v>11815</v>
      </c>
      <c r="E953" s="1" t="s">
        <v>11816</v>
      </c>
      <c r="F953" s="1" t="s">
        <v>11817</v>
      </c>
      <c r="H953" s="2" t="s">
        <v>5</v>
      </c>
      <c r="I953" s="2" t="s">
        <v>6</v>
      </c>
      <c r="J953" s="2" t="s">
        <v>5</v>
      </c>
      <c r="K953" s="2" t="s">
        <v>5</v>
      </c>
      <c r="L953" s="2" t="s">
        <v>7</v>
      </c>
      <c r="M953" s="1" t="s">
        <v>11818</v>
      </c>
      <c r="N953" s="1" t="s">
        <v>11819</v>
      </c>
      <c r="O953" s="2" t="s">
        <v>2859</v>
      </c>
      <c r="Q953" s="2" t="s">
        <v>1151</v>
      </c>
      <c r="R953" s="2" t="s">
        <v>4146</v>
      </c>
      <c r="S953" s="1" t="s">
        <v>11820</v>
      </c>
      <c r="T953" s="2" t="s">
        <v>13</v>
      </c>
      <c r="U953" s="3">
        <v>2</v>
      </c>
      <c r="V953" s="3">
        <v>2</v>
      </c>
      <c r="W953" s="4" t="s">
        <v>11821</v>
      </c>
      <c r="X953" s="4" t="s">
        <v>11821</v>
      </c>
      <c r="Y953" s="4" t="s">
        <v>9517</v>
      </c>
      <c r="Z953" s="4" t="s">
        <v>9517</v>
      </c>
      <c r="AA953" s="3">
        <v>178</v>
      </c>
      <c r="AB953" s="3">
        <v>123</v>
      </c>
      <c r="AC953" s="3">
        <v>132</v>
      </c>
      <c r="AD953" s="3">
        <v>2</v>
      </c>
      <c r="AE953" s="9">
        <v>2</v>
      </c>
      <c r="AF953" s="9">
        <v>5</v>
      </c>
      <c r="AG953" s="9">
        <v>5</v>
      </c>
      <c r="AH953" s="3">
        <v>0</v>
      </c>
      <c r="AI953" s="3">
        <v>0</v>
      </c>
      <c r="AJ953" s="3">
        <v>3</v>
      </c>
      <c r="AK953" s="3">
        <v>3</v>
      </c>
      <c r="AL953" s="3">
        <v>3</v>
      </c>
      <c r="AM953" s="3">
        <v>3</v>
      </c>
      <c r="AN953" s="3">
        <v>1</v>
      </c>
      <c r="AO953" s="3">
        <v>1</v>
      </c>
      <c r="AP953" s="3">
        <v>0</v>
      </c>
      <c r="AQ953" s="3">
        <v>0</v>
      </c>
      <c r="AR953" s="2" t="s">
        <v>5</v>
      </c>
      <c r="AS953" s="2" t="s">
        <v>46</v>
      </c>
      <c r="AT953" s="5" t="str">
        <f>HYPERLINK("http://catalog.hathitrust.org/Record/002879819","HathiTrust Record")</f>
        <v>HathiTrust Record</v>
      </c>
      <c r="AU953" s="5" t="str">
        <f>HYPERLINK("https://creighton-primo.hosted.exlibrisgroup.com/primo-explore/search?tab=default_tab&amp;search_scope=EVERYTHING&amp;vid=01CRU&amp;lang=en_US&amp;offset=0&amp;query=any,contains,991000747249702656","Catalog Record")</f>
        <v>Catalog Record</v>
      </c>
      <c r="AV953" s="5" t="str">
        <f>HYPERLINK("http://www.worldcat.org/oclc/12876680","WorldCat Record")</f>
        <v>WorldCat Record</v>
      </c>
      <c r="AW953" s="2" t="s">
        <v>11822</v>
      </c>
      <c r="AX953" s="2" t="s">
        <v>11823</v>
      </c>
      <c r="AY953" s="2" t="s">
        <v>11824</v>
      </c>
      <c r="AZ953" s="2" t="s">
        <v>11824</v>
      </c>
      <c r="BA953" s="2" t="s">
        <v>11825</v>
      </c>
      <c r="BB953" s="2" t="s">
        <v>20</v>
      </c>
      <c r="BD953" s="2" t="s">
        <v>11826</v>
      </c>
      <c r="BE953" s="2" t="s">
        <v>11827</v>
      </c>
      <c r="BF953" s="2" t="s">
        <v>11828</v>
      </c>
    </row>
    <row r="954" spans="1:58" ht="39.75" customHeight="1" x14ac:dyDescent="0.25">
      <c r="A954" s="7" t="s">
        <v>5</v>
      </c>
      <c r="B954" s="1" t="s">
        <v>0</v>
      </c>
      <c r="C954" s="1" t="s">
        <v>1</v>
      </c>
      <c r="D954" s="1" t="s">
        <v>11829</v>
      </c>
      <c r="E954" s="1" t="s">
        <v>11830</v>
      </c>
      <c r="F954" s="1" t="s">
        <v>11831</v>
      </c>
      <c r="H954" s="2" t="s">
        <v>5</v>
      </c>
      <c r="I954" s="2" t="s">
        <v>6</v>
      </c>
      <c r="J954" s="2" t="s">
        <v>5</v>
      </c>
      <c r="K954" s="2" t="s">
        <v>5</v>
      </c>
      <c r="L954" s="2" t="s">
        <v>7</v>
      </c>
      <c r="N954" s="1" t="s">
        <v>11832</v>
      </c>
      <c r="O954" s="2" t="s">
        <v>886</v>
      </c>
      <c r="Q954" s="2" t="s">
        <v>1151</v>
      </c>
      <c r="R954" s="2" t="s">
        <v>9502</v>
      </c>
      <c r="S954" s="1" t="s">
        <v>11807</v>
      </c>
      <c r="T954" s="2" t="s">
        <v>13</v>
      </c>
      <c r="U954" s="3">
        <v>1</v>
      </c>
      <c r="V954" s="3">
        <v>1</v>
      </c>
      <c r="W954" s="4" t="s">
        <v>10152</v>
      </c>
      <c r="X954" s="4" t="s">
        <v>10152</v>
      </c>
      <c r="Y954" s="4" t="s">
        <v>10152</v>
      </c>
      <c r="Z954" s="4" t="s">
        <v>10152</v>
      </c>
      <c r="AA954" s="3">
        <v>154</v>
      </c>
      <c r="AB954" s="3">
        <v>107</v>
      </c>
      <c r="AC954" s="3">
        <v>122</v>
      </c>
      <c r="AD954" s="3">
        <v>1</v>
      </c>
      <c r="AE954" s="9">
        <v>1</v>
      </c>
      <c r="AF954" s="9">
        <v>4</v>
      </c>
      <c r="AG954" s="9">
        <v>4</v>
      </c>
      <c r="AH954" s="3">
        <v>0</v>
      </c>
      <c r="AI954" s="3">
        <v>0</v>
      </c>
      <c r="AJ954" s="3">
        <v>2</v>
      </c>
      <c r="AK954" s="3">
        <v>2</v>
      </c>
      <c r="AL954" s="3">
        <v>3</v>
      </c>
      <c r="AM954" s="3">
        <v>3</v>
      </c>
      <c r="AN954" s="3">
        <v>0</v>
      </c>
      <c r="AO954" s="3">
        <v>0</v>
      </c>
      <c r="AP954" s="3">
        <v>0</v>
      </c>
      <c r="AQ954" s="3">
        <v>0</v>
      </c>
      <c r="AR954" s="2" t="s">
        <v>5</v>
      </c>
      <c r="AS954" s="2" t="s">
        <v>46</v>
      </c>
      <c r="AT954" s="5" t="str">
        <f>HYPERLINK("http://catalog.hathitrust.org/Record/000270479","HathiTrust Record")</f>
        <v>HathiTrust Record</v>
      </c>
      <c r="AU954" s="5" t="str">
        <f>HYPERLINK("https://creighton-primo.hosted.exlibrisgroup.com/primo-explore/search?tab=default_tab&amp;search_scope=EVERYTHING&amp;vid=01CRU&amp;lang=en_US&amp;offset=0&amp;query=any,contains,991003932269702656","Catalog Record")</f>
        <v>Catalog Record</v>
      </c>
      <c r="AV954" s="5" t="str">
        <f>HYPERLINK("http://www.worldcat.org/oclc/1811115","WorldCat Record")</f>
        <v>WorldCat Record</v>
      </c>
      <c r="AW954" s="2" t="s">
        <v>11833</v>
      </c>
      <c r="AX954" s="2" t="s">
        <v>11834</v>
      </c>
      <c r="AY954" s="2" t="s">
        <v>11835</v>
      </c>
      <c r="AZ954" s="2" t="s">
        <v>11835</v>
      </c>
      <c r="BA954" s="2" t="s">
        <v>11836</v>
      </c>
      <c r="BB954" s="2" t="s">
        <v>20</v>
      </c>
      <c r="BE954" s="2" t="s">
        <v>11837</v>
      </c>
      <c r="BF954" s="2" t="s">
        <v>11838</v>
      </c>
    </row>
    <row r="955" spans="1:58" ht="39.75" customHeight="1" x14ac:dyDescent="0.25">
      <c r="A955" s="7" t="s">
        <v>5</v>
      </c>
      <c r="B955" s="1" t="s">
        <v>0</v>
      </c>
      <c r="C955" s="1" t="s">
        <v>1</v>
      </c>
      <c r="D955" s="1" t="s">
        <v>11839</v>
      </c>
      <c r="E955" s="1" t="s">
        <v>11840</v>
      </c>
      <c r="F955" s="1" t="s">
        <v>11841</v>
      </c>
      <c r="H955" s="2" t="s">
        <v>5</v>
      </c>
      <c r="I955" s="2" t="s">
        <v>6</v>
      </c>
      <c r="J955" s="2" t="s">
        <v>5</v>
      </c>
      <c r="K955" s="2" t="s">
        <v>5</v>
      </c>
      <c r="L955" s="2" t="s">
        <v>7</v>
      </c>
      <c r="M955" s="1" t="s">
        <v>11612</v>
      </c>
      <c r="N955" s="1" t="s">
        <v>11842</v>
      </c>
      <c r="O955" s="2" t="s">
        <v>27</v>
      </c>
      <c r="Q955" s="2" t="s">
        <v>1151</v>
      </c>
      <c r="R955" s="2" t="s">
        <v>9502</v>
      </c>
      <c r="T955" s="2" t="s">
        <v>13</v>
      </c>
      <c r="U955" s="3">
        <v>1</v>
      </c>
      <c r="V955" s="3">
        <v>1</v>
      </c>
      <c r="W955" s="4" t="s">
        <v>8639</v>
      </c>
      <c r="X955" s="4" t="s">
        <v>8639</v>
      </c>
      <c r="Y955" s="4" t="s">
        <v>8639</v>
      </c>
      <c r="Z955" s="4" t="s">
        <v>8639</v>
      </c>
      <c r="AA955" s="3">
        <v>28</v>
      </c>
      <c r="AB955" s="3">
        <v>23</v>
      </c>
      <c r="AC955" s="3">
        <v>100</v>
      </c>
      <c r="AD955" s="3">
        <v>1</v>
      </c>
      <c r="AE955" s="9">
        <v>1</v>
      </c>
      <c r="AF955" s="9">
        <v>0</v>
      </c>
      <c r="AG955" s="9">
        <v>4</v>
      </c>
      <c r="AH955" s="3">
        <v>0</v>
      </c>
      <c r="AI955" s="3">
        <v>0</v>
      </c>
      <c r="AJ955" s="3">
        <v>0</v>
      </c>
      <c r="AK955" s="3">
        <v>4</v>
      </c>
      <c r="AL955" s="3">
        <v>0</v>
      </c>
      <c r="AM955" s="3">
        <v>1</v>
      </c>
      <c r="AN955" s="3">
        <v>0</v>
      </c>
      <c r="AO955" s="3">
        <v>0</v>
      </c>
      <c r="AP955" s="3">
        <v>0</v>
      </c>
      <c r="AQ955" s="3">
        <v>0</v>
      </c>
      <c r="AR955" s="2" t="s">
        <v>5</v>
      </c>
      <c r="AS955" s="2" t="s">
        <v>5</v>
      </c>
      <c r="AU955" s="5" t="str">
        <f>HYPERLINK("https://creighton-primo.hosted.exlibrisgroup.com/primo-explore/search?tab=default_tab&amp;search_scope=EVERYTHING&amp;vid=01CRU&amp;lang=en_US&amp;offset=0&amp;query=any,contains,991004333109702656","Catalog Record")</f>
        <v>Catalog Record</v>
      </c>
      <c r="AV955" s="5" t="str">
        <f>HYPERLINK("http://www.worldcat.org/oclc/30207662","WorldCat Record")</f>
        <v>WorldCat Record</v>
      </c>
      <c r="AW955" s="2" t="s">
        <v>11843</v>
      </c>
      <c r="AX955" s="2" t="s">
        <v>11844</v>
      </c>
      <c r="AY955" s="2" t="s">
        <v>11845</v>
      </c>
      <c r="AZ955" s="2" t="s">
        <v>11845</v>
      </c>
      <c r="BA955" s="2" t="s">
        <v>11846</v>
      </c>
      <c r="BB955" s="2" t="s">
        <v>20</v>
      </c>
      <c r="BD955" s="2" t="s">
        <v>11847</v>
      </c>
      <c r="BE955" s="2" t="s">
        <v>11848</v>
      </c>
      <c r="BF955" s="2" t="s">
        <v>11849</v>
      </c>
    </row>
    <row r="956" spans="1:58" ht="39.75" customHeight="1" x14ac:dyDescent="0.25">
      <c r="A956" s="7" t="s">
        <v>5</v>
      </c>
      <c r="B956" s="1" t="s">
        <v>0</v>
      </c>
      <c r="C956" s="1" t="s">
        <v>1</v>
      </c>
      <c r="D956" s="1" t="s">
        <v>11850</v>
      </c>
      <c r="E956" s="1" t="s">
        <v>11851</v>
      </c>
      <c r="F956" s="1" t="s">
        <v>11852</v>
      </c>
      <c r="H956" s="2" t="s">
        <v>5</v>
      </c>
      <c r="I956" s="2" t="s">
        <v>6</v>
      </c>
      <c r="J956" s="2" t="s">
        <v>5</v>
      </c>
      <c r="K956" s="2" t="s">
        <v>5</v>
      </c>
      <c r="L956" s="2" t="s">
        <v>7</v>
      </c>
      <c r="M956" s="1" t="s">
        <v>11853</v>
      </c>
      <c r="N956" s="1" t="s">
        <v>11854</v>
      </c>
      <c r="O956" s="2" t="s">
        <v>1418</v>
      </c>
      <c r="P956" s="1" t="s">
        <v>7656</v>
      </c>
      <c r="Q956" s="2" t="s">
        <v>1151</v>
      </c>
      <c r="R956" s="2" t="s">
        <v>3002</v>
      </c>
      <c r="T956" s="2" t="s">
        <v>13</v>
      </c>
      <c r="U956" s="3">
        <v>1</v>
      </c>
      <c r="V956" s="3">
        <v>1</v>
      </c>
      <c r="W956" s="4" t="s">
        <v>5137</v>
      </c>
      <c r="X956" s="4" t="s">
        <v>5137</v>
      </c>
      <c r="Y956" s="4" t="s">
        <v>5137</v>
      </c>
      <c r="Z956" s="4" t="s">
        <v>5137</v>
      </c>
      <c r="AA956" s="3">
        <v>42</v>
      </c>
      <c r="AB956" s="3">
        <v>34</v>
      </c>
      <c r="AC956" s="3">
        <v>67</v>
      </c>
      <c r="AD956" s="3">
        <v>1</v>
      </c>
      <c r="AE956" s="9">
        <v>1</v>
      </c>
      <c r="AF956" s="9">
        <v>1</v>
      </c>
      <c r="AG956" s="9">
        <v>2</v>
      </c>
      <c r="AH956" s="3">
        <v>0</v>
      </c>
      <c r="AI956" s="3">
        <v>0</v>
      </c>
      <c r="AJ956" s="3">
        <v>0</v>
      </c>
      <c r="AK956" s="3">
        <v>1</v>
      </c>
      <c r="AL956" s="3">
        <v>1</v>
      </c>
      <c r="AM956" s="3">
        <v>2</v>
      </c>
      <c r="AN956" s="3">
        <v>0</v>
      </c>
      <c r="AO956" s="3">
        <v>0</v>
      </c>
      <c r="AP956" s="3">
        <v>0</v>
      </c>
      <c r="AQ956" s="3">
        <v>0</v>
      </c>
      <c r="AR956" s="2" t="s">
        <v>5</v>
      </c>
      <c r="AS956" s="2" t="s">
        <v>5</v>
      </c>
      <c r="AU956" s="5" t="str">
        <f>HYPERLINK("https://creighton-primo.hosted.exlibrisgroup.com/primo-explore/search?tab=default_tab&amp;search_scope=EVERYTHING&amp;vid=01CRU&amp;lang=en_US&amp;offset=0&amp;query=any,contains,991004509219702656","Catalog Record")</f>
        <v>Catalog Record</v>
      </c>
      <c r="AV956" s="5" t="str">
        <f>HYPERLINK("http://www.worldcat.org/oclc/545011","WorldCat Record")</f>
        <v>WorldCat Record</v>
      </c>
      <c r="AW956" s="2" t="s">
        <v>11855</v>
      </c>
      <c r="AX956" s="2" t="s">
        <v>11856</v>
      </c>
      <c r="AY956" s="2" t="s">
        <v>11857</v>
      </c>
      <c r="AZ956" s="2" t="s">
        <v>11857</v>
      </c>
      <c r="BA956" s="2" t="s">
        <v>11858</v>
      </c>
      <c r="BB956" s="2" t="s">
        <v>20</v>
      </c>
      <c r="BE956" s="2" t="s">
        <v>11859</v>
      </c>
      <c r="BF956" s="2" t="s">
        <v>11860</v>
      </c>
    </row>
    <row r="957" spans="1:58" ht="39.75" customHeight="1" x14ac:dyDescent="0.25">
      <c r="A957" s="7" t="s">
        <v>5</v>
      </c>
      <c r="B957" s="1" t="s">
        <v>0</v>
      </c>
      <c r="C957" s="1" t="s">
        <v>1</v>
      </c>
      <c r="D957" s="1" t="s">
        <v>11861</v>
      </c>
      <c r="E957" s="1" t="s">
        <v>11862</v>
      </c>
      <c r="F957" s="1" t="s">
        <v>11863</v>
      </c>
      <c r="H957" s="2" t="s">
        <v>5</v>
      </c>
      <c r="I957" s="2" t="s">
        <v>6</v>
      </c>
      <c r="J957" s="2" t="s">
        <v>5</v>
      </c>
      <c r="K957" s="2" t="s">
        <v>5</v>
      </c>
      <c r="L957" s="2" t="s">
        <v>7</v>
      </c>
      <c r="M957" s="1" t="s">
        <v>11864</v>
      </c>
      <c r="N957" s="1" t="s">
        <v>11865</v>
      </c>
      <c r="O957" s="2" t="s">
        <v>708</v>
      </c>
      <c r="Q957" s="2" t="s">
        <v>1151</v>
      </c>
      <c r="R957" s="2" t="s">
        <v>9502</v>
      </c>
      <c r="S957" s="1" t="s">
        <v>11662</v>
      </c>
      <c r="T957" s="2" t="s">
        <v>13</v>
      </c>
      <c r="U957" s="3">
        <v>1</v>
      </c>
      <c r="V957" s="3">
        <v>1</v>
      </c>
      <c r="W957" s="4" t="s">
        <v>11707</v>
      </c>
      <c r="X957" s="4" t="s">
        <v>11707</v>
      </c>
      <c r="Y957" s="4" t="s">
        <v>11708</v>
      </c>
      <c r="Z957" s="4" t="s">
        <v>11708</v>
      </c>
      <c r="AA957" s="3">
        <v>31</v>
      </c>
      <c r="AB957" s="3">
        <v>25</v>
      </c>
      <c r="AC957" s="3">
        <v>26</v>
      </c>
      <c r="AD957" s="3">
        <v>1</v>
      </c>
      <c r="AE957" s="9">
        <v>1</v>
      </c>
      <c r="AF957" s="9">
        <v>0</v>
      </c>
      <c r="AG957" s="9">
        <v>0</v>
      </c>
      <c r="AH957" s="3">
        <v>0</v>
      </c>
      <c r="AI957" s="3">
        <v>0</v>
      </c>
      <c r="AJ957" s="3">
        <v>0</v>
      </c>
      <c r="AK957" s="3">
        <v>0</v>
      </c>
      <c r="AL957" s="3">
        <v>0</v>
      </c>
      <c r="AM957" s="3">
        <v>0</v>
      </c>
      <c r="AN957" s="3">
        <v>0</v>
      </c>
      <c r="AO957" s="3">
        <v>0</v>
      </c>
      <c r="AP957" s="3">
        <v>0</v>
      </c>
      <c r="AQ957" s="3">
        <v>0</v>
      </c>
      <c r="AR957" s="2" t="s">
        <v>5</v>
      </c>
      <c r="AS957" s="2" t="s">
        <v>5</v>
      </c>
      <c r="AU957" s="5" t="str">
        <f>HYPERLINK("https://creighton-primo.hosted.exlibrisgroup.com/primo-explore/search?tab=default_tab&amp;search_scope=EVERYTHING&amp;vid=01CRU&amp;lang=en_US&amp;offset=0&amp;query=any,contains,991003678349702656","Catalog Record")</f>
        <v>Catalog Record</v>
      </c>
      <c r="AV957" s="5" t="str">
        <f>HYPERLINK("http://www.worldcat.org/oclc/18192355","WorldCat Record")</f>
        <v>WorldCat Record</v>
      </c>
      <c r="AW957" s="2" t="s">
        <v>11866</v>
      </c>
      <c r="AX957" s="2" t="s">
        <v>11867</v>
      </c>
      <c r="AY957" s="2" t="s">
        <v>11868</v>
      </c>
      <c r="AZ957" s="2" t="s">
        <v>11868</v>
      </c>
      <c r="BA957" s="2" t="s">
        <v>11869</v>
      </c>
      <c r="BB957" s="2" t="s">
        <v>20</v>
      </c>
      <c r="BE957" s="2" t="s">
        <v>11870</v>
      </c>
      <c r="BF957" s="2" t="s">
        <v>11871</v>
      </c>
    </row>
    <row r="958" spans="1:58" ht="39.75" customHeight="1" x14ac:dyDescent="0.25">
      <c r="A958" s="7" t="s">
        <v>5</v>
      </c>
      <c r="B958" s="1" t="s">
        <v>0</v>
      </c>
      <c r="C958" s="1" t="s">
        <v>1</v>
      </c>
      <c r="D958" s="1" t="s">
        <v>11872</v>
      </c>
      <c r="E958" s="1" t="s">
        <v>11873</v>
      </c>
      <c r="F958" s="1" t="s">
        <v>11874</v>
      </c>
      <c r="H958" s="2" t="s">
        <v>5</v>
      </c>
      <c r="I958" s="2" t="s">
        <v>6</v>
      </c>
      <c r="J958" s="2" t="s">
        <v>5</v>
      </c>
      <c r="K958" s="2" t="s">
        <v>5</v>
      </c>
      <c r="L958" s="2" t="s">
        <v>7</v>
      </c>
      <c r="M958" s="1" t="s">
        <v>11875</v>
      </c>
      <c r="N958" s="1" t="s">
        <v>11876</v>
      </c>
      <c r="O958" s="2" t="s">
        <v>4825</v>
      </c>
      <c r="Q958" s="2" t="s">
        <v>60</v>
      </c>
      <c r="R958" s="2" t="s">
        <v>193</v>
      </c>
      <c r="S958" s="1" t="s">
        <v>11877</v>
      </c>
      <c r="T958" s="2" t="s">
        <v>13</v>
      </c>
      <c r="U958" s="3">
        <v>1</v>
      </c>
      <c r="V958" s="3">
        <v>1</v>
      </c>
      <c r="W958" s="4" t="s">
        <v>4913</v>
      </c>
      <c r="X958" s="4" t="s">
        <v>4913</v>
      </c>
      <c r="Y958" s="4" t="s">
        <v>4913</v>
      </c>
      <c r="Z958" s="4" t="s">
        <v>4913</v>
      </c>
      <c r="AA958" s="3">
        <v>242</v>
      </c>
      <c r="AB958" s="3">
        <v>209</v>
      </c>
      <c r="AC958" s="3">
        <v>210</v>
      </c>
      <c r="AD958" s="3">
        <v>2</v>
      </c>
      <c r="AE958" s="9">
        <v>2</v>
      </c>
      <c r="AF958" s="9">
        <v>7</v>
      </c>
      <c r="AG958" s="9">
        <v>7</v>
      </c>
      <c r="AH958" s="3">
        <v>1</v>
      </c>
      <c r="AI958" s="3">
        <v>1</v>
      </c>
      <c r="AJ958" s="3">
        <v>3</v>
      </c>
      <c r="AK958" s="3">
        <v>3</v>
      </c>
      <c r="AL958" s="3">
        <v>4</v>
      </c>
      <c r="AM958" s="3">
        <v>4</v>
      </c>
      <c r="AN958" s="3">
        <v>1</v>
      </c>
      <c r="AO958" s="3">
        <v>1</v>
      </c>
      <c r="AP958" s="3">
        <v>0</v>
      </c>
      <c r="AQ958" s="3">
        <v>0</v>
      </c>
      <c r="AR958" s="2" t="s">
        <v>5</v>
      </c>
      <c r="AS958" s="2" t="s">
        <v>46</v>
      </c>
      <c r="AT958" s="5" t="str">
        <f>HYPERLINK("http://catalog.hathitrust.org/Record/101103564","HathiTrust Record")</f>
        <v>HathiTrust Record</v>
      </c>
      <c r="AU958" s="5" t="str">
        <f>HYPERLINK("https://creighton-primo.hosted.exlibrisgroup.com/primo-explore/search?tab=default_tab&amp;search_scope=EVERYTHING&amp;vid=01CRU&amp;lang=en_US&amp;offset=0&amp;query=any,contains,991004680399702656","Catalog Record")</f>
        <v>Catalog Record</v>
      </c>
      <c r="AV958" s="5" t="str">
        <f>HYPERLINK("http://www.worldcat.org/oclc/52821440","WorldCat Record")</f>
        <v>WorldCat Record</v>
      </c>
      <c r="AW958" s="2" t="s">
        <v>11878</v>
      </c>
      <c r="AX958" s="2" t="s">
        <v>11879</v>
      </c>
      <c r="AY958" s="2" t="s">
        <v>11880</v>
      </c>
      <c r="AZ958" s="2" t="s">
        <v>11880</v>
      </c>
      <c r="BA958" s="2" t="s">
        <v>11881</v>
      </c>
      <c r="BB958" s="2" t="s">
        <v>20</v>
      </c>
      <c r="BD958" s="2" t="s">
        <v>11882</v>
      </c>
      <c r="BE958" s="2" t="s">
        <v>11883</v>
      </c>
      <c r="BF958" s="2" t="s">
        <v>11884</v>
      </c>
    </row>
    <row r="959" spans="1:58" ht="39.75" customHeight="1" x14ac:dyDescent="0.25">
      <c r="A959" s="7" t="s">
        <v>5</v>
      </c>
      <c r="B959" s="1" t="s">
        <v>0</v>
      </c>
      <c r="C959" s="1" t="s">
        <v>1</v>
      </c>
      <c r="D959" s="1" t="s">
        <v>11885</v>
      </c>
      <c r="E959" s="1" t="s">
        <v>11886</v>
      </c>
      <c r="F959" s="1" t="s">
        <v>11887</v>
      </c>
      <c r="H959" s="2" t="s">
        <v>5</v>
      </c>
      <c r="I959" s="2" t="s">
        <v>6</v>
      </c>
      <c r="J959" s="2" t="s">
        <v>5</v>
      </c>
      <c r="K959" s="2" t="s">
        <v>5</v>
      </c>
      <c r="L959" s="2" t="s">
        <v>7</v>
      </c>
      <c r="M959" s="1" t="s">
        <v>11888</v>
      </c>
      <c r="N959" s="1" t="s">
        <v>11889</v>
      </c>
      <c r="O959" s="2" t="s">
        <v>2859</v>
      </c>
      <c r="Q959" s="2" t="s">
        <v>1151</v>
      </c>
      <c r="R959" s="2" t="s">
        <v>9502</v>
      </c>
      <c r="S959" s="1" t="s">
        <v>11890</v>
      </c>
      <c r="T959" s="2" t="s">
        <v>13</v>
      </c>
      <c r="U959" s="3">
        <v>1</v>
      </c>
      <c r="V959" s="3">
        <v>1</v>
      </c>
      <c r="W959" s="4" t="s">
        <v>11891</v>
      </c>
      <c r="X959" s="4" t="s">
        <v>11891</v>
      </c>
      <c r="Y959" s="4" t="s">
        <v>5376</v>
      </c>
      <c r="Z959" s="4" t="s">
        <v>5376</v>
      </c>
      <c r="AA959" s="3">
        <v>8</v>
      </c>
      <c r="AB959" s="3">
        <v>7</v>
      </c>
      <c r="AC959" s="3">
        <v>7</v>
      </c>
      <c r="AD959" s="3">
        <v>1</v>
      </c>
      <c r="AE959" s="9">
        <v>1</v>
      </c>
      <c r="AF959" s="9">
        <v>0</v>
      </c>
      <c r="AG959" s="9">
        <v>0</v>
      </c>
      <c r="AH959" s="3">
        <v>0</v>
      </c>
      <c r="AI959" s="3">
        <v>0</v>
      </c>
      <c r="AJ959" s="3">
        <v>0</v>
      </c>
      <c r="AK959" s="3">
        <v>0</v>
      </c>
      <c r="AL959" s="3">
        <v>0</v>
      </c>
      <c r="AM959" s="3">
        <v>0</v>
      </c>
      <c r="AN959" s="3">
        <v>0</v>
      </c>
      <c r="AO959" s="3">
        <v>0</v>
      </c>
      <c r="AP959" s="3">
        <v>0</v>
      </c>
      <c r="AQ959" s="3">
        <v>0</v>
      </c>
      <c r="AR959" s="2" t="s">
        <v>5</v>
      </c>
      <c r="AS959" s="2" t="s">
        <v>5</v>
      </c>
      <c r="AU959" s="5" t="str">
        <f>HYPERLINK("https://creighton-primo.hosted.exlibrisgroup.com/primo-explore/search?tab=default_tab&amp;search_scope=EVERYTHING&amp;vid=01CRU&amp;lang=en_US&amp;offset=0&amp;query=any,contains,991003674419702656","Catalog Record")</f>
        <v>Catalog Record</v>
      </c>
      <c r="AV959" s="5" t="str">
        <f>HYPERLINK("http://www.worldcat.org/oclc/16133561","WorldCat Record")</f>
        <v>WorldCat Record</v>
      </c>
      <c r="AW959" s="2" t="s">
        <v>11892</v>
      </c>
      <c r="AX959" s="2" t="s">
        <v>11893</v>
      </c>
      <c r="AY959" s="2" t="s">
        <v>11894</v>
      </c>
      <c r="AZ959" s="2" t="s">
        <v>11894</v>
      </c>
      <c r="BA959" s="2" t="s">
        <v>11895</v>
      </c>
      <c r="BB959" s="2" t="s">
        <v>20</v>
      </c>
      <c r="BE959" s="2" t="s">
        <v>11896</v>
      </c>
      <c r="BF959" s="2" t="s">
        <v>11897</v>
      </c>
    </row>
    <row r="960" spans="1:58" ht="39.75" customHeight="1" x14ac:dyDescent="0.25">
      <c r="A960" s="7" t="s">
        <v>5</v>
      </c>
      <c r="B960" s="1" t="s">
        <v>0</v>
      </c>
      <c r="C960" s="1" t="s">
        <v>1</v>
      </c>
      <c r="D960" s="1" t="s">
        <v>11898</v>
      </c>
      <c r="E960" s="1" t="s">
        <v>11899</v>
      </c>
      <c r="F960" s="1" t="s">
        <v>11900</v>
      </c>
      <c r="H960" s="2" t="s">
        <v>5</v>
      </c>
      <c r="I960" s="2" t="s">
        <v>6</v>
      </c>
      <c r="J960" s="2" t="s">
        <v>5</v>
      </c>
      <c r="K960" s="2" t="s">
        <v>5</v>
      </c>
      <c r="L960" s="2" t="s">
        <v>7</v>
      </c>
      <c r="M960" s="1" t="s">
        <v>11901</v>
      </c>
      <c r="N960" s="1" t="s">
        <v>11902</v>
      </c>
      <c r="O960" s="2" t="s">
        <v>569</v>
      </c>
      <c r="Q960" s="2" t="s">
        <v>1151</v>
      </c>
      <c r="R960" s="2" t="s">
        <v>1152</v>
      </c>
      <c r="T960" s="2" t="s">
        <v>13</v>
      </c>
      <c r="U960" s="3">
        <v>1</v>
      </c>
      <c r="V960" s="3">
        <v>1</v>
      </c>
      <c r="W960" s="4" t="s">
        <v>10422</v>
      </c>
      <c r="X960" s="4" t="s">
        <v>10422</v>
      </c>
      <c r="Y960" s="4" t="s">
        <v>10422</v>
      </c>
      <c r="Z960" s="4" t="s">
        <v>10422</v>
      </c>
      <c r="AA960" s="3">
        <v>315</v>
      </c>
      <c r="AB960" s="3">
        <v>277</v>
      </c>
      <c r="AC960" s="3">
        <v>349</v>
      </c>
      <c r="AD960" s="3">
        <v>1</v>
      </c>
      <c r="AE960" s="9">
        <v>1</v>
      </c>
      <c r="AF960" s="9">
        <v>8</v>
      </c>
      <c r="AG960" s="9">
        <v>9</v>
      </c>
      <c r="AH960" s="3">
        <v>2</v>
      </c>
      <c r="AI960" s="3">
        <v>3</v>
      </c>
      <c r="AJ960" s="3">
        <v>4</v>
      </c>
      <c r="AK960" s="3">
        <v>4</v>
      </c>
      <c r="AL960" s="3">
        <v>4</v>
      </c>
      <c r="AM960" s="3">
        <v>5</v>
      </c>
      <c r="AN960" s="3">
        <v>0</v>
      </c>
      <c r="AO960" s="3">
        <v>0</v>
      </c>
      <c r="AP960" s="3">
        <v>0</v>
      </c>
      <c r="AQ960" s="3">
        <v>0</v>
      </c>
      <c r="AR960" s="2" t="s">
        <v>5</v>
      </c>
      <c r="AS960" s="2" t="s">
        <v>46</v>
      </c>
      <c r="AT960" s="5" t="str">
        <f>HYPERLINK("http://catalog.hathitrust.org/Record/004102712","HathiTrust Record")</f>
        <v>HathiTrust Record</v>
      </c>
      <c r="AU960" s="5" t="str">
        <f>HYPERLINK("https://creighton-primo.hosted.exlibrisgroup.com/primo-explore/search?tab=default_tab&amp;search_scope=EVERYTHING&amp;vid=01CRU&amp;lang=en_US&amp;offset=0&amp;query=any,contains,991003253429702656","Catalog Record")</f>
        <v>Catalog Record</v>
      </c>
      <c r="AV960" s="5" t="str">
        <f>HYPERLINK("http://www.worldcat.org/oclc/39047524","WorldCat Record")</f>
        <v>WorldCat Record</v>
      </c>
      <c r="AW960" s="2" t="s">
        <v>11903</v>
      </c>
      <c r="AX960" s="2" t="s">
        <v>11904</v>
      </c>
      <c r="AY960" s="2" t="s">
        <v>11905</v>
      </c>
      <c r="AZ960" s="2" t="s">
        <v>11905</v>
      </c>
      <c r="BA960" s="2" t="s">
        <v>11906</v>
      </c>
      <c r="BB960" s="2" t="s">
        <v>20</v>
      </c>
      <c r="BD960" s="2" t="s">
        <v>11907</v>
      </c>
      <c r="BE960" s="2" t="s">
        <v>11908</v>
      </c>
      <c r="BF960" s="2" t="s">
        <v>11909</v>
      </c>
    </row>
    <row r="961" spans="1:58" ht="39.75" customHeight="1" x14ac:dyDescent="0.25">
      <c r="A961" s="7" t="s">
        <v>5</v>
      </c>
      <c r="B961" s="1" t="s">
        <v>0</v>
      </c>
      <c r="C961" s="1" t="s">
        <v>1</v>
      </c>
      <c r="D961" s="1" t="s">
        <v>11910</v>
      </c>
      <c r="E961" s="1" t="s">
        <v>11911</v>
      </c>
      <c r="F961" s="1" t="s">
        <v>11912</v>
      </c>
      <c r="H961" s="2" t="s">
        <v>5</v>
      </c>
      <c r="I961" s="2" t="s">
        <v>6</v>
      </c>
      <c r="J961" s="2" t="s">
        <v>5</v>
      </c>
      <c r="K961" s="2" t="s">
        <v>5</v>
      </c>
      <c r="L961" s="2" t="s">
        <v>7</v>
      </c>
      <c r="M961" s="1" t="s">
        <v>11913</v>
      </c>
      <c r="N961" s="1" t="s">
        <v>11914</v>
      </c>
      <c r="O961" s="2" t="s">
        <v>708</v>
      </c>
      <c r="Q961" s="2" t="s">
        <v>60</v>
      </c>
      <c r="R961" s="2" t="s">
        <v>61</v>
      </c>
      <c r="T961" s="2" t="s">
        <v>13</v>
      </c>
      <c r="U961" s="3">
        <v>3</v>
      </c>
      <c r="V961" s="3">
        <v>3</v>
      </c>
      <c r="W961" s="4" t="s">
        <v>11915</v>
      </c>
      <c r="X961" s="4" t="s">
        <v>11915</v>
      </c>
      <c r="Y961" s="4" t="s">
        <v>11916</v>
      </c>
      <c r="Z961" s="4" t="s">
        <v>11916</v>
      </c>
      <c r="AA961" s="3">
        <v>179</v>
      </c>
      <c r="AB961" s="3">
        <v>149</v>
      </c>
      <c r="AC961" s="3">
        <v>565</v>
      </c>
      <c r="AD961" s="3">
        <v>2</v>
      </c>
      <c r="AE961" s="9">
        <v>2</v>
      </c>
      <c r="AF961" s="9">
        <v>5</v>
      </c>
      <c r="AG961" s="9">
        <v>21</v>
      </c>
      <c r="AH961" s="3">
        <v>0</v>
      </c>
      <c r="AI961" s="3">
        <v>7</v>
      </c>
      <c r="AJ961" s="3">
        <v>2</v>
      </c>
      <c r="AK961" s="3">
        <v>7</v>
      </c>
      <c r="AL961" s="3">
        <v>3</v>
      </c>
      <c r="AM961" s="3">
        <v>11</v>
      </c>
      <c r="AN961" s="3">
        <v>1</v>
      </c>
      <c r="AO961" s="3">
        <v>1</v>
      </c>
      <c r="AP961" s="3">
        <v>0</v>
      </c>
      <c r="AQ961" s="3">
        <v>0</v>
      </c>
      <c r="AR961" s="2" t="s">
        <v>5</v>
      </c>
      <c r="AS961" s="2" t="s">
        <v>5</v>
      </c>
      <c r="AU961" s="5" t="str">
        <f>HYPERLINK("https://creighton-primo.hosted.exlibrisgroup.com/primo-explore/search?tab=default_tab&amp;search_scope=EVERYTHING&amp;vid=01CRU&amp;lang=en_US&amp;offset=0&amp;query=any,contains,991000909019702656","Catalog Record")</f>
        <v>Catalog Record</v>
      </c>
      <c r="AV961" s="5" t="str">
        <f>HYPERLINK("http://www.worldcat.org/oclc/14129303","WorldCat Record")</f>
        <v>WorldCat Record</v>
      </c>
      <c r="AW961" s="2" t="s">
        <v>11917</v>
      </c>
      <c r="AX961" s="2" t="s">
        <v>11918</v>
      </c>
      <c r="AY961" s="2" t="s">
        <v>11919</v>
      </c>
      <c r="AZ961" s="2" t="s">
        <v>11919</v>
      </c>
      <c r="BA961" s="2" t="s">
        <v>11920</v>
      </c>
      <c r="BB961" s="2" t="s">
        <v>20</v>
      </c>
      <c r="BD961" s="2" t="s">
        <v>11921</v>
      </c>
      <c r="BE961" s="2" t="s">
        <v>11922</v>
      </c>
      <c r="BF961" s="2" t="s">
        <v>11923</v>
      </c>
    </row>
    <row r="962" spans="1:58" ht="39.75" customHeight="1" x14ac:dyDescent="0.25">
      <c r="A962" s="7" t="s">
        <v>5</v>
      </c>
      <c r="B962" s="1" t="s">
        <v>0</v>
      </c>
      <c r="C962" s="1" t="s">
        <v>1</v>
      </c>
      <c r="D962" s="1" t="s">
        <v>11924</v>
      </c>
      <c r="E962" s="1" t="s">
        <v>11925</v>
      </c>
      <c r="F962" s="1" t="s">
        <v>11926</v>
      </c>
      <c r="H962" s="2" t="s">
        <v>5</v>
      </c>
      <c r="I962" s="2" t="s">
        <v>6</v>
      </c>
      <c r="J962" s="2" t="s">
        <v>5</v>
      </c>
      <c r="K962" s="2" t="s">
        <v>5</v>
      </c>
      <c r="L962" s="2" t="s">
        <v>7</v>
      </c>
      <c r="N962" s="1" t="s">
        <v>11927</v>
      </c>
      <c r="O962" s="2" t="s">
        <v>2448</v>
      </c>
      <c r="Q962" s="2" t="s">
        <v>1151</v>
      </c>
      <c r="R962" s="2" t="s">
        <v>1152</v>
      </c>
      <c r="S962" s="1" t="s">
        <v>11928</v>
      </c>
      <c r="T962" s="2" t="s">
        <v>13</v>
      </c>
      <c r="U962" s="3">
        <v>1</v>
      </c>
      <c r="V962" s="3">
        <v>1</v>
      </c>
      <c r="W962" s="4" t="s">
        <v>11929</v>
      </c>
      <c r="X962" s="4" t="s">
        <v>11929</v>
      </c>
      <c r="Y962" s="4" t="s">
        <v>11930</v>
      </c>
      <c r="Z962" s="4" t="s">
        <v>11930</v>
      </c>
      <c r="AA962" s="3">
        <v>30</v>
      </c>
      <c r="AB962" s="3">
        <v>29</v>
      </c>
      <c r="AC962" s="3">
        <v>30</v>
      </c>
      <c r="AD962" s="3">
        <v>1</v>
      </c>
      <c r="AE962" s="9">
        <v>1</v>
      </c>
      <c r="AF962" s="9">
        <v>0</v>
      </c>
      <c r="AG962" s="9">
        <v>0</v>
      </c>
      <c r="AH962" s="3">
        <v>0</v>
      </c>
      <c r="AI962" s="3">
        <v>0</v>
      </c>
      <c r="AJ962" s="3">
        <v>0</v>
      </c>
      <c r="AK962" s="3">
        <v>0</v>
      </c>
      <c r="AL962" s="3">
        <v>0</v>
      </c>
      <c r="AM962" s="3">
        <v>0</v>
      </c>
      <c r="AN962" s="3">
        <v>0</v>
      </c>
      <c r="AO962" s="3">
        <v>0</v>
      </c>
      <c r="AP962" s="3">
        <v>0</v>
      </c>
      <c r="AQ962" s="3">
        <v>0</v>
      </c>
      <c r="AR962" s="2" t="s">
        <v>5</v>
      </c>
      <c r="AS962" s="2" t="s">
        <v>46</v>
      </c>
      <c r="AT962" s="5" t="str">
        <f>HYPERLINK("http://catalog.hathitrust.org/Record/003499727","HathiTrust Record")</f>
        <v>HathiTrust Record</v>
      </c>
      <c r="AU962" s="5" t="str">
        <f>HYPERLINK("https://creighton-primo.hosted.exlibrisgroup.com/primo-explore/search?tab=default_tab&amp;search_scope=EVERYTHING&amp;vid=01CRU&amp;lang=en_US&amp;offset=0&amp;query=any,contains,991004160429702656","Catalog Record")</f>
        <v>Catalog Record</v>
      </c>
      <c r="AV962" s="5" t="str">
        <f>HYPERLINK("http://www.worldcat.org/oclc/43903208","WorldCat Record")</f>
        <v>WorldCat Record</v>
      </c>
      <c r="AW962" s="2" t="s">
        <v>11931</v>
      </c>
      <c r="AX962" s="2" t="s">
        <v>11932</v>
      </c>
      <c r="AY962" s="2" t="s">
        <v>11933</v>
      </c>
      <c r="AZ962" s="2" t="s">
        <v>11933</v>
      </c>
      <c r="BA962" s="2" t="s">
        <v>11934</v>
      </c>
      <c r="BB962" s="2" t="s">
        <v>20</v>
      </c>
      <c r="BD962" s="2" t="s">
        <v>11935</v>
      </c>
      <c r="BE962" s="2" t="s">
        <v>11936</v>
      </c>
      <c r="BF962" s="2" t="s">
        <v>11937</v>
      </c>
    </row>
    <row r="963" spans="1:58" ht="39.75" customHeight="1" x14ac:dyDescent="0.25">
      <c r="A963" s="7" t="s">
        <v>5</v>
      </c>
      <c r="B963" s="1" t="s">
        <v>0</v>
      </c>
      <c r="C963" s="1" t="s">
        <v>1</v>
      </c>
      <c r="D963" s="1" t="s">
        <v>11938</v>
      </c>
      <c r="E963" s="1" t="s">
        <v>11939</v>
      </c>
      <c r="F963" s="1" t="s">
        <v>11940</v>
      </c>
      <c r="H963" s="2" t="s">
        <v>5</v>
      </c>
      <c r="I963" s="2" t="s">
        <v>6</v>
      </c>
      <c r="J963" s="2" t="s">
        <v>5</v>
      </c>
      <c r="K963" s="2" t="s">
        <v>5</v>
      </c>
      <c r="L963" s="2" t="s">
        <v>7</v>
      </c>
      <c r="M963" s="1" t="s">
        <v>11941</v>
      </c>
      <c r="N963" s="1" t="s">
        <v>11942</v>
      </c>
      <c r="O963" s="2" t="s">
        <v>554</v>
      </c>
      <c r="Q963" s="2" t="s">
        <v>1151</v>
      </c>
      <c r="R963" s="2" t="s">
        <v>9502</v>
      </c>
      <c r="T963" s="2" t="s">
        <v>13</v>
      </c>
      <c r="U963" s="3">
        <v>1</v>
      </c>
      <c r="V963" s="3">
        <v>1</v>
      </c>
      <c r="W963" s="4" t="s">
        <v>11707</v>
      </c>
      <c r="X963" s="4" t="s">
        <v>11707</v>
      </c>
      <c r="Y963" s="4" t="s">
        <v>11708</v>
      </c>
      <c r="Z963" s="4" t="s">
        <v>11708</v>
      </c>
      <c r="AA963" s="3">
        <v>34</v>
      </c>
      <c r="AB963" s="3">
        <v>28</v>
      </c>
      <c r="AC963" s="3">
        <v>172</v>
      </c>
      <c r="AD963" s="3">
        <v>1</v>
      </c>
      <c r="AE963" s="9">
        <v>1</v>
      </c>
      <c r="AF963" s="9">
        <v>0</v>
      </c>
      <c r="AG963" s="9">
        <v>9</v>
      </c>
      <c r="AH963" s="3">
        <v>0</v>
      </c>
      <c r="AI963" s="3">
        <v>1</v>
      </c>
      <c r="AJ963" s="3">
        <v>0</v>
      </c>
      <c r="AK963" s="3">
        <v>5</v>
      </c>
      <c r="AL963" s="3">
        <v>0</v>
      </c>
      <c r="AM963" s="3">
        <v>5</v>
      </c>
      <c r="AN963" s="3">
        <v>0</v>
      </c>
      <c r="AO963" s="3">
        <v>0</v>
      </c>
      <c r="AP963" s="3">
        <v>0</v>
      </c>
      <c r="AQ963" s="3">
        <v>0</v>
      </c>
      <c r="AR963" s="2" t="s">
        <v>5</v>
      </c>
      <c r="AS963" s="2" t="s">
        <v>46</v>
      </c>
      <c r="AT963" s="5" t="str">
        <f>HYPERLINK("http://catalog.hathitrust.org/Record/003157936","HathiTrust Record")</f>
        <v>HathiTrust Record</v>
      </c>
      <c r="AU963" s="5" t="str">
        <f>HYPERLINK("https://creighton-primo.hosted.exlibrisgroup.com/primo-explore/search?tab=default_tab&amp;search_scope=EVERYTHING&amp;vid=01CRU&amp;lang=en_US&amp;offset=0&amp;query=any,contains,991003678499702656","Catalog Record")</f>
        <v>Catalog Record</v>
      </c>
      <c r="AV963" s="5" t="str">
        <f>HYPERLINK("http://www.worldcat.org/oclc/15599277","WorldCat Record")</f>
        <v>WorldCat Record</v>
      </c>
      <c r="AW963" s="2" t="s">
        <v>11943</v>
      </c>
      <c r="AX963" s="2" t="s">
        <v>11944</v>
      </c>
      <c r="AY963" s="2" t="s">
        <v>11945</v>
      </c>
      <c r="AZ963" s="2" t="s">
        <v>11945</v>
      </c>
      <c r="BA963" s="2" t="s">
        <v>11946</v>
      </c>
      <c r="BB963" s="2" t="s">
        <v>20</v>
      </c>
      <c r="BE963" s="2" t="s">
        <v>11947</v>
      </c>
      <c r="BF963" s="2" t="s">
        <v>11948</v>
      </c>
    </row>
    <row r="964" spans="1:58" ht="39.75" customHeight="1" x14ac:dyDescent="0.25">
      <c r="A964" s="7" t="s">
        <v>5</v>
      </c>
      <c r="B964" s="1" t="s">
        <v>0</v>
      </c>
      <c r="C964" s="1" t="s">
        <v>1</v>
      </c>
      <c r="D964" s="1" t="s">
        <v>11949</v>
      </c>
      <c r="E964" s="1" t="s">
        <v>11950</v>
      </c>
      <c r="F964" s="1" t="s">
        <v>11951</v>
      </c>
      <c r="H964" s="2" t="s">
        <v>5</v>
      </c>
      <c r="I964" s="2" t="s">
        <v>6</v>
      </c>
      <c r="J964" s="2" t="s">
        <v>5</v>
      </c>
      <c r="K964" s="2" t="s">
        <v>5</v>
      </c>
      <c r="L964" s="2" t="s">
        <v>7</v>
      </c>
      <c r="M964" s="1" t="s">
        <v>11952</v>
      </c>
      <c r="N964" s="1" t="s">
        <v>11953</v>
      </c>
      <c r="O964" s="2" t="s">
        <v>1515</v>
      </c>
      <c r="Q964" s="2" t="s">
        <v>1151</v>
      </c>
      <c r="R964" s="2" t="s">
        <v>9502</v>
      </c>
      <c r="S964" s="1" t="s">
        <v>11890</v>
      </c>
      <c r="T964" s="2" t="s">
        <v>13</v>
      </c>
      <c r="U964" s="3">
        <v>1</v>
      </c>
      <c r="V964" s="3">
        <v>1</v>
      </c>
      <c r="W964" s="4" t="s">
        <v>11954</v>
      </c>
      <c r="X964" s="4" t="s">
        <v>11954</v>
      </c>
      <c r="Y964" s="4" t="s">
        <v>11955</v>
      </c>
      <c r="Z964" s="4" t="s">
        <v>11955</v>
      </c>
      <c r="AA964" s="3">
        <v>3</v>
      </c>
      <c r="AB964" s="3">
        <v>1</v>
      </c>
      <c r="AC964" s="3">
        <v>1</v>
      </c>
      <c r="AD964" s="3">
        <v>1</v>
      </c>
      <c r="AE964" s="9">
        <v>1</v>
      </c>
      <c r="AF964" s="9">
        <v>0</v>
      </c>
      <c r="AG964" s="9">
        <v>0</v>
      </c>
      <c r="AH964" s="3">
        <v>0</v>
      </c>
      <c r="AI964" s="3">
        <v>0</v>
      </c>
      <c r="AJ964" s="3">
        <v>0</v>
      </c>
      <c r="AK964" s="3">
        <v>0</v>
      </c>
      <c r="AL964" s="3">
        <v>0</v>
      </c>
      <c r="AM964" s="3">
        <v>0</v>
      </c>
      <c r="AN964" s="3">
        <v>0</v>
      </c>
      <c r="AO964" s="3">
        <v>0</v>
      </c>
      <c r="AP964" s="3">
        <v>0</v>
      </c>
      <c r="AQ964" s="3">
        <v>0</v>
      </c>
      <c r="AR964" s="2" t="s">
        <v>5</v>
      </c>
      <c r="AS964" s="2" t="s">
        <v>5</v>
      </c>
      <c r="AU964" s="5" t="str">
        <f>HYPERLINK("https://creighton-primo.hosted.exlibrisgroup.com/primo-explore/search?tab=default_tab&amp;search_scope=EVERYTHING&amp;vid=01CRU&amp;lang=en_US&amp;offset=0&amp;query=any,contains,991003985829702656","Catalog Record")</f>
        <v>Catalog Record</v>
      </c>
      <c r="AV964" s="5" t="str">
        <f>HYPERLINK("http://www.worldcat.org/oclc/51509327","WorldCat Record")</f>
        <v>WorldCat Record</v>
      </c>
      <c r="AW964" s="2" t="s">
        <v>11956</v>
      </c>
      <c r="AX964" s="2" t="s">
        <v>11957</v>
      </c>
      <c r="AY964" s="2" t="s">
        <v>11958</v>
      </c>
      <c r="AZ964" s="2" t="s">
        <v>11958</v>
      </c>
      <c r="BA964" s="2" t="s">
        <v>11959</v>
      </c>
      <c r="BB964" s="2" t="s">
        <v>20</v>
      </c>
      <c r="BE964" s="2" t="s">
        <v>11960</v>
      </c>
      <c r="BF964" s="2" t="s">
        <v>11961</v>
      </c>
    </row>
    <row r="965" spans="1:58" ht="39.75" customHeight="1" x14ac:dyDescent="0.25">
      <c r="A965" s="7" t="s">
        <v>5</v>
      </c>
      <c r="B965" s="1" t="s">
        <v>0</v>
      </c>
      <c r="C965" s="1" t="s">
        <v>1</v>
      </c>
      <c r="D965" s="1" t="s">
        <v>11962</v>
      </c>
      <c r="E965" s="1" t="s">
        <v>11963</v>
      </c>
      <c r="F965" s="1" t="s">
        <v>11964</v>
      </c>
      <c r="H965" s="2" t="s">
        <v>5</v>
      </c>
      <c r="I965" s="2" t="s">
        <v>6</v>
      </c>
      <c r="J965" s="2" t="s">
        <v>5</v>
      </c>
      <c r="K965" s="2" t="s">
        <v>5</v>
      </c>
      <c r="L965" s="2" t="s">
        <v>7</v>
      </c>
      <c r="M965" s="1" t="s">
        <v>11965</v>
      </c>
      <c r="N965" s="1" t="s">
        <v>11966</v>
      </c>
      <c r="O965" s="2" t="s">
        <v>494</v>
      </c>
      <c r="Q965" s="2" t="s">
        <v>1151</v>
      </c>
      <c r="R965" s="2" t="s">
        <v>9502</v>
      </c>
      <c r="S965" s="1" t="s">
        <v>11890</v>
      </c>
      <c r="T965" s="2" t="s">
        <v>13</v>
      </c>
      <c r="U965" s="3">
        <v>1</v>
      </c>
      <c r="V965" s="3">
        <v>1</v>
      </c>
      <c r="W965" s="4" t="s">
        <v>11707</v>
      </c>
      <c r="X965" s="4" t="s">
        <v>11707</v>
      </c>
      <c r="Y965" s="4" t="s">
        <v>11708</v>
      </c>
      <c r="Z965" s="4" t="s">
        <v>11708</v>
      </c>
      <c r="AA965" s="3">
        <v>3</v>
      </c>
      <c r="AB965" s="3">
        <v>3</v>
      </c>
      <c r="AC965" s="3">
        <v>3</v>
      </c>
      <c r="AD965" s="3">
        <v>1</v>
      </c>
      <c r="AE965" s="9">
        <v>1</v>
      </c>
      <c r="AF965" s="9">
        <v>0</v>
      </c>
      <c r="AG965" s="9">
        <v>0</v>
      </c>
      <c r="AH965" s="3">
        <v>0</v>
      </c>
      <c r="AI965" s="3">
        <v>0</v>
      </c>
      <c r="AJ965" s="3">
        <v>0</v>
      </c>
      <c r="AK965" s="3">
        <v>0</v>
      </c>
      <c r="AL965" s="3">
        <v>0</v>
      </c>
      <c r="AM965" s="3">
        <v>0</v>
      </c>
      <c r="AN965" s="3">
        <v>0</v>
      </c>
      <c r="AO965" s="3">
        <v>0</v>
      </c>
      <c r="AP965" s="3">
        <v>0</v>
      </c>
      <c r="AQ965" s="3">
        <v>0</v>
      </c>
      <c r="AR965" s="2" t="s">
        <v>5</v>
      </c>
      <c r="AS965" s="2" t="s">
        <v>5</v>
      </c>
      <c r="AU965" s="5" t="str">
        <f>HYPERLINK("https://creighton-primo.hosted.exlibrisgroup.com/primo-explore/search?tab=default_tab&amp;search_scope=EVERYTHING&amp;vid=01CRU&amp;lang=en_US&amp;offset=0&amp;query=any,contains,991003677949702656","Catalog Record")</f>
        <v>Catalog Record</v>
      </c>
      <c r="AV965" s="5" t="str">
        <f>HYPERLINK("http://www.worldcat.org/oclc/20397127","WorldCat Record")</f>
        <v>WorldCat Record</v>
      </c>
      <c r="AW965" s="2" t="s">
        <v>11967</v>
      </c>
      <c r="AX965" s="2" t="s">
        <v>11968</v>
      </c>
      <c r="AY965" s="2" t="s">
        <v>11969</v>
      </c>
      <c r="AZ965" s="2" t="s">
        <v>11969</v>
      </c>
      <c r="BA965" s="2" t="s">
        <v>11970</v>
      </c>
      <c r="BB965" s="2" t="s">
        <v>20</v>
      </c>
      <c r="BE965" s="2" t="s">
        <v>11971</v>
      </c>
      <c r="BF965" s="2" t="s">
        <v>11972</v>
      </c>
    </row>
    <row r="966" spans="1:58" ht="39.75" customHeight="1" x14ac:dyDescent="0.25">
      <c r="A966" s="7" t="s">
        <v>5</v>
      </c>
      <c r="B966" s="1" t="s">
        <v>0</v>
      </c>
      <c r="C966" s="1" t="s">
        <v>1</v>
      </c>
      <c r="D966" s="1" t="s">
        <v>11973</v>
      </c>
      <c r="E966" s="1" t="s">
        <v>11974</v>
      </c>
      <c r="F966" s="1" t="s">
        <v>11975</v>
      </c>
      <c r="H966" s="2" t="s">
        <v>5</v>
      </c>
      <c r="I966" s="2" t="s">
        <v>6</v>
      </c>
      <c r="J966" s="2" t="s">
        <v>5</v>
      </c>
      <c r="K966" s="2" t="s">
        <v>5</v>
      </c>
      <c r="L966" s="2" t="s">
        <v>7</v>
      </c>
      <c r="M966" s="1" t="s">
        <v>11976</v>
      </c>
      <c r="N966" s="1" t="s">
        <v>11591</v>
      </c>
      <c r="O966" s="2" t="s">
        <v>421</v>
      </c>
      <c r="Q966" s="2" t="s">
        <v>1151</v>
      </c>
      <c r="R966" s="2" t="s">
        <v>9502</v>
      </c>
      <c r="S966" s="1" t="s">
        <v>11977</v>
      </c>
      <c r="T966" s="2" t="s">
        <v>13</v>
      </c>
      <c r="U966" s="3">
        <v>1</v>
      </c>
      <c r="V966" s="3">
        <v>1</v>
      </c>
      <c r="W966" s="4" t="s">
        <v>6036</v>
      </c>
      <c r="X966" s="4" t="s">
        <v>6036</v>
      </c>
      <c r="Y966" s="4" t="s">
        <v>6036</v>
      </c>
      <c r="Z966" s="4" t="s">
        <v>6036</v>
      </c>
      <c r="AA966" s="3">
        <v>75</v>
      </c>
      <c r="AB966" s="3">
        <v>58</v>
      </c>
      <c r="AC966" s="3">
        <v>60</v>
      </c>
      <c r="AD966" s="3">
        <v>1</v>
      </c>
      <c r="AE966" s="9">
        <v>1</v>
      </c>
      <c r="AF966" s="9">
        <v>1</v>
      </c>
      <c r="AG966" s="9">
        <v>1</v>
      </c>
      <c r="AH966" s="3">
        <v>0</v>
      </c>
      <c r="AI966" s="3">
        <v>0</v>
      </c>
      <c r="AJ966" s="3">
        <v>1</v>
      </c>
      <c r="AK966" s="3">
        <v>1</v>
      </c>
      <c r="AL966" s="3">
        <v>0</v>
      </c>
      <c r="AM966" s="3">
        <v>0</v>
      </c>
      <c r="AN966" s="3">
        <v>0</v>
      </c>
      <c r="AO966" s="3">
        <v>0</v>
      </c>
      <c r="AP966" s="3">
        <v>0</v>
      </c>
      <c r="AQ966" s="3">
        <v>0</v>
      </c>
      <c r="AR966" s="2" t="s">
        <v>5</v>
      </c>
      <c r="AS966" s="2" t="s">
        <v>46</v>
      </c>
      <c r="AT966" s="5" t="str">
        <f>HYPERLINK("http://catalog.hathitrust.org/Record/006714160","HathiTrust Record")</f>
        <v>HathiTrust Record</v>
      </c>
      <c r="AU966" s="5" t="str">
        <f>HYPERLINK("https://creighton-primo.hosted.exlibrisgroup.com/primo-explore/search?tab=default_tab&amp;search_scope=EVERYTHING&amp;vid=01CRU&amp;lang=en_US&amp;offset=0&amp;query=any,contains,991004334679702656","Catalog Record")</f>
        <v>Catalog Record</v>
      </c>
      <c r="AV966" s="5" t="str">
        <f>HYPERLINK("http://www.worldcat.org/oclc/12054171","WorldCat Record")</f>
        <v>WorldCat Record</v>
      </c>
      <c r="AW966" s="2" t="s">
        <v>11978</v>
      </c>
      <c r="AX966" s="2" t="s">
        <v>11979</v>
      </c>
      <c r="AY966" s="2" t="s">
        <v>11980</v>
      </c>
      <c r="AZ966" s="2" t="s">
        <v>11980</v>
      </c>
      <c r="BA966" s="2" t="s">
        <v>11981</v>
      </c>
      <c r="BB966" s="2" t="s">
        <v>20</v>
      </c>
      <c r="BE966" s="2" t="s">
        <v>11982</v>
      </c>
      <c r="BF966" s="2" t="s">
        <v>11983</v>
      </c>
    </row>
    <row r="967" spans="1:58" ht="39.75" customHeight="1" x14ac:dyDescent="0.25">
      <c r="A967" s="7" t="s">
        <v>5</v>
      </c>
      <c r="B967" s="1" t="s">
        <v>0</v>
      </c>
      <c r="C967" s="1" t="s">
        <v>1</v>
      </c>
      <c r="D967" s="1" t="s">
        <v>11984</v>
      </c>
      <c r="E967" s="1" t="s">
        <v>11985</v>
      </c>
      <c r="F967" s="1" t="s">
        <v>11986</v>
      </c>
      <c r="H967" s="2" t="s">
        <v>5</v>
      </c>
      <c r="I967" s="2" t="s">
        <v>6</v>
      </c>
      <c r="J967" s="2" t="s">
        <v>5</v>
      </c>
      <c r="K967" s="2" t="s">
        <v>5</v>
      </c>
      <c r="L967" s="2" t="s">
        <v>7</v>
      </c>
      <c r="M967" s="1" t="s">
        <v>11987</v>
      </c>
      <c r="N967" s="1" t="s">
        <v>11988</v>
      </c>
      <c r="O967" s="2" t="s">
        <v>1273</v>
      </c>
      <c r="Q967" s="2" t="s">
        <v>1151</v>
      </c>
      <c r="R967" s="2" t="s">
        <v>234</v>
      </c>
      <c r="T967" s="2" t="s">
        <v>13</v>
      </c>
      <c r="U967" s="3">
        <v>1</v>
      </c>
      <c r="V967" s="3">
        <v>1</v>
      </c>
      <c r="W967" s="4" t="s">
        <v>9859</v>
      </c>
      <c r="X967" s="4" t="s">
        <v>9859</v>
      </c>
      <c r="Y967" s="4" t="s">
        <v>9859</v>
      </c>
      <c r="Z967" s="4" t="s">
        <v>9859</v>
      </c>
      <c r="AA967" s="3">
        <v>2</v>
      </c>
      <c r="AB967" s="3">
        <v>2</v>
      </c>
      <c r="AC967" s="3">
        <v>2</v>
      </c>
      <c r="AD967" s="3">
        <v>1</v>
      </c>
      <c r="AE967" s="9">
        <v>1</v>
      </c>
      <c r="AF967" s="9">
        <v>0</v>
      </c>
      <c r="AG967" s="9">
        <v>0</v>
      </c>
      <c r="AH967" s="3">
        <v>0</v>
      </c>
      <c r="AI967" s="3">
        <v>0</v>
      </c>
      <c r="AJ967" s="3">
        <v>0</v>
      </c>
      <c r="AK967" s="3">
        <v>0</v>
      </c>
      <c r="AL967" s="3">
        <v>0</v>
      </c>
      <c r="AM967" s="3">
        <v>0</v>
      </c>
      <c r="AN967" s="3">
        <v>0</v>
      </c>
      <c r="AO967" s="3">
        <v>0</v>
      </c>
      <c r="AP967" s="3">
        <v>0</v>
      </c>
      <c r="AQ967" s="3">
        <v>0</v>
      </c>
      <c r="AR967" s="2" t="s">
        <v>5</v>
      </c>
      <c r="AS967" s="2" t="s">
        <v>5</v>
      </c>
      <c r="AU967" s="5" t="str">
        <f>HYPERLINK("https://creighton-primo.hosted.exlibrisgroup.com/primo-explore/search?tab=default_tab&amp;search_scope=EVERYTHING&amp;vid=01CRU&amp;lang=en_US&amp;offset=0&amp;query=any,contains,991003692969702656","Catalog Record")</f>
        <v>Catalog Record</v>
      </c>
      <c r="AV967" s="5" t="str">
        <f>HYPERLINK("http://www.worldcat.org/oclc/35334333","WorldCat Record")</f>
        <v>WorldCat Record</v>
      </c>
      <c r="AW967" s="2" t="s">
        <v>11989</v>
      </c>
      <c r="AX967" s="2" t="s">
        <v>11990</v>
      </c>
      <c r="AY967" s="2" t="s">
        <v>11991</v>
      </c>
      <c r="AZ967" s="2" t="s">
        <v>11991</v>
      </c>
      <c r="BA967" s="2" t="s">
        <v>11992</v>
      </c>
      <c r="BB967" s="2" t="s">
        <v>20</v>
      </c>
      <c r="BE967" s="2" t="s">
        <v>11993</v>
      </c>
      <c r="BF967" s="2" t="s">
        <v>11994</v>
      </c>
    </row>
    <row r="968" spans="1:58" ht="39.75" customHeight="1" x14ac:dyDescent="0.25">
      <c r="A968" s="7" t="s">
        <v>5</v>
      </c>
      <c r="B968" s="1" t="s">
        <v>0</v>
      </c>
      <c r="C968" s="1" t="s">
        <v>1</v>
      </c>
      <c r="D968" s="1" t="s">
        <v>11995</v>
      </c>
      <c r="E968" s="1" t="s">
        <v>11996</v>
      </c>
      <c r="F968" s="1" t="s">
        <v>11997</v>
      </c>
      <c r="H968" s="2" t="s">
        <v>5</v>
      </c>
      <c r="I968" s="2" t="s">
        <v>6</v>
      </c>
      <c r="J968" s="2" t="s">
        <v>5</v>
      </c>
      <c r="K968" s="2" t="s">
        <v>5</v>
      </c>
      <c r="L968" s="2" t="s">
        <v>7</v>
      </c>
      <c r="M968" s="1" t="s">
        <v>11998</v>
      </c>
      <c r="N968" s="1" t="s">
        <v>11999</v>
      </c>
      <c r="O968" s="2" t="s">
        <v>322</v>
      </c>
      <c r="P968" s="1" t="s">
        <v>2908</v>
      </c>
      <c r="Q968" s="2" t="s">
        <v>1151</v>
      </c>
      <c r="R968" s="2" t="s">
        <v>4146</v>
      </c>
      <c r="S968" s="1" t="s">
        <v>12000</v>
      </c>
      <c r="T968" s="2" t="s">
        <v>13</v>
      </c>
      <c r="U968" s="3">
        <v>1</v>
      </c>
      <c r="V968" s="3">
        <v>1</v>
      </c>
      <c r="W968" s="4" t="s">
        <v>3997</v>
      </c>
      <c r="X968" s="4" t="s">
        <v>3997</v>
      </c>
      <c r="Y968" s="4" t="s">
        <v>10520</v>
      </c>
      <c r="Z968" s="4" t="s">
        <v>10520</v>
      </c>
      <c r="AA968" s="3">
        <v>13</v>
      </c>
      <c r="AB968" s="3">
        <v>13</v>
      </c>
      <c r="AC968" s="3">
        <v>16</v>
      </c>
      <c r="AD968" s="3">
        <v>1</v>
      </c>
      <c r="AE968" s="9">
        <v>1</v>
      </c>
      <c r="AF968" s="9">
        <v>0</v>
      </c>
      <c r="AG968" s="9">
        <v>0</v>
      </c>
      <c r="AH968" s="3">
        <v>0</v>
      </c>
      <c r="AI968" s="3">
        <v>0</v>
      </c>
      <c r="AJ968" s="3">
        <v>0</v>
      </c>
      <c r="AK968" s="3">
        <v>0</v>
      </c>
      <c r="AL968" s="3">
        <v>0</v>
      </c>
      <c r="AM968" s="3">
        <v>0</v>
      </c>
      <c r="AN968" s="3">
        <v>0</v>
      </c>
      <c r="AO968" s="3">
        <v>0</v>
      </c>
      <c r="AP968" s="3">
        <v>0</v>
      </c>
      <c r="AQ968" s="3">
        <v>0</v>
      </c>
      <c r="AR968" s="2" t="s">
        <v>5</v>
      </c>
      <c r="AS968" s="2" t="s">
        <v>46</v>
      </c>
      <c r="AT968" s="5" t="str">
        <f>HYPERLINK("http://catalog.hathitrust.org/Record/101104076","HathiTrust Record")</f>
        <v>HathiTrust Record</v>
      </c>
      <c r="AU968" s="5" t="str">
        <f>HYPERLINK("https://creighton-primo.hosted.exlibrisgroup.com/primo-explore/search?tab=default_tab&amp;search_scope=EVERYTHING&amp;vid=01CRU&amp;lang=en_US&amp;offset=0&amp;query=any,contains,991003813679702656","Catalog Record")</f>
        <v>Catalog Record</v>
      </c>
      <c r="AV968" s="5" t="str">
        <f>HYPERLINK("http://www.worldcat.org/oclc/37936420","WorldCat Record")</f>
        <v>WorldCat Record</v>
      </c>
      <c r="AW968" s="2" t="s">
        <v>12001</v>
      </c>
      <c r="AX968" s="2" t="s">
        <v>12002</v>
      </c>
      <c r="AY968" s="2" t="s">
        <v>12003</v>
      </c>
      <c r="AZ968" s="2" t="s">
        <v>12003</v>
      </c>
      <c r="BA968" s="2" t="s">
        <v>12004</v>
      </c>
      <c r="BB968" s="2" t="s">
        <v>20</v>
      </c>
      <c r="BD968" s="2" t="s">
        <v>12005</v>
      </c>
      <c r="BE968" s="2" t="s">
        <v>12006</v>
      </c>
      <c r="BF968" s="2" t="s">
        <v>12007</v>
      </c>
    </row>
    <row r="969" spans="1:58" ht="39.75" customHeight="1" x14ac:dyDescent="0.25">
      <c r="A969" s="7" t="s">
        <v>5</v>
      </c>
      <c r="B969" s="1" t="s">
        <v>0</v>
      </c>
      <c r="C969" s="1" t="s">
        <v>1</v>
      </c>
      <c r="D969" s="1" t="s">
        <v>12008</v>
      </c>
      <c r="E969" s="1" t="s">
        <v>12009</v>
      </c>
      <c r="F969" s="1" t="s">
        <v>12010</v>
      </c>
      <c r="H969" s="2" t="s">
        <v>5</v>
      </c>
      <c r="I969" s="2" t="s">
        <v>6</v>
      </c>
      <c r="J969" s="2" t="s">
        <v>5</v>
      </c>
      <c r="K969" s="2" t="s">
        <v>5</v>
      </c>
      <c r="L969" s="2" t="s">
        <v>7</v>
      </c>
      <c r="M969" s="1" t="s">
        <v>12011</v>
      </c>
      <c r="N969" s="1" t="s">
        <v>12012</v>
      </c>
      <c r="O969" s="2" t="s">
        <v>3941</v>
      </c>
      <c r="P969" s="1" t="s">
        <v>1377</v>
      </c>
      <c r="Q969" s="2" t="s">
        <v>60</v>
      </c>
      <c r="R969" s="2" t="s">
        <v>61</v>
      </c>
      <c r="T969" s="2" t="s">
        <v>13</v>
      </c>
      <c r="U969" s="3">
        <v>3</v>
      </c>
      <c r="V969" s="3">
        <v>3</v>
      </c>
      <c r="W969" s="4" t="s">
        <v>12013</v>
      </c>
      <c r="X969" s="4" t="s">
        <v>12013</v>
      </c>
      <c r="Y969" s="4" t="s">
        <v>3846</v>
      </c>
      <c r="Z969" s="4" t="s">
        <v>3846</v>
      </c>
      <c r="AA969" s="3">
        <v>360</v>
      </c>
      <c r="AB969" s="3">
        <v>342</v>
      </c>
      <c r="AC969" s="3">
        <v>408</v>
      </c>
      <c r="AD969" s="3">
        <v>3</v>
      </c>
      <c r="AE969" s="9">
        <v>3</v>
      </c>
      <c r="AF969" s="9">
        <v>11</v>
      </c>
      <c r="AG969" s="9">
        <v>15</v>
      </c>
      <c r="AH969" s="3">
        <v>3</v>
      </c>
      <c r="AI969" s="3">
        <v>5</v>
      </c>
      <c r="AJ969" s="3">
        <v>5</v>
      </c>
      <c r="AK969" s="3">
        <v>5</v>
      </c>
      <c r="AL969" s="3">
        <v>3</v>
      </c>
      <c r="AM969" s="3">
        <v>6</v>
      </c>
      <c r="AN969" s="3">
        <v>2</v>
      </c>
      <c r="AO969" s="3">
        <v>2</v>
      </c>
      <c r="AP969" s="3">
        <v>0</v>
      </c>
      <c r="AQ969" s="3">
        <v>0</v>
      </c>
      <c r="AR969" s="2" t="s">
        <v>5</v>
      </c>
      <c r="AS969" s="2" t="s">
        <v>46</v>
      </c>
      <c r="AT969" s="5" t="str">
        <f>HYPERLINK("http://catalog.hathitrust.org/Record/004145874","HathiTrust Record")</f>
        <v>HathiTrust Record</v>
      </c>
      <c r="AU969" s="5" t="str">
        <f>HYPERLINK("https://creighton-primo.hosted.exlibrisgroup.com/primo-explore/search?tab=default_tab&amp;search_scope=EVERYTHING&amp;vid=01CRU&amp;lang=en_US&amp;offset=0&amp;query=any,contains,991003509009702656","Catalog Record")</f>
        <v>Catalog Record</v>
      </c>
      <c r="AV969" s="5" t="str">
        <f>HYPERLINK("http://www.worldcat.org/oclc/43757627","WorldCat Record")</f>
        <v>WorldCat Record</v>
      </c>
      <c r="AW969" s="2" t="s">
        <v>12014</v>
      </c>
      <c r="AX969" s="2" t="s">
        <v>12015</v>
      </c>
      <c r="AY969" s="2" t="s">
        <v>12016</v>
      </c>
      <c r="AZ969" s="2" t="s">
        <v>12016</v>
      </c>
      <c r="BA969" s="2" t="s">
        <v>12017</v>
      </c>
      <c r="BB969" s="2" t="s">
        <v>20</v>
      </c>
      <c r="BD969" s="2" t="s">
        <v>12018</v>
      </c>
      <c r="BE969" s="2" t="s">
        <v>12019</v>
      </c>
      <c r="BF969" s="2" t="s">
        <v>12020</v>
      </c>
    </row>
    <row r="970" spans="1:58" ht="39.75" customHeight="1" x14ac:dyDescent="0.25">
      <c r="A970" s="7" t="s">
        <v>5</v>
      </c>
      <c r="B970" s="1" t="s">
        <v>0</v>
      </c>
      <c r="C970" s="1" t="s">
        <v>1</v>
      </c>
      <c r="D970" s="1" t="s">
        <v>12021</v>
      </c>
      <c r="E970" s="1" t="s">
        <v>12022</v>
      </c>
      <c r="F970" s="1" t="s">
        <v>12023</v>
      </c>
      <c r="H970" s="2" t="s">
        <v>5</v>
      </c>
      <c r="I970" s="2" t="s">
        <v>6</v>
      </c>
      <c r="J970" s="2" t="s">
        <v>5</v>
      </c>
      <c r="K970" s="2" t="s">
        <v>5</v>
      </c>
      <c r="L970" s="2" t="s">
        <v>7</v>
      </c>
      <c r="M970" s="1" t="s">
        <v>12024</v>
      </c>
      <c r="N970" s="1" t="s">
        <v>12025</v>
      </c>
      <c r="O970" s="2" t="s">
        <v>3941</v>
      </c>
      <c r="P970" s="1" t="s">
        <v>5359</v>
      </c>
      <c r="Q970" s="2" t="s">
        <v>1151</v>
      </c>
      <c r="R970" s="2" t="s">
        <v>6994</v>
      </c>
      <c r="T970" s="2" t="s">
        <v>13</v>
      </c>
      <c r="U970" s="3">
        <v>1</v>
      </c>
      <c r="V970" s="3">
        <v>1</v>
      </c>
      <c r="W970" s="4" t="s">
        <v>5692</v>
      </c>
      <c r="X970" s="4" t="s">
        <v>5692</v>
      </c>
      <c r="Y970" s="4" t="s">
        <v>511</v>
      </c>
      <c r="Z970" s="4" t="s">
        <v>511</v>
      </c>
      <c r="AA970" s="3">
        <v>164</v>
      </c>
      <c r="AB970" s="3">
        <v>138</v>
      </c>
      <c r="AC970" s="3">
        <v>181</v>
      </c>
      <c r="AD970" s="3">
        <v>1</v>
      </c>
      <c r="AE970" s="9">
        <v>1</v>
      </c>
      <c r="AF970" s="9">
        <v>3</v>
      </c>
      <c r="AG970" s="9">
        <v>6</v>
      </c>
      <c r="AH970" s="3">
        <v>1</v>
      </c>
      <c r="AI970" s="3">
        <v>2</v>
      </c>
      <c r="AJ970" s="3">
        <v>2</v>
      </c>
      <c r="AK970" s="3">
        <v>2</v>
      </c>
      <c r="AL970" s="3">
        <v>1</v>
      </c>
      <c r="AM970" s="3">
        <v>3</v>
      </c>
      <c r="AN970" s="3">
        <v>0</v>
      </c>
      <c r="AO970" s="3">
        <v>0</v>
      </c>
      <c r="AP970" s="3">
        <v>0</v>
      </c>
      <c r="AQ970" s="3">
        <v>0</v>
      </c>
      <c r="AR970" s="2" t="s">
        <v>5</v>
      </c>
      <c r="AS970" s="2" t="s">
        <v>46</v>
      </c>
      <c r="AT970" s="5" t="str">
        <f>HYPERLINK("http://catalog.hathitrust.org/Record/003787443","HathiTrust Record")</f>
        <v>HathiTrust Record</v>
      </c>
      <c r="AU970" s="5" t="str">
        <f>HYPERLINK("https://creighton-primo.hosted.exlibrisgroup.com/primo-explore/search?tab=default_tab&amp;search_scope=EVERYTHING&amp;vid=01CRU&amp;lang=en_US&amp;offset=0&amp;query=any,contains,991003808309702656","Catalog Record")</f>
        <v>Catalog Record</v>
      </c>
      <c r="AV970" s="5" t="str">
        <f>HYPERLINK("http://www.worldcat.org/oclc/49524706","WorldCat Record")</f>
        <v>WorldCat Record</v>
      </c>
      <c r="AW970" s="2" t="s">
        <v>12026</v>
      </c>
      <c r="AX970" s="2" t="s">
        <v>12027</v>
      </c>
      <c r="AY970" s="2" t="s">
        <v>12028</v>
      </c>
      <c r="AZ970" s="2" t="s">
        <v>12028</v>
      </c>
      <c r="BA970" s="2" t="s">
        <v>12029</v>
      </c>
      <c r="BB970" s="2" t="s">
        <v>20</v>
      </c>
      <c r="BE970" s="2" t="s">
        <v>12030</v>
      </c>
      <c r="BF970" s="2" t="s">
        <v>12031</v>
      </c>
    </row>
    <row r="971" spans="1:58" ht="39.75" customHeight="1" x14ac:dyDescent="0.25">
      <c r="A971" s="7" t="s">
        <v>5</v>
      </c>
      <c r="B971" s="1" t="s">
        <v>0</v>
      </c>
      <c r="C971" s="1" t="s">
        <v>1</v>
      </c>
      <c r="D971" s="1" t="s">
        <v>12032</v>
      </c>
      <c r="E971" s="1" t="s">
        <v>12033</v>
      </c>
      <c r="F971" s="1" t="s">
        <v>12034</v>
      </c>
      <c r="H971" s="2" t="s">
        <v>5</v>
      </c>
      <c r="I971" s="2" t="s">
        <v>6</v>
      </c>
      <c r="J971" s="2" t="s">
        <v>5</v>
      </c>
      <c r="K971" s="2" t="s">
        <v>5</v>
      </c>
      <c r="L971" s="2" t="s">
        <v>7</v>
      </c>
      <c r="M971" s="1" t="s">
        <v>12035</v>
      </c>
      <c r="N971" s="1" t="s">
        <v>12036</v>
      </c>
      <c r="O971" s="2" t="s">
        <v>108</v>
      </c>
      <c r="Q971" s="2" t="s">
        <v>1151</v>
      </c>
      <c r="R971" s="2" t="s">
        <v>3996</v>
      </c>
      <c r="S971" s="1" t="s">
        <v>12037</v>
      </c>
      <c r="T971" s="2" t="s">
        <v>13</v>
      </c>
      <c r="U971" s="3">
        <v>1</v>
      </c>
      <c r="V971" s="3">
        <v>1</v>
      </c>
      <c r="W971" s="4" t="s">
        <v>5032</v>
      </c>
      <c r="X971" s="4" t="s">
        <v>5032</v>
      </c>
      <c r="Y971" s="4" t="s">
        <v>5032</v>
      </c>
      <c r="Z971" s="4" t="s">
        <v>5032</v>
      </c>
      <c r="AA971" s="3">
        <v>107</v>
      </c>
      <c r="AB971" s="3">
        <v>95</v>
      </c>
      <c r="AC971" s="3">
        <v>97</v>
      </c>
      <c r="AD971" s="3">
        <v>1</v>
      </c>
      <c r="AE971" s="9">
        <v>1</v>
      </c>
      <c r="AF971" s="9">
        <v>4</v>
      </c>
      <c r="AG971" s="9">
        <v>4</v>
      </c>
      <c r="AH971" s="3">
        <v>3</v>
      </c>
      <c r="AI971" s="3">
        <v>3</v>
      </c>
      <c r="AJ971" s="3">
        <v>1</v>
      </c>
      <c r="AK971" s="3">
        <v>1</v>
      </c>
      <c r="AL971" s="3">
        <v>2</v>
      </c>
      <c r="AM971" s="3">
        <v>2</v>
      </c>
      <c r="AN971" s="3">
        <v>0</v>
      </c>
      <c r="AO971" s="3">
        <v>0</v>
      </c>
      <c r="AP971" s="3">
        <v>0</v>
      </c>
      <c r="AQ971" s="3">
        <v>0</v>
      </c>
      <c r="AR971" s="2" t="s">
        <v>5</v>
      </c>
      <c r="AS971" s="2" t="s">
        <v>46</v>
      </c>
      <c r="AT971" s="5" t="str">
        <f>HYPERLINK("http://catalog.hathitrust.org/Record/009103778","HathiTrust Record")</f>
        <v>HathiTrust Record</v>
      </c>
      <c r="AU971" s="5" t="str">
        <f>HYPERLINK("https://creighton-primo.hosted.exlibrisgroup.com/primo-explore/search?tab=default_tab&amp;search_scope=EVERYTHING&amp;vid=01CRU&amp;lang=en_US&amp;offset=0&amp;query=any,contains,991004490499702656","Catalog Record")</f>
        <v>Catalog Record</v>
      </c>
      <c r="AV971" s="5" t="str">
        <f>HYPERLINK("http://www.worldcat.org/oclc/897058","WorldCat Record")</f>
        <v>WorldCat Record</v>
      </c>
      <c r="AW971" s="2" t="s">
        <v>12038</v>
      </c>
      <c r="AX971" s="2" t="s">
        <v>12039</v>
      </c>
      <c r="AY971" s="2" t="s">
        <v>12040</v>
      </c>
      <c r="AZ971" s="2" t="s">
        <v>12040</v>
      </c>
      <c r="BA971" s="2" t="s">
        <v>12041</v>
      </c>
      <c r="BB971" s="2" t="s">
        <v>20</v>
      </c>
      <c r="BE971" s="2" t="s">
        <v>12042</v>
      </c>
      <c r="BF971" s="2" t="s">
        <v>12043</v>
      </c>
    </row>
    <row r="972" spans="1:58" ht="39.75" customHeight="1" x14ac:dyDescent="0.25">
      <c r="A972" s="7" t="s">
        <v>5</v>
      </c>
      <c r="B972" s="1" t="s">
        <v>0</v>
      </c>
      <c r="C972" s="1" t="s">
        <v>1</v>
      </c>
      <c r="D972" s="1" t="s">
        <v>12044</v>
      </c>
      <c r="E972" s="1" t="s">
        <v>12045</v>
      </c>
      <c r="F972" s="1" t="s">
        <v>12046</v>
      </c>
      <c r="H972" s="2" t="s">
        <v>5</v>
      </c>
      <c r="I972" s="2" t="s">
        <v>6</v>
      </c>
      <c r="J972" s="2" t="s">
        <v>5</v>
      </c>
      <c r="K972" s="2" t="s">
        <v>5</v>
      </c>
      <c r="L972" s="2" t="s">
        <v>7</v>
      </c>
      <c r="M972" s="1" t="s">
        <v>12047</v>
      </c>
      <c r="N972" s="1" t="s">
        <v>12048</v>
      </c>
      <c r="O972" s="2" t="s">
        <v>3250</v>
      </c>
      <c r="Q972" s="2" t="s">
        <v>1151</v>
      </c>
      <c r="R972" s="2" t="s">
        <v>6994</v>
      </c>
      <c r="T972" s="2" t="s">
        <v>13</v>
      </c>
      <c r="U972" s="3">
        <v>1</v>
      </c>
      <c r="V972" s="3">
        <v>1</v>
      </c>
      <c r="W972" s="4" t="s">
        <v>12049</v>
      </c>
      <c r="X972" s="4" t="s">
        <v>12049</v>
      </c>
      <c r="Y972" s="4" t="s">
        <v>12049</v>
      </c>
      <c r="Z972" s="4" t="s">
        <v>12049</v>
      </c>
      <c r="AA972" s="3">
        <v>27</v>
      </c>
      <c r="AB972" s="3">
        <v>27</v>
      </c>
      <c r="AC972" s="3">
        <v>29</v>
      </c>
      <c r="AD972" s="3">
        <v>1</v>
      </c>
      <c r="AE972" s="9">
        <v>1</v>
      </c>
      <c r="AF972" s="9">
        <v>1</v>
      </c>
      <c r="AG972" s="9">
        <v>1</v>
      </c>
      <c r="AH972" s="3">
        <v>0</v>
      </c>
      <c r="AI972" s="3">
        <v>0</v>
      </c>
      <c r="AJ972" s="3">
        <v>1</v>
      </c>
      <c r="AK972" s="3">
        <v>1</v>
      </c>
      <c r="AL972" s="3">
        <v>0</v>
      </c>
      <c r="AM972" s="3">
        <v>0</v>
      </c>
      <c r="AN972" s="3">
        <v>0</v>
      </c>
      <c r="AO972" s="3">
        <v>0</v>
      </c>
      <c r="AP972" s="3">
        <v>0</v>
      </c>
      <c r="AQ972" s="3">
        <v>0</v>
      </c>
      <c r="AR972" s="2" t="s">
        <v>5</v>
      </c>
      <c r="AS972" s="2" t="s">
        <v>46</v>
      </c>
      <c r="AT972" s="5" t="str">
        <f>HYPERLINK("http://catalog.hathitrust.org/Record/008451788","HathiTrust Record")</f>
        <v>HathiTrust Record</v>
      </c>
      <c r="AU972" s="5" t="str">
        <f>HYPERLINK("https://creighton-primo.hosted.exlibrisgroup.com/primo-explore/search?tab=default_tab&amp;search_scope=EVERYTHING&amp;vid=01CRU&amp;lang=en_US&amp;offset=0&amp;query=any,contains,991004460549702656","Catalog Record")</f>
        <v>Catalog Record</v>
      </c>
      <c r="AV972" s="5" t="str">
        <f>HYPERLINK("http://www.worldcat.org/oclc/57227834","WorldCat Record")</f>
        <v>WorldCat Record</v>
      </c>
      <c r="AW972" s="2" t="s">
        <v>12050</v>
      </c>
      <c r="AX972" s="2" t="s">
        <v>12051</v>
      </c>
      <c r="AY972" s="2" t="s">
        <v>12052</v>
      </c>
      <c r="AZ972" s="2" t="s">
        <v>12052</v>
      </c>
      <c r="BA972" s="2" t="s">
        <v>12053</v>
      </c>
      <c r="BB972" s="2" t="s">
        <v>20</v>
      </c>
      <c r="BD972" s="2" t="s">
        <v>12054</v>
      </c>
      <c r="BE972" s="2" t="s">
        <v>12055</v>
      </c>
      <c r="BF972" s="2" t="s">
        <v>12056</v>
      </c>
    </row>
    <row r="973" spans="1:58" ht="39.75" customHeight="1" x14ac:dyDescent="0.25">
      <c r="A973" s="7" t="s">
        <v>5</v>
      </c>
      <c r="B973" s="1" t="s">
        <v>0</v>
      </c>
      <c r="C973" s="1" t="s">
        <v>1</v>
      </c>
      <c r="D973" s="1" t="s">
        <v>12057</v>
      </c>
      <c r="E973" s="1" t="s">
        <v>12058</v>
      </c>
      <c r="F973" s="1" t="s">
        <v>12059</v>
      </c>
      <c r="G973" s="2" t="s">
        <v>73</v>
      </c>
      <c r="H973" s="2" t="s">
        <v>46</v>
      </c>
      <c r="I973" s="2" t="s">
        <v>6</v>
      </c>
      <c r="J973" s="2" t="s">
        <v>5</v>
      </c>
      <c r="K973" s="2" t="s">
        <v>5</v>
      </c>
      <c r="L973" s="2" t="s">
        <v>7</v>
      </c>
      <c r="M973" s="1" t="s">
        <v>12060</v>
      </c>
      <c r="N973" s="1" t="s">
        <v>12061</v>
      </c>
      <c r="O973" s="2" t="s">
        <v>2448</v>
      </c>
      <c r="P973" s="1" t="s">
        <v>2908</v>
      </c>
      <c r="Q973" s="2" t="s">
        <v>1151</v>
      </c>
      <c r="R973" s="2" t="s">
        <v>1152</v>
      </c>
      <c r="S973" s="1" t="s">
        <v>12062</v>
      </c>
      <c r="T973" s="2" t="s">
        <v>13</v>
      </c>
      <c r="U973" s="3">
        <v>1</v>
      </c>
      <c r="V973" s="3">
        <v>2</v>
      </c>
      <c r="W973" s="4" t="s">
        <v>11348</v>
      </c>
      <c r="X973" s="4" t="s">
        <v>11348</v>
      </c>
      <c r="Y973" s="4" t="s">
        <v>11348</v>
      </c>
      <c r="Z973" s="4" t="s">
        <v>11348</v>
      </c>
      <c r="AA973" s="3">
        <v>112</v>
      </c>
      <c r="AB973" s="3">
        <v>84</v>
      </c>
      <c r="AC973" s="3">
        <v>101</v>
      </c>
      <c r="AD973" s="3">
        <v>1</v>
      </c>
      <c r="AE973" s="9">
        <v>1</v>
      </c>
      <c r="AF973" s="9">
        <v>3</v>
      </c>
      <c r="AG973" s="9">
        <v>3</v>
      </c>
      <c r="AH973" s="3">
        <v>1</v>
      </c>
      <c r="AI973" s="3">
        <v>1</v>
      </c>
      <c r="AJ973" s="3">
        <v>2</v>
      </c>
      <c r="AK973" s="3">
        <v>2</v>
      </c>
      <c r="AL973" s="3">
        <v>1</v>
      </c>
      <c r="AM973" s="3">
        <v>1</v>
      </c>
      <c r="AN973" s="3">
        <v>0</v>
      </c>
      <c r="AO973" s="3">
        <v>0</v>
      </c>
      <c r="AP973" s="3">
        <v>0</v>
      </c>
      <c r="AQ973" s="3">
        <v>0</v>
      </c>
      <c r="AR973" s="2" t="s">
        <v>5</v>
      </c>
      <c r="AS973" s="2" t="s">
        <v>46</v>
      </c>
      <c r="AT973" s="5" t="str">
        <f>HYPERLINK("http://catalog.hathitrust.org/Record/102499192","HathiTrust Record")</f>
        <v>HathiTrust Record</v>
      </c>
      <c r="AU973" s="5" t="str">
        <f>HYPERLINK("https://creighton-primo.hosted.exlibrisgroup.com/primo-explore/search?tab=default_tab&amp;search_scope=EVERYTHING&amp;vid=01CRU&amp;lang=en_US&amp;offset=0&amp;query=any,contains,991003254909702656","Catalog Record")</f>
        <v>Catalog Record</v>
      </c>
      <c r="AV973" s="5" t="str">
        <f>HYPERLINK("http://www.worldcat.org/oclc/43059311","WorldCat Record")</f>
        <v>WorldCat Record</v>
      </c>
      <c r="AW973" s="2" t="s">
        <v>12063</v>
      </c>
      <c r="AX973" s="2" t="s">
        <v>12064</v>
      </c>
      <c r="AY973" s="2" t="s">
        <v>12065</v>
      </c>
      <c r="AZ973" s="2" t="s">
        <v>12065</v>
      </c>
      <c r="BA973" s="2" t="s">
        <v>12066</v>
      </c>
      <c r="BB973" s="2" t="s">
        <v>20</v>
      </c>
      <c r="BD973" s="2" t="s">
        <v>12067</v>
      </c>
      <c r="BE973" s="2" t="s">
        <v>12068</v>
      </c>
      <c r="BF973" s="2" t="s">
        <v>12069</v>
      </c>
    </row>
    <row r="974" spans="1:58" ht="39.75" customHeight="1" x14ac:dyDescent="0.25">
      <c r="A974" s="7" t="s">
        <v>5</v>
      </c>
      <c r="B974" s="1" t="s">
        <v>0</v>
      </c>
      <c r="C974" s="1" t="s">
        <v>1</v>
      </c>
      <c r="D974" s="1" t="s">
        <v>12057</v>
      </c>
      <c r="E974" s="1" t="s">
        <v>12058</v>
      </c>
      <c r="F974" s="1" t="s">
        <v>12059</v>
      </c>
      <c r="G974" s="2" t="s">
        <v>101</v>
      </c>
      <c r="H974" s="2" t="s">
        <v>46</v>
      </c>
      <c r="I974" s="2" t="s">
        <v>6</v>
      </c>
      <c r="J974" s="2" t="s">
        <v>5</v>
      </c>
      <c r="K974" s="2" t="s">
        <v>5</v>
      </c>
      <c r="L974" s="2" t="s">
        <v>7</v>
      </c>
      <c r="M974" s="1" t="s">
        <v>12060</v>
      </c>
      <c r="N974" s="1" t="s">
        <v>12061</v>
      </c>
      <c r="O974" s="2" t="s">
        <v>2448</v>
      </c>
      <c r="P974" s="1" t="s">
        <v>2908</v>
      </c>
      <c r="Q974" s="2" t="s">
        <v>1151</v>
      </c>
      <c r="R974" s="2" t="s">
        <v>1152</v>
      </c>
      <c r="S974" s="1" t="s">
        <v>12062</v>
      </c>
      <c r="T974" s="2" t="s">
        <v>13</v>
      </c>
      <c r="U974" s="3">
        <v>1</v>
      </c>
      <c r="V974" s="3">
        <v>2</v>
      </c>
      <c r="W974" s="4" t="s">
        <v>11348</v>
      </c>
      <c r="X974" s="4" t="s">
        <v>11348</v>
      </c>
      <c r="Y974" s="4" t="s">
        <v>11348</v>
      </c>
      <c r="Z974" s="4" t="s">
        <v>11348</v>
      </c>
      <c r="AA974" s="3">
        <v>112</v>
      </c>
      <c r="AB974" s="3">
        <v>84</v>
      </c>
      <c r="AC974" s="3">
        <v>101</v>
      </c>
      <c r="AD974" s="3">
        <v>1</v>
      </c>
      <c r="AE974" s="9">
        <v>1</v>
      </c>
      <c r="AF974" s="9">
        <v>3</v>
      </c>
      <c r="AG974" s="9">
        <v>3</v>
      </c>
      <c r="AH974" s="3">
        <v>1</v>
      </c>
      <c r="AI974" s="3">
        <v>1</v>
      </c>
      <c r="AJ974" s="3">
        <v>2</v>
      </c>
      <c r="AK974" s="3">
        <v>2</v>
      </c>
      <c r="AL974" s="3">
        <v>1</v>
      </c>
      <c r="AM974" s="3">
        <v>1</v>
      </c>
      <c r="AN974" s="3">
        <v>0</v>
      </c>
      <c r="AO974" s="3">
        <v>0</v>
      </c>
      <c r="AP974" s="3">
        <v>0</v>
      </c>
      <c r="AQ974" s="3">
        <v>0</v>
      </c>
      <c r="AR974" s="2" t="s">
        <v>5</v>
      </c>
      <c r="AS974" s="2" t="s">
        <v>46</v>
      </c>
      <c r="AT974" s="5" t="str">
        <f>HYPERLINK("http://catalog.hathitrust.org/Record/102499192","HathiTrust Record")</f>
        <v>HathiTrust Record</v>
      </c>
      <c r="AU974" s="5" t="str">
        <f>HYPERLINK("https://creighton-primo.hosted.exlibrisgroup.com/primo-explore/search?tab=default_tab&amp;search_scope=EVERYTHING&amp;vid=01CRU&amp;lang=en_US&amp;offset=0&amp;query=any,contains,991003254909702656","Catalog Record")</f>
        <v>Catalog Record</v>
      </c>
      <c r="AV974" s="5" t="str">
        <f>HYPERLINK("http://www.worldcat.org/oclc/43059311","WorldCat Record")</f>
        <v>WorldCat Record</v>
      </c>
      <c r="AW974" s="2" t="s">
        <v>12063</v>
      </c>
      <c r="AX974" s="2" t="s">
        <v>12064</v>
      </c>
      <c r="AY974" s="2" t="s">
        <v>12065</v>
      </c>
      <c r="AZ974" s="2" t="s">
        <v>12065</v>
      </c>
      <c r="BA974" s="2" t="s">
        <v>12066</v>
      </c>
      <c r="BB974" s="2" t="s">
        <v>20</v>
      </c>
      <c r="BD974" s="2" t="s">
        <v>12067</v>
      </c>
      <c r="BE974" s="2" t="s">
        <v>12070</v>
      </c>
      <c r="BF974" s="2" t="s">
        <v>12071</v>
      </c>
    </row>
    <row r="975" spans="1:58" ht="39.75" customHeight="1" x14ac:dyDescent="0.25">
      <c r="A975" s="7" t="s">
        <v>5</v>
      </c>
      <c r="B975" s="1" t="s">
        <v>0</v>
      </c>
      <c r="C975" s="1" t="s">
        <v>1</v>
      </c>
      <c r="D975" s="1" t="s">
        <v>12072</v>
      </c>
      <c r="E975" s="1" t="s">
        <v>12073</v>
      </c>
      <c r="F975" s="1" t="s">
        <v>12074</v>
      </c>
      <c r="H975" s="2" t="s">
        <v>5</v>
      </c>
      <c r="I975" s="2" t="s">
        <v>6</v>
      </c>
      <c r="J975" s="2" t="s">
        <v>5</v>
      </c>
      <c r="K975" s="2" t="s">
        <v>5</v>
      </c>
      <c r="L975" s="2" t="s">
        <v>7</v>
      </c>
      <c r="M975" s="1" t="s">
        <v>12075</v>
      </c>
      <c r="N975" s="1" t="s">
        <v>12076</v>
      </c>
      <c r="O975" s="2" t="s">
        <v>639</v>
      </c>
      <c r="Q975" s="2" t="s">
        <v>1151</v>
      </c>
      <c r="R975" s="2" t="s">
        <v>4146</v>
      </c>
      <c r="T975" s="2" t="s">
        <v>13</v>
      </c>
      <c r="U975" s="3">
        <v>1</v>
      </c>
      <c r="V975" s="3">
        <v>1</v>
      </c>
      <c r="W975" s="4" t="s">
        <v>11954</v>
      </c>
      <c r="X975" s="4" t="s">
        <v>11954</v>
      </c>
      <c r="Y975" s="4" t="s">
        <v>11955</v>
      </c>
      <c r="Z975" s="4" t="s">
        <v>11955</v>
      </c>
      <c r="AA975" s="3">
        <v>6</v>
      </c>
      <c r="AB975" s="3">
        <v>6</v>
      </c>
      <c r="AC975" s="3">
        <v>6</v>
      </c>
      <c r="AD975" s="3">
        <v>1</v>
      </c>
      <c r="AE975" s="9">
        <v>1</v>
      </c>
      <c r="AF975" s="9">
        <v>0</v>
      </c>
      <c r="AG975" s="9">
        <v>0</v>
      </c>
      <c r="AH975" s="3">
        <v>0</v>
      </c>
      <c r="AI975" s="3">
        <v>0</v>
      </c>
      <c r="AJ975" s="3">
        <v>0</v>
      </c>
      <c r="AK975" s="3">
        <v>0</v>
      </c>
      <c r="AL975" s="3">
        <v>0</v>
      </c>
      <c r="AM975" s="3">
        <v>0</v>
      </c>
      <c r="AN975" s="3">
        <v>0</v>
      </c>
      <c r="AO975" s="3">
        <v>0</v>
      </c>
      <c r="AP975" s="3">
        <v>0</v>
      </c>
      <c r="AQ975" s="3">
        <v>0</v>
      </c>
      <c r="AR975" s="2" t="s">
        <v>5</v>
      </c>
      <c r="AS975" s="2" t="s">
        <v>5</v>
      </c>
      <c r="AU975" s="5" t="str">
        <f>HYPERLINK("https://creighton-primo.hosted.exlibrisgroup.com/primo-explore/search?tab=default_tab&amp;search_scope=EVERYTHING&amp;vid=01CRU&amp;lang=en_US&amp;offset=0&amp;query=any,contains,991003986019702656","Catalog Record")</f>
        <v>Catalog Record</v>
      </c>
      <c r="AV975" s="5" t="str">
        <f>HYPERLINK("http://www.worldcat.org/oclc/51532145","WorldCat Record")</f>
        <v>WorldCat Record</v>
      </c>
      <c r="AW975" s="2" t="s">
        <v>12077</v>
      </c>
      <c r="AX975" s="2" t="s">
        <v>12078</v>
      </c>
      <c r="AY975" s="2" t="s">
        <v>12079</v>
      </c>
      <c r="AZ975" s="2" t="s">
        <v>12079</v>
      </c>
      <c r="BA975" s="2" t="s">
        <v>12080</v>
      </c>
      <c r="BB975" s="2" t="s">
        <v>20</v>
      </c>
      <c r="BE975" s="2" t="s">
        <v>12081</v>
      </c>
      <c r="BF975" s="2" t="s">
        <v>12082</v>
      </c>
    </row>
    <row r="976" spans="1:58" ht="39.75" customHeight="1" x14ac:dyDescent="0.25">
      <c r="A976" s="7" t="s">
        <v>5</v>
      </c>
      <c r="B976" s="1" t="s">
        <v>0</v>
      </c>
      <c r="C976" s="1" t="s">
        <v>1</v>
      </c>
      <c r="D976" s="1" t="s">
        <v>12083</v>
      </c>
      <c r="E976" s="1" t="s">
        <v>12084</v>
      </c>
      <c r="F976" s="1" t="s">
        <v>12085</v>
      </c>
      <c r="H976" s="2" t="s">
        <v>5</v>
      </c>
      <c r="I976" s="2" t="s">
        <v>6</v>
      </c>
      <c r="J976" s="2" t="s">
        <v>5</v>
      </c>
      <c r="K976" s="2" t="s">
        <v>5</v>
      </c>
      <c r="L976" s="2" t="s">
        <v>7</v>
      </c>
      <c r="M976" s="1" t="s">
        <v>12075</v>
      </c>
      <c r="N976" s="1" t="s">
        <v>12086</v>
      </c>
      <c r="O976" s="2" t="s">
        <v>494</v>
      </c>
      <c r="Q976" s="2" t="s">
        <v>1151</v>
      </c>
      <c r="R976" s="2" t="s">
        <v>9502</v>
      </c>
      <c r="S976" s="1" t="s">
        <v>12087</v>
      </c>
      <c r="T976" s="2" t="s">
        <v>13</v>
      </c>
      <c r="U976" s="3">
        <v>1</v>
      </c>
      <c r="V976" s="3">
        <v>1</v>
      </c>
      <c r="W976" s="4" t="s">
        <v>12088</v>
      </c>
      <c r="X976" s="4" t="s">
        <v>12088</v>
      </c>
      <c r="Y976" s="4" t="s">
        <v>11707</v>
      </c>
      <c r="Z976" s="4" t="s">
        <v>11707</v>
      </c>
      <c r="AA976" s="3">
        <v>25</v>
      </c>
      <c r="AB976" s="3">
        <v>18</v>
      </c>
      <c r="AC976" s="3">
        <v>20</v>
      </c>
      <c r="AD976" s="3">
        <v>1</v>
      </c>
      <c r="AE976" s="9">
        <v>1</v>
      </c>
      <c r="AF976" s="9">
        <v>0</v>
      </c>
      <c r="AG976" s="9">
        <v>0</v>
      </c>
      <c r="AH976" s="3">
        <v>0</v>
      </c>
      <c r="AI976" s="3">
        <v>0</v>
      </c>
      <c r="AJ976" s="3">
        <v>0</v>
      </c>
      <c r="AK976" s="3">
        <v>0</v>
      </c>
      <c r="AL976" s="3">
        <v>0</v>
      </c>
      <c r="AM976" s="3">
        <v>0</v>
      </c>
      <c r="AN976" s="3">
        <v>0</v>
      </c>
      <c r="AO976" s="3">
        <v>0</v>
      </c>
      <c r="AP976" s="3">
        <v>0</v>
      </c>
      <c r="AQ976" s="3">
        <v>0</v>
      </c>
      <c r="AR976" s="2" t="s">
        <v>5</v>
      </c>
      <c r="AS976" s="2" t="s">
        <v>5</v>
      </c>
      <c r="AU976" s="5" t="str">
        <f>HYPERLINK("https://creighton-primo.hosted.exlibrisgroup.com/primo-explore/search?tab=default_tab&amp;search_scope=EVERYTHING&amp;vid=01CRU&amp;lang=en_US&amp;offset=0&amp;query=any,contains,991003679469702656","Catalog Record")</f>
        <v>Catalog Record</v>
      </c>
      <c r="AV976" s="5" t="str">
        <f>HYPERLINK("http://www.worldcat.org/oclc/7194113","WorldCat Record")</f>
        <v>WorldCat Record</v>
      </c>
      <c r="AW976" s="2" t="s">
        <v>12089</v>
      </c>
      <c r="AX976" s="2" t="s">
        <v>12090</v>
      </c>
      <c r="AY976" s="2" t="s">
        <v>12091</v>
      </c>
      <c r="AZ976" s="2" t="s">
        <v>12091</v>
      </c>
      <c r="BA976" s="2" t="s">
        <v>12092</v>
      </c>
      <c r="BB976" s="2" t="s">
        <v>20</v>
      </c>
      <c r="BE976" s="2" t="s">
        <v>12093</v>
      </c>
      <c r="BF976" s="2" t="s">
        <v>12094</v>
      </c>
    </row>
    <row r="977" spans="1:58" ht="39.75" customHeight="1" x14ac:dyDescent="0.25">
      <c r="A977" s="7" t="s">
        <v>5</v>
      </c>
      <c r="B977" s="1" t="s">
        <v>0</v>
      </c>
      <c r="C977" s="1" t="s">
        <v>1</v>
      </c>
      <c r="D977" s="1" t="s">
        <v>12095</v>
      </c>
      <c r="E977" s="1" t="s">
        <v>12096</v>
      </c>
      <c r="F977" s="1" t="s">
        <v>12097</v>
      </c>
      <c r="H977" s="2" t="s">
        <v>5</v>
      </c>
      <c r="I977" s="2" t="s">
        <v>6</v>
      </c>
      <c r="J977" s="2" t="s">
        <v>5</v>
      </c>
      <c r="K977" s="2" t="s">
        <v>5</v>
      </c>
      <c r="L977" s="2" t="s">
        <v>7</v>
      </c>
      <c r="M977" s="1" t="s">
        <v>12098</v>
      </c>
      <c r="N977" s="1" t="s">
        <v>12099</v>
      </c>
      <c r="O977" s="2" t="s">
        <v>1622</v>
      </c>
      <c r="P977" s="1" t="s">
        <v>5291</v>
      </c>
      <c r="Q977" s="2" t="s">
        <v>1151</v>
      </c>
      <c r="R977" s="2" t="s">
        <v>234</v>
      </c>
      <c r="T977" s="2" t="s">
        <v>13</v>
      </c>
      <c r="U977" s="3">
        <v>1</v>
      </c>
      <c r="V977" s="3">
        <v>1</v>
      </c>
      <c r="W977" s="4" t="s">
        <v>11720</v>
      </c>
      <c r="X977" s="4" t="s">
        <v>11720</v>
      </c>
      <c r="Y977" s="4" t="s">
        <v>11720</v>
      </c>
      <c r="Z977" s="4" t="s">
        <v>11720</v>
      </c>
      <c r="AA977" s="3">
        <v>99</v>
      </c>
      <c r="AB977" s="3">
        <v>71</v>
      </c>
      <c r="AC977" s="3">
        <v>75</v>
      </c>
      <c r="AD977" s="3">
        <v>1</v>
      </c>
      <c r="AE977" s="9">
        <v>1</v>
      </c>
      <c r="AF977" s="9">
        <v>4</v>
      </c>
      <c r="AG977" s="9">
        <v>4</v>
      </c>
      <c r="AH977" s="3">
        <v>0</v>
      </c>
      <c r="AI977" s="3">
        <v>0</v>
      </c>
      <c r="AJ977" s="3">
        <v>2</v>
      </c>
      <c r="AK977" s="3">
        <v>2</v>
      </c>
      <c r="AL977" s="3">
        <v>3</v>
      </c>
      <c r="AM977" s="3">
        <v>3</v>
      </c>
      <c r="AN977" s="3">
        <v>0</v>
      </c>
      <c r="AO977" s="3">
        <v>0</v>
      </c>
      <c r="AP977" s="3">
        <v>0</v>
      </c>
      <c r="AQ977" s="3">
        <v>0</v>
      </c>
      <c r="AR977" s="2" t="s">
        <v>5</v>
      </c>
      <c r="AS977" s="2" t="s">
        <v>46</v>
      </c>
      <c r="AT977" s="5" t="str">
        <f>HYPERLINK("http://catalog.hathitrust.org/Record/001176920","HathiTrust Record")</f>
        <v>HathiTrust Record</v>
      </c>
      <c r="AU977" s="5" t="str">
        <f>HYPERLINK("https://creighton-primo.hosted.exlibrisgroup.com/primo-explore/search?tab=default_tab&amp;search_scope=EVERYTHING&amp;vid=01CRU&amp;lang=en_US&amp;offset=0&amp;query=any,contains,991003294019702656","Catalog Record")</f>
        <v>Catalog Record</v>
      </c>
      <c r="AV977" s="5" t="str">
        <f>HYPERLINK("http://www.worldcat.org/oclc/1722915","WorldCat Record")</f>
        <v>WorldCat Record</v>
      </c>
      <c r="AW977" s="2" t="s">
        <v>12100</v>
      </c>
      <c r="AX977" s="2" t="s">
        <v>12101</v>
      </c>
      <c r="AY977" s="2" t="s">
        <v>12102</v>
      </c>
      <c r="AZ977" s="2" t="s">
        <v>12102</v>
      </c>
      <c r="BA977" s="2" t="s">
        <v>12103</v>
      </c>
      <c r="BB977" s="2" t="s">
        <v>20</v>
      </c>
      <c r="BE977" s="2" t="s">
        <v>12104</v>
      </c>
      <c r="BF977" s="2" t="s">
        <v>12105</v>
      </c>
    </row>
    <row r="978" spans="1:58" ht="39.75" customHeight="1" x14ac:dyDescent="0.25">
      <c r="A978" s="7" t="s">
        <v>5</v>
      </c>
      <c r="B978" s="1" t="s">
        <v>0</v>
      </c>
      <c r="C978" s="1" t="s">
        <v>1</v>
      </c>
      <c r="D978" s="1" t="s">
        <v>12106</v>
      </c>
      <c r="E978" s="1" t="s">
        <v>12107</v>
      </c>
      <c r="F978" s="1" t="s">
        <v>12108</v>
      </c>
      <c r="H978" s="2" t="s">
        <v>5</v>
      </c>
      <c r="I978" s="2" t="s">
        <v>6</v>
      </c>
      <c r="J978" s="2" t="s">
        <v>5</v>
      </c>
      <c r="K978" s="2" t="s">
        <v>5</v>
      </c>
      <c r="L978" s="2" t="s">
        <v>7</v>
      </c>
      <c r="M978" s="1" t="s">
        <v>12109</v>
      </c>
      <c r="N978" s="1" t="s">
        <v>12110</v>
      </c>
      <c r="O978" s="2" t="s">
        <v>7224</v>
      </c>
      <c r="Q978" s="2" t="s">
        <v>60</v>
      </c>
      <c r="R978" s="2" t="s">
        <v>277</v>
      </c>
      <c r="T978" s="2" t="s">
        <v>13</v>
      </c>
      <c r="U978" s="3">
        <v>1</v>
      </c>
      <c r="V978" s="3">
        <v>1</v>
      </c>
      <c r="W978" s="4" t="s">
        <v>11720</v>
      </c>
      <c r="X978" s="4" t="s">
        <v>11720</v>
      </c>
      <c r="Y978" s="4" t="s">
        <v>11720</v>
      </c>
      <c r="Z978" s="4" t="s">
        <v>11720</v>
      </c>
      <c r="AA978" s="3">
        <v>120</v>
      </c>
      <c r="AB978" s="3">
        <v>104</v>
      </c>
      <c r="AC978" s="3">
        <v>116</v>
      </c>
      <c r="AD978" s="3">
        <v>3</v>
      </c>
      <c r="AE978" s="9">
        <v>3</v>
      </c>
      <c r="AF978" s="9">
        <v>4</v>
      </c>
      <c r="AG978" s="9">
        <v>5</v>
      </c>
      <c r="AH978" s="3">
        <v>0</v>
      </c>
      <c r="AI978" s="3">
        <v>0</v>
      </c>
      <c r="AJ978" s="3">
        <v>1</v>
      </c>
      <c r="AK978" s="3">
        <v>1</v>
      </c>
      <c r="AL978" s="3">
        <v>2</v>
      </c>
      <c r="AM978" s="3">
        <v>3</v>
      </c>
      <c r="AN978" s="3">
        <v>2</v>
      </c>
      <c r="AO978" s="3">
        <v>2</v>
      </c>
      <c r="AP978" s="3">
        <v>0</v>
      </c>
      <c r="AQ978" s="3">
        <v>0</v>
      </c>
      <c r="AR978" s="2" t="s">
        <v>46</v>
      </c>
      <c r="AS978" s="2" t="s">
        <v>5</v>
      </c>
      <c r="AT978" s="5" t="str">
        <f>HYPERLINK("http://catalog.hathitrust.org/Record/001763027","HathiTrust Record")</f>
        <v>HathiTrust Record</v>
      </c>
      <c r="AU978" s="5" t="str">
        <f>HYPERLINK("https://creighton-primo.hosted.exlibrisgroup.com/primo-explore/search?tab=default_tab&amp;search_scope=EVERYTHING&amp;vid=01CRU&amp;lang=en_US&amp;offset=0&amp;query=any,contains,991003293969702656","Catalog Record")</f>
        <v>Catalog Record</v>
      </c>
      <c r="AV978" s="5" t="str">
        <f>HYPERLINK("http://www.worldcat.org/oclc/972960","WorldCat Record")</f>
        <v>WorldCat Record</v>
      </c>
      <c r="AW978" s="2" t="s">
        <v>12111</v>
      </c>
      <c r="AX978" s="2" t="s">
        <v>12112</v>
      </c>
      <c r="AY978" s="2" t="s">
        <v>12113</v>
      </c>
      <c r="AZ978" s="2" t="s">
        <v>12113</v>
      </c>
      <c r="BA978" s="2" t="s">
        <v>12114</v>
      </c>
      <c r="BB978" s="2" t="s">
        <v>20</v>
      </c>
      <c r="BE978" s="2" t="s">
        <v>12115</v>
      </c>
      <c r="BF978" s="2" t="s">
        <v>12116</v>
      </c>
    </row>
    <row r="979" spans="1:58" ht="39.75" customHeight="1" x14ac:dyDescent="0.25">
      <c r="A979" s="7" t="s">
        <v>5</v>
      </c>
      <c r="B979" s="1" t="s">
        <v>0</v>
      </c>
      <c r="C979" s="1" t="s">
        <v>1</v>
      </c>
      <c r="D979" s="1" t="s">
        <v>12117</v>
      </c>
      <c r="E979" s="1" t="s">
        <v>12118</v>
      </c>
      <c r="F979" s="1" t="s">
        <v>12119</v>
      </c>
      <c r="H979" s="2" t="s">
        <v>5</v>
      </c>
      <c r="I979" s="2" t="s">
        <v>6</v>
      </c>
      <c r="J979" s="2" t="s">
        <v>5</v>
      </c>
      <c r="K979" s="2" t="s">
        <v>5</v>
      </c>
      <c r="L979" s="2" t="s">
        <v>7</v>
      </c>
      <c r="N979" s="1" t="s">
        <v>12120</v>
      </c>
      <c r="O979" s="2" t="s">
        <v>3941</v>
      </c>
      <c r="P979" s="1" t="s">
        <v>5359</v>
      </c>
      <c r="Q979" s="2" t="s">
        <v>1151</v>
      </c>
      <c r="R979" s="2" t="s">
        <v>6994</v>
      </c>
      <c r="T979" s="2" t="s">
        <v>13</v>
      </c>
      <c r="U979" s="3">
        <v>1</v>
      </c>
      <c r="V979" s="3">
        <v>1</v>
      </c>
      <c r="W979" s="4" t="s">
        <v>12121</v>
      </c>
      <c r="X979" s="4" t="s">
        <v>12121</v>
      </c>
      <c r="Y979" s="4" t="s">
        <v>12121</v>
      </c>
      <c r="Z979" s="4" t="s">
        <v>12121</v>
      </c>
      <c r="AA979" s="3">
        <v>57</v>
      </c>
      <c r="AB979" s="3">
        <v>53</v>
      </c>
      <c r="AC979" s="3">
        <v>53</v>
      </c>
      <c r="AD979" s="3">
        <v>1</v>
      </c>
      <c r="AE979" s="9">
        <v>1</v>
      </c>
      <c r="AF979" s="9">
        <v>2</v>
      </c>
      <c r="AG979" s="9">
        <v>2</v>
      </c>
      <c r="AH979" s="3">
        <v>1</v>
      </c>
      <c r="AI979" s="3">
        <v>1</v>
      </c>
      <c r="AJ979" s="3">
        <v>1</v>
      </c>
      <c r="AK979" s="3">
        <v>1</v>
      </c>
      <c r="AL979" s="3">
        <v>0</v>
      </c>
      <c r="AM979" s="3">
        <v>0</v>
      </c>
      <c r="AN979" s="3">
        <v>0</v>
      </c>
      <c r="AO979" s="3">
        <v>0</v>
      </c>
      <c r="AP979" s="3">
        <v>0</v>
      </c>
      <c r="AQ979" s="3">
        <v>0</v>
      </c>
      <c r="AR979" s="2" t="s">
        <v>5</v>
      </c>
      <c r="AS979" s="2" t="s">
        <v>5</v>
      </c>
      <c r="AU979" s="5" t="str">
        <f>HYPERLINK("https://creighton-primo.hosted.exlibrisgroup.com/primo-explore/search?tab=default_tab&amp;search_scope=EVERYTHING&amp;vid=01CRU&amp;lang=en_US&amp;offset=0&amp;query=any,contains,991003807979702656","Catalog Record")</f>
        <v>Catalog Record</v>
      </c>
      <c r="AV979" s="5" t="str">
        <f>HYPERLINK("http://www.worldcat.org/oclc/49604215","WorldCat Record")</f>
        <v>WorldCat Record</v>
      </c>
      <c r="AW979" s="2" t="s">
        <v>12122</v>
      </c>
      <c r="AX979" s="2" t="s">
        <v>12123</v>
      </c>
      <c r="AY979" s="2" t="s">
        <v>12124</v>
      </c>
      <c r="AZ979" s="2" t="s">
        <v>12124</v>
      </c>
      <c r="BA979" s="2" t="s">
        <v>12125</v>
      </c>
      <c r="BB979" s="2" t="s">
        <v>20</v>
      </c>
      <c r="BD979" s="2" t="s">
        <v>12126</v>
      </c>
      <c r="BE979" s="2" t="s">
        <v>12127</v>
      </c>
      <c r="BF979" s="2" t="s">
        <v>12128</v>
      </c>
    </row>
    <row r="980" spans="1:58" ht="39.75" customHeight="1" x14ac:dyDescent="0.25">
      <c r="A980" s="7" t="s">
        <v>5</v>
      </c>
      <c r="B980" s="1" t="s">
        <v>0</v>
      </c>
      <c r="C980" s="1" t="s">
        <v>1</v>
      </c>
      <c r="D980" s="1" t="s">
        <v>12129</v>
      </c>
      <c r="E980" s="1" t="s">
        <v>12130</v>
      </c>
      <c r="F980" s="1" t="s">
        <v>12131</v>
      </c>
      <c r="H980" s="2" t="s">
        <v>5</v>
      </c>
      <c r="I980" s="2" t="s">
        <v>6</v>
      </c>
      <c r="J980" s="2" t="s">
        <v>5</v>
      </c>
      <c r="K980" s="2" t="s">
        <v>5</v>
      </c>
      <c r="L980" s="2" t="s">
        <v>7</v>
      </c>
      <c r="N980" s="1" t="s">
        <v>12132</v>
      </c>
      <c r="O980" s="2" t="s">
        <v>3817</v>
      </c>
      <c r="P980" s="1" t="s">
        <v>12133</v>
      </c>
      <c r="Q980" s="2" t="s">
        <v>1151</v>
      </c>
      <c r="R980" s="2" t="s">
        <v>6994</v>
      </c>
      <c r="S980" s="1" t="s">
        <v>12134</v>
      </c>
      <c r="T980" s="2" t="s">
        <v>13</v>
      </c>
      <c r="U980" s="3">
        <v>1</v>
      </c>
      <c r="V980" s="3">
        <v>1</v>
      </c>
      <c r="W980" s="4" t="s">
        <v>12135</v>
      </c>
      <c r="X980" s="4" t="s">
        <v>12135</v>
      </c>
      <c r="Y980" s="4" t="s">
        <v>12136</v>
      </c>
      <c r="Z980" s="4" t="s">
        <v>12136</v>
      </c>
      <c r="AA980" s="3">
        <v>36</v>
      </c>
      <c r="AB980" s="3">
        <v>34</v>
      </c>
      <c r="AC980" s="3">
        <v>54</v>
      </c>
      <c r="AD980" s="3">
        <v>1</v>
      </c>
      <c r="AE980" s="9">
        <v>1</v>
      </c>
      <c r="AF980" s="9">
        <v>2</v>
      </c>
      <c r="AG980" s="9">
        <v>3</v>
      </c>
      <c r="AH980" s="3">
        <v>0</v>
      </c>
      <c r="AI980" s="3">
        <v>0</v>
      </c>
      <c r="AJ980" s="3">
        <v>1</v>
      </c>
      <c r="AK980" s="3">
        <v>2</v>
      </c>
      <c r="AL980" s="3">
        <v>1</v>
      </c>
      <c r="AM980" s="3">
        <v>1</v>
      </c>
      <c r="AN980" s="3">
        <v>0</v>
      </c>
      <c r="AO980" s="3">
        <v>0</v>
      </c>
      <c r="AP980" s="3">
        <v>0</v>
      </c>
      <c r="AQ980" s="3">
        <v>0</v>
      </c>
      <c r="AR980" s="2" t="s">
        <v>5</v>
      </c>
      <c r="AS980" s="2" t="s">
        <v>46</v>
      </c>
      <c r="AT980" s="5" t="str">
        <f>HYPERLINK("http://catalog.hathitrust.org/Record/003263212","HathiTrust Record")</f>
        <v>HathiTrust Record</v>
      </c>
      <c r="AU980" s="5" t="str">
        <f>HYPERLINK("https://creighton-primo.hosted.exlibrisgroup.com/primo-explore/search?tab=default_tab&amp;search_scope=EVERYTHING&amp;vid=01CRU&amp;lang=en_US&amp;offset=0&amp;query=any,contains,991002817569702656","Catalog Record")</f>
        <v>Catalog Record</v>
      </c>
      <c r="AV980" s="5" t="str">
        <f>HYPERLINK("http://www.worldcat.org/oclc/37004659","WorldCat Record")</f>
        <v>WorldCat Record</v>
      </c>
      <c r="AW980" s="2" t="s">
        <v>12137</v>
      </c>
      <c r="AX980" s="2" t="s">
        <v>12138</v>
      </c>
      <c r="AY980" s="2" t="s">
        <v>12139</v>
      </c>
      <c r="AZ980" s="2" t="s">
        <v>12139</v>
      </c>
      <c r="BA980" s="2" t="s">
        <v>12140</v>
      </c>
      <c r="BB980" s="2" t="s">
        <v>20</v>
      </c>
      <c r="BD980" s="2" t="s">
        <v>12141</v>
      </c>
      <c r="BE980" s="2" t="s">
        <v>12142</v>
      </c>
      <c r="BF980" s="2" t="s">
        <v>12143</v>
      </c>
    </row>
    <row r="981" spans="1:58" ht="39.75" customHeight="1" x14ac:dyDescent="0.25">
      <c r="A981" s="7" t="s">
        <v>5</v>
      </c>
      <c r="B981" s="1" t="s">
        <v>0</v>
      </c>
      <c r="C981" s="1" t="s">
        <v>1</v>
      </c>
      <c r="D981" s="1" t="s">
        <v>12144</v>
      </c>
      <c r="E981" s="1" t="s">
        <v>12145</v>
      </c>
      <c r="F981" s="1" t="s">
        <v>12146</v>
      </c>
      <c r="H981" s="2" t="s">
        <v>5</v>
      </c>
      <c r="I981" s="2" t="s">
        <v>6</v>
      </c>
      <c r="J981" s="2" t="s">
        <v>5</v>
      </c>
      <c r="K981" s="2" t="s">
        <v>5</v>
      </c>
      <c r="L981" s="2" t="s">
        <v>7</v>
      </c>
      <c r="M981" s="1" t="s">
        <v>12147</v>
      </c>
      <c r="N981" s="1" t="s">
        <v>12148</v>
      </c>
      <c r="O981" s="2" t="s">
        <v>2448</v>
      </c>
      <c r="P981" s="1" t="s">
        <v>2908</v>
      </c>
      <c r="Q981" s="2" t="s">
        <v>1151</v>
      </c>
      <c r="R981" s="2" t="s">
        <v>3996</v>
      </c>
      <c r="S981" s="1" t="s">
        <v>12149</v>
      </c>
      <c r="T981" s="2" t="s">
        <v>13</v>
      </c>
      <c r="U981" s="3">
        <v>2</v>
      </c>
      <c r="V981" s="3">
        <v>2</v>
      </c>
      <c r="W981" s="4" t="s">
        <v>5590</v>
      </c>
      <c r="X981" s="4" t="s">
        <v>5590</v>
      </c>
      <c r="Y981" s="4" t="s">
        <v>7136</v>
      </c>
      <c r="Z981" s="4" t="s">
        <v>7136</v>
      </c>
      <c r="AA981" s="3">
        <v>88</v>
      </c>
      <c r="AB981" s="3">
        <v>75</v>
      </c>
      <c r="AC981" s="3">
        <v>80</v>
      </c>
      <c r="AD981" s="3">
        <v>2</v>
      </c>
      <c r="AE981" s="9">
        <v>2</v>
      </c>
      <c r="AF981" s="9">
        <v>5</v>
      </c>
      <c r="AG981" s="9">
        <v>5</v>
      </c>
      <c r="AH981" s="3">
        <v>2</v>
      </c>
      <c r="AI981" s="3">
        <v>2</v>
      </c>
      <c r="AJ981" s="3">
        <v>2</v>
      </c>
      <c r="AK981" s="3">
        <v>2</v>
      </c>
      <c r="AL981" s="3">
        <v>0</v>
      </c>
      <c r="AM981" s="3">
        <v>0</v>
      </c>
      <c r="AN981" s="3">
        <v>1</v>
      </c>
      <c r="AO981" s="3">
        <v>1</v>
      </c>
      <c r="AP981" s="3">
        <v>0</v>
      </c>
      <c r="AQ981" s="3">
        <v>0</v>
      </c>
      <c r="AR981" s="2" t="s">
        <v>5</v>
      </c>
      <c r="AS981" s="2" t="s">
        <v>46</v>
      </c>
      <c r="AT981" s="5" t="str">
        <f>HYPERLINK("http://catalog.hathitrust.org/Record/004098540","HathiTrust Record")</f>
        <v>HathiTrust Record</v>
      </c>
      <c r="AU981" s="5" t="str">
        <f>HYPERLINK("https://creighton-primo.hosted.exlibrisgroup.com/primo-explore/search?tab=default_tab&amp;search_scope=EVERYTHING&amp;vid=01CRU&amp;lang=en_US&amp;offset=0&amp;query=any,contains,991003511359702656","Catalog Record")</f>
        <v>Catalog Record</v>
      </c>
      <c r="AV981" s="5" t="str">
        <f>HYPERLINK("http://www.worldcat.org/oclc/42203510","WorldCat Record")</f>
        <v>WorldCat Record</v>
      </c>
      <c r="AW981" s="2" t="s">
        <v>12150</v>
      </c>
      <c r="AX981" s="2" t="s">
        <v>12151</v>
      </c>
      <c r="AY981" s="2" t="s">
        <v>12152</v>
      </c>
      <c r="AZ981" s="2" t="s">
        <v>12152</v>
      </c>
      <c r="BA981" s="2" t="s">
        <v>12153</v>
      </c>
      <c r="BB981" s="2" t="s">
        <v>20</v>
      </c>
      <c r="BD981" s="2" t="s">
        <v>12154</v>
      </c>
      <c r="BE981" s="2" t="s">
        <v>12155</v>
      </c>
      <c r="BF981" s="2" t="s">
        <v>12156</v>
      </c>
    </row>
    <row r="982" spans="1:58" ht="39.75" customHeight="1" x14ac:dyDescent="0.25">
      <c r="A982" s="7" t="s">
        <v>5</v>
      </c>
      <c r="B982" s="1" t="s">
        <v>0</v>
      </c>
      <c r="C982" s="1" t="s">
        <v>1</v>
      </c>
      <c r="D982" s="1" t="s">
        <v>12157</v>
      </c>
      <c r="E982" s="1" t="s">
        <v>12158</v>
      </c>
      <c r="F982" s="1" t="s">
        <v>12159</v>
      </c>
      <c r="H982" s="2" t="s">
        <v>5</v>
      </c>
      <c r="I982" s="2" t="s">
        <v>6</v>
      </c>
      <c r="J982" s="2" t="s">
        <v>5</v>
      </c>
      <c r="K982" s="2" t="s">
        <v>5</v>
      </c>
      <c r="L982" s="2" t="s">
        <v>7</v>
      </c>
      <c r="M982" s="1" t="s">
        <v>12160</v>
      </c>
      <c r="N982" s="1" t="s">
        <v>12161</v>
      </c>
      <c r="O982" s="2" t="s">
        <v>91</v>
      </c>
      <c r="Q982" s="2" t="s">
        <v>1151</v>
      </c>
      <c r="R982" s="2" t="s">
        <v>6994</v>
      </c>
      <c r="T982" s="2" t="s">
        <v>13</v>
      </c>
      <c r="U982" s="3">
        <v>2</v>
      </c>
      <c r="V982" s="3">
        <v>2</v>
      </c>
      <c r="W982" s="4" t="s">
        <v>12162</v>
      </c>
      <c r="X982" s="4" t="s">
        <v>12162</v>
      </c>
      <c r="Y982" s="4" t="s">
        <v>12163</v>
      </c>
      <c r="Z982" s="4" t="s">
        <v>12163</v>
      </c>
      <c r="AA982" s="3">
        <v>47</v>
      </c>
      <c r="AB982" s="3">
        <v>42</v>
      </c>
      <c r="AC982" s="3">
        <v>44</v>
      </c>
      <c r="AD982" s="3">
        <v>1</v>
      </c>
      <c r="AE982" s="9">
        <v>1</v>
      </c>
      <c r="AF982" s="9">
        <v>2</v>
      </c>
      <c r="AG982" s="9">
        <v>2</v>
      </c>
      <c r="AH982" s="3">
        <v>0</v>
      </c>
      <c r="AI982" s="3">
        <v>0</v>
      </c>
      <c r="AJ982" s="3">
        <v>1</v>
      </c>
      <c r="AK982" s="3">
        <v>1</v>
      </c>
      <c r="AL982" s="3">
        <v>1</v>
      </c>
      <c r="AM982" s="3">
        <v>1</v>
      </c>
      <c r="AN982" s="3">
        <v>0</v>
      </c>
      <c r="AO982" s="3">
        <v>0</v>
      </c>
      <c r="AP982" s="3">
        <v>0</v>
      </c>
      <c r="AQ982" s="3">
        <v>0</v>
      </c>
      <c r="AR982" s="2" t="s">
        <v>5</v>
      </c>
      <c r="AS982" s="2" t="s">
        <v>46</v>
      </c>
      <c r="AT982" s="5" t="str">
        <f>HYPERLINK("http://catalog.hathitrust.org/Record/003075549","HathiTrust Record")</f>
        <v>HathiTrust Record</v>
      </c>
      <c r="AU982" s="5" t="str">
        <f>HYPERLINK("https://creighton-primo.hosted.exlibrisgroup.com/primo-explore/search?tab=default_tab&amp;search_scope=EVERYTHING&amp;vid=01CRU&amp;lang=en_US&amp;offset=0&amp;query=any,contains,991002516989702656","Catalog Record")</f>
        <v>Catalog Record</v>
      </c>
      <c r="AV982" s="5" t="str">
        <f>HYPERLINK("http://www.worldcat.org/oclc/32738793","WorldCat Record")</f>
        <v>WorldCat Record</v>
      </c>
      <c r="AW982" s="2" t="s">
        <v>12164</v>
      </c>
      <c r="AX982" s="2" t="s">
        <v>12165</v>
      </c>
      <c r="AY982" s="2" t="s">
        <v>12166</v>
      </c>
      <c r="AZ982" s="2" t="s">
        <v>12166</v>
      </c>
      <c r="BA982" s="2" t="s">
        <v>12167</v>
      </c>
      <c r="BB982" s="2" t="s">
        <v>20</v>
      </c>
      <c r="BD982" s="2" t="s">
        <v>12168</v>
      </c>
      <c r="BE982" s="2" t="s">
        <v>12169</v>
      </c>
      <c r="BF982" s="2" t="s">
        <v>12170</v>
      </c>
    </row>
    <row r="983" spans="1:58" ht="39.75" customHeight="1" x14ac:dyDescent="0.25">
      <c r="A983" s="7" t="s">
        <v>5</v>
      </c>
      <c r="B983" s="1" t="s">
        <v>0</v>
      </c>
      <c r="C983" s="1" t="s">
        <v>1</v>
      </c>
      <c r="D983" s="1" t="s">
        <v>12171</v>
      </c>
      <c r="E983" s="1" t="s">
        <v>12172</v>
      </c>
      <c r="F983" s="1" t="s">
        <v>12173</v>
      </c>
      <c r="H983" s="2" t="s">
        <v>5</v>
      </c>
      <c r="I983" s="2" t="s">
        <v>6</v>
      </c>
      <c r="J983" s="2" t="s">
        <v>5</v>
      </c>
      <c r="K983" s="2" t="s">
        <v>5</v>
      </c>
      <c r="L983" s="2" t="s">
        <v>7</v>
      </c>
      <c r="M983" s="1" t="s">
        <v>12174</v>
      </c>
      <c r="N983" s="1" t="s">
        <v>12175</v>
      </c>
      <c r="O983" s="2" t="s">
        <v>3250</v>
      </c>
      <c r="P983" s="1" t="s">
        <v>2908</v>
      </c>
      <c r="Q983" s="2" t="s">
        <v>1151</v>
      </c>
      <c r="R983" s="2" t="s">
        <v>6994</v>
      </c>
      <c r="T983" s="2" t="s">
        <v>13</v>
      </c>
      <c r="U983" s="3">
        <v>1</v>
      </c>
      <c r="V983" s="3">
        <v>1</v>
      </c>
      <c r="W983" s="4" t="s">
        <v>12176</v>
      </c>
      <c r="X983" s="4" t="s">
        <v>12176</v>
      </c>
      <c r="Y983" s="4" t="s">
        <v>12176</v>
      </c>
      <c r="Z983" s="4" t="s">
        <v>12176</v>
      </c>
      <c r="AA983" s="3">
        <v>37</v>
      </c>
      <c r="AB983" s="3">
        <v>33</v>
      </c>
      <c r="AC983" s="3">
        <v>35</v>
      </c>
      <c r="AD983" s="3">
        <v>1</v>
      </c>
      <c r="AE983" s="9">
        <v>1</v>
      </c>
      <c r="AF983" s="9">
        <v>1</v>
      </c>
      <c r="AG983" s="9">
        <v>1</v>
      </c>
      <c r="AH983" s="3">
        <v>0</v>
      </c>
      <c r="AI983" s="3">
        <v>0</v>
      </c>
      <c r="AJ983" s="3">
        <v>1</v>
      </c>
      <c r="AK983" s="3">
        <v>1</v>
      </c>
      <c r="AL983" s="3">
        <v>0</v>
      </c>
      <c r="AM983" s="3">
        <v>0</v>
      </c>
      <c r="AN983" s="3">
        <v>0</v>
      </c>
      <c r="AO983" s="3">
        <v>0</v>
      </c>
      <c r="AP983" s="3">
        <v>0</v>
      </c>
      <c r="AQ983" s="3">
        <v>0</v>
      </c>
      <c r="AR983" s="2" t="s">
        <v>5</v>
      </c>
      <c r="AS983" s="2" t="s">
        <v>46</v>
      </c>
      <c r="AT983" s="5" t="str">
        <f>HYPERLINK("http://catalog.hathitrust.org/Record/101104708","HathiTrust Record")</f>
        <v>HathiTrust Record</v>
      </c>
      <c r="AU983" s="5" t="str">
        <f>HYPERLINK("https://creighton-primo.hosted.exlibrisgroup.com/primo-explore/search?tab=default_tab&amp;search_scope=EVERYTHING&amp;vid=01CRU&amp;lang=en_US&amp;offset=0&amp;query=any,contains,991004329919702656","Catalog Record")</f>
        <v>Catalog Record</v>
      </c>
      <c r="AV983" s="5" t="str">
        <f>HYPERLINK("http://www.worldcat.org/oclc/56068675","WorldCat Record")</f>
        <v>WorldCat Record</v>
      </c>
      <c r="AW983" s="2" t="s">
        <v>12177</v>
      </c>
      <c r="AX983" s="2" t="s">
        <v>12178</v>
      </c>
      <c r="AY983" s="2" t="s">
        <v>12179</v>
      </c>
      <c r="AZ983" s="2" t="s">
        <v>12179</v>
      </c>
      <c r="BA983" s="2" t="s">
        <v>12180</v>
      </c>
      <c r="BB983" s="2" t="s">
        <v>20</v>
      </c>
      <c r="BD983" s="2" t="s">
        <v>12181</v>
      </c>
      <c r="BE983" s="2" t="s">
        <v>12182</v>
      </c>
      <c r="BF983" s="2" t="s">
        <v>12183</v>
      </c>
    </row>
    <row r="984" spans="1:58" ht="39.75" customHeight="1" x14ac:dyDescent="0.25">
      <c r="A984" s="7" t="s">
        <v>5</v>
      </c>
      <c r="B984" s="1" t="s">
        <v>0</v>
      </c>
      <c r="C984" s="1" t="s">
        <v>1</v>
      </c>
      <c r="D984" s="1" t="s">
        <v>12184</v>
      </c>
      <c r="E984" s="1" t="s">
        <v>12185</v>
      </c>
      <c r="F984" s="1" t="s">
        <v>12186</v>
      </c>
      <c r="H984" s="2" t="s">
        <v>5</v>
      </c>
      <c r="I984" s="2" t="s">
        <v>6</v>
      </c>
      <c r="J984" s="2" t="s">
        <v>5</v>
      </c>
      <c r="K984" s="2" t="s">
        <v>5</v>
      </c>
      <c r="L984" s="2" t="s">
        <v>7</v>
      </c>
      <c r="M984" s="1" t="s">
        <v>12187</v>
      </c>
      <c r="N984" s="1" t="s">
        <v>12188</v>
      </c>
      <c r="O984" s="2" t="s">
        <v>1473</v>
      </c>
      <c r="Q984" s="2" t="s">
        <v>1151</v>
      </c>
      <c r="R984" s="2" t="s">
        <v>61</v>
      </c>
      <c r="S984" s="1" t="s">
        <v>12189</v>
      </c>
      <c r="T984" s="2" t="s">
        <v>13</v>
      </c>
      <c r="U984" s="3">
        <v>1</v>
      </c>
      <c r="V984" s="3">
        <v>1</v>
      </c>
      <c r="W984" s="4" t="s">
        <v>10681</v>
      </c>
      <c r="X984" s="4" t="s">
        <v>10681</v>
      </c>
      <c r="Y984" s="4" t="s">
        <v>10681</v>
      </c>
      <c r="Z984" s="4" t="s">
        <v>10681</v>
      </c>
      <c r="AA984" s="3">
        <v>68</v>
      </c>
      <c r="AB984" s="3">
        <v>57</v>
      </c>
      <c r="AC984" s="3">
        <v>59</v>
      </c>
      <c r="AD984" s="3">
        <v>2</v>
      </c>
      <c r="AE984" s="9">
        <v>2</v>
      </c>
      <c r="AF984" s="9">
        <v>2</v>
      </c>
      <c r="AG984" s="9">
        <v>2</v>
      </c>
      <c r="AH984" s="3">
        <v>0</v>
      </c>
      <c r="AI984" s="3">
        <v>0</v>
      </c>
      <c r="AJ984" s="3">
        <v>1</v>
      </c>
      <c r="AK984" s="3">
        <v>1</v>
      </c>
      <c r="AL984" s="3">
        <v>0</v>
      </c>
      <c r="AM984" s="3">
        <v>0</v>
      </c>
      <c r="AN984" s="3">
        <v>1</v>
      </c>
      <c r="AO984" s="3">
        <v>1</v>
      </c>
      <c r="AP984" s="3">
        <v>0</v>
      </c>
      <c r="AQ984" s="3">
        <v>0</v>
      </c>
      <c r="AR984" s="2" t="s">
        <v>5</v>
      </c>
      <c r="AS984" s="2" t="s">
        <v>46</v>
      </c>
      <c r="AT984" s="5" t="str">
        <f>HYPERLINK("http://catalog.hathitrust.org/Record/007436829","HathiTrust Record")</f>
        <v>HathiTrust Record</v>
      </c>
      <c r="AU984" s="5" t="str">
        <f>HYPERLINK("https://creighton-primo.hosted.exlibrisgroup.com/primo-explore/search?tab=default_tab&amp;search_scope=EVERYTHING&amp;vid=01CRU&amp;lang=en_US&amp;offset=0&amp;query=any,contains,991003952629702656","Catalog Record")</f>
        <v>Catalog Record</v>
      </c>
      <c r="AV984" s="5" t="str">
        <f>HYPERLINK("http://www.worldcat.org/oclc/50004894","WorldCat Record")</f>
        <v>WorldCat Record</v>
      </c>
      <c r="AW984" s="2" t="s">
        <v>12190</v>
      </c>
      <c r="AX984" s="2" t="s">
        <v>12191</v>
      </c>
      <c r="AY984" s="2" t="s">
        <v>12192</v>
      </c>
      <c r="AZ984" s="2" t="s">
        <v>12192</v>
      </c>
      <c r="BA984" s="2" t="s">
        <v>12193</v>
      </c>
      <c r="BB984" s="2" t="s">
        <v>20</v>
      </c>
      <c r="BD984" s="2" t="s">
        <v>12194</v>
      </c>
      <c r="BE984" s="2" t="s">
        <v>12195</v>
      </c>
      <c r="BF984" s="2" t="s">
        <v>12196</v>
      </c>
    </row>
    <row r="985" spans="1:58" ht="39.75" customHeight="1" x14ac:dyDescent="0.25">
      <c r="A985" s="7" t="s">
        <v>5</v>
      </c>
      <c r="B985" s="1" t="s">
        <v>0</v>
      </c>
      <c r="C985" s="1" t="s">
        <v>1</v>
      </c>
      <c r="D985" s="1" t="s">
        <v>12197</v>
      </c>
      <c r="E985" s="1" t="s">
        <v>12198</v>
      </c>
      <c r="F985" s="1" t="s">
        <v>12199</v>
      </c>
      <c r="H985" s="2" t="s">
        <v>5</v>
      </c>
      <c r="I985" s="2" t="s">
        <v>6</v>
      </c>
      <c r="J985" s="2" t="s">
        <v>5</v>
      </c>
      <c r="K985" s="2" t="s">
        <v>5</v>
      </c>
      <c r="L985" s="2" t="s">
        <v>7</v>
      </c>
      <c r="M985" s="1" t="s">
        <v>12200</v>
      </c>
      <c r="N985" s="1" t="s">
        <v>12201</v>
      </c>
      <c r="O985" s="2" t="s">
        <v>3941</v>
      </c>
      <c r="Q985" s="2" t="s">
        <v>1151</v>
      </c>
      <c r="R985" s="2" t="s">
        <v>12202</v>
      </c>
      <c r="S985" s="1" t="s">
        <v>12203</v>
      </c>
      <c r="T985" s="2" t="s">
        <v>13</v>
      </c>
      <c r="U985" s="3">
        <v>1</v>
      </c>
      <c r="V985" s="3">
        <v>1</v>
      </c>
      <c r="W985" s="4" t="s">
        <v>12204</v>
      </c>
      <c r="X985" s="4" t="s">
        <v>12204</v>
      </c>
      <c r="Y985" s="4" t="s">
        <v>12204</v>
      </c>
      <c r="Z985" s="4" t="s">
        <v>12204</v>
      </c>
      <c r="AA985" s="3">
        <v>14</v>
      </c>
      <c r="AB985" s="3">
        <v>13</v>
      </c>
      <c r="AC985" s="3">
        <v>14</v>
      </c>
      <c r="AD985" s="3">
        <v>1</v>
      </c>
      <c r="AE985" s="9">
        <v>1</v>
      </c>
      <c r="AF985" s="9">
        <v>1</v>
      </c>
      <c r="AG985" s="9">
        <v>1</v>
      </c>
      <c r="AH985" s="3">
        <v>0</v>
      </c>
      <c r="AI985" s="3">
        <v>0</v>
      </c>
      <c r="AJ985" s="3">
        <v>1</v>
      </c>
      <c r="AK985" s="3">
        <v>1</v>
      </c>
      <c r="AL985" s="3">
        <v>1</v>
      </c>
      <c r="AM985" s="3">
        <v>1</v>
      </c>
      <c r="AN985" s="3">
        <v>0</v>
      </c>
      <c r="AO985" s="3">
        <v>0</v>
      </c>
      <c r="AP985" s="3">
        <v>0</v>
      </c>
      <c r="AQ985" s="3">
        <v>0</v>
      </c>
      <c r="AR985" s="2" t="s">
        <v>5</v>
      </c>
      <c r="AS985" s="2" t="s">
        <v>5</v>
      </c>
      <c r="AU985" s="5" t="str">
        <f>HYPERLINK("https://creighton-primo.hosted.exlibrisgroup.com/primo-explore/search?tab=default_tab&amp;search_scope=EVERYTHING&amp;vid=01CRU&amp;lang=en_US&amp;offset=0&amp;query=any,contains,991004093339702656","Catalog Record")</f>
        <v>Catalog Record</v>
      </c>
      <c r="AV985" s="5" t="str">
        <f>HYPERLINK("http://www.worldcat.org/oclc/52280914","WorldCat Record")</f>
        <v>WorldCat Record</v>
      </c>
      <c r="AW985" s="2" t="s">
        <v>12205</v>
      </c>
      <c r="AX985" s="2" t="s">
        <v>12206</v>
      </c>
      <c r="AY985" s="2" t="s">
        <v>12207</v>
      </c>
      <c r="AZ985" s="2" t="s">
        <v>12207</v>
      </c>
      <c r="BA985" s="2" t="s">
        <v>12208</v>
      </c>
      <c r="BB985" s="2" t="s">
        <v>20</v>
      </c>
      <c r="BE985" s="2" t="s">
        <v>12209</v>
      </c>
      <c r="BF985" s="2" t="s">
        <v>12210</v>
      </c>
    </row>
    <row r="986" spans="1:58" ht="39.75" customHeight="1" x14ac:dyDescent="0.25">
      <c r="A986" s="7" t="s">
        <v>5</v>
      </c>
      <c r="B986" s="1" t="s">
        <v>0</v>
      </c>
      <c r="C986" s="1" t="s">
        <v>1</v>
      </c>
      <c r="D986" s="1" t="s">
        <v>12211</v>
      </c>
      <c r="E986" s="1" t="s">
        <v>12212</v>
      </c>
      <c r="F986" s="1" t="s">
        <v>12213</v>
      </c>
      <c r="H986" s="2" t="s">
        <v>5</v>
      </c>
      <c r="I986" s="2" t="s">
        <v>6</v>
      </c>
      <c r="J986" s="2" t="s">
        <v>5</v>
      </c>
      <c r="K986" s="2" t="s">
        <v>5</v>
      </c>
      <c r="L986" s="2" t="s">
        <v>7</v>
      </c>
      <c r="M986" s="1" t="s">
        <v>12214</v>
      </c>
      <c r="N986" s="1" t="s">
        <v>12215</v>
      </c>
      <c r="O986" s="2" t="s">
        <v>736</v>
      </c>
      <c r="P986" s="1" t="s">
        <v>2908</v>
      </c>
      <c r="Q986" s="2" t="s">
        <v>1151</v>
      </c>
      <c r="R986" s="2" t="s">
        <v>6994</v>
      </c>
      <c r="T986" s="2" t="s">
        <v>13</v>
      </c>
      <c r="U986" s="3">
        <v>0</v>
      </c>
      <c r="V986" s="3">
        <v>0</v>
      </c>
      <c r="W986" s="4" t="s">
        <v>12216</v>
      </c>
      <c r="X986" s="4" t="s">
        <v>12216</v>
      </c>
      <c r="Y986" s="4" t="s">
        <v>12217</v>
      </c>
      <c r="Z986" s="4" t="s">
        <v>12217</v>
      </c>
      <c r="AA986" s="3">
        <v>34</v>
      </c>
      <c r="AB986" s="3">
        <v>29</v>
      </c>
      <c r="AC986" s="3">
        <v>95</v>
      </c>
      <c r="AD986" s="3">
        <v>1</v>
      </c>
      <c r="AE986" s="9">
        <v>1</v>
      </c>
      <c r="AF986" s="9">
        <v>1</v>
      </c>
      <c r="AG986" s="9">
        <v>5</v>
      </c>
      <c r="AH986" s="3">
        <v>0</v>
      </c>
      <c r="AI986" s="3">
        <v>1</v>
      </c>
      <c r="AJ986" s="3">
        <v>0</v>
      </c>
      <c r="AK986" s="3">
        <v>1</v>
      </c>
      <c r="AL986" s="3">
        <v>1</v>
      </c>
      <c r="AM986" s="3">
        <v>3</v>
      </c>
      <c r="AN986" s="3">
        <v>0</v>
      </c>
      <c r="AO986" s="3">
        <v>0</v>
      </c>
      <c r="AP986" s="3">
        <v>0</v>
      </c>
      <c r="AQ986" s="3">
        <v>0</v>
      </c>
      <c r="AR986" s="2" t="s">
        <v>5</v>
      </c>
      <c r="AS986" s="2" t="s">
        <v>46</v>
      </c>
      <c r="AT986" s="5" t="str">
        <f>HYPERLINK("http://catalog.hathitrust.org/Record/003060928","HathiTrust Record")</f>
        <v>HathiTrust Record</v>
      </c>
      <c r="AU986" s="5" t="str">
        <f>HYPERLINK("https://creighton-primo.hosted.exlibrisgroup.com/primo-explore/search?tab=default_tab&amp;search_scope=EVERYTHING&amp;vid=01CRU&amp;lang=en_US&amp;offset=0&amp;query=any,contains,991001963929702656","Catalog Record")</f>
        <v>Catalog Record</v>
      </c>
      <c r="AV986" s="5" t="str">
        <f>HYPERLINK("http://www.worldcat.org/oclc/24872818","WorldCat Record")</f>
        <v>WorldCat Record</v>
      </c>
      <c r="AW986" s="2" t="s">
        <v>12218</v>
      </c>
      <c r="AX986" s="2" t="s">
        <v>12219</v>
      </c>
      <c r="AY986" s="2" t="s">
        <v>12220</v>
      </c>
      <c r="AZ986" s="2" t="s">
        <v>12220</v>
      </c>
      <c r="BA986" s="2" t="s">
        <v>12221</v>
      </c>
      <c r="BB986" s="2" t="s">
        <v>20</v>
      </c>
      <c r="BE986" s="2" t="s">
        <v>12222</v>
      </c>
      <c r="BF986" s="2" t="s">
        <v>12223</v>
      </c>
    </row>
    <row r="987" spans="1:58" ht="39.75" customHeight="1" x14ac:dyDescent="0.25">
      <c r="A987" s="7" t="s">
        <v>5</v>
      </c>
      <c r="B987" s="1" t="s">
        <v>0</v>
      </c>
      <c r="C987" s="1" t="s">
        <v>1</v>
      </c>
      <c r="D987" s="1" t="s">
        <v>12224</v>
      </c>
      <c r="E987" s="1" t="s">
        <v>12225</v>
      </c>
      <c r="F987" s="1" t="s">
        <v>12226</v>
      </c>
      <c r="H987" s="2" t="s">
        <v>5</v>
      </c>
      <c r="I987" s="2" t="s">
        <v>6</v>
      </c>
      <c r="J987" s="2" t="s">
        <v>5</v>
      </c>
      <c r="K987" s="2" t="s">
        <v>5</v>
      </c>
      <c r="L987" s="2" t="s">
        <v>7</v>
      </c>
      <c r="M987" s="1" t="s">
        <v>12227</v>
      </c>
      <c r="N987" s="1" t="s">
        <v>12228</v>
      </c>
      <c r="O987" s="2" t="s">
        <v>452</v>
      </c>
      <c r="P987" s="1" t="s">
        <v>2908</v>
      </c>
      <c r="Q987" s="2" t="s">
        <v>1151</v>
      </c>
      <c r="R987" s="2" t="s">
        <v>6916</v>
      </c>
      <c r="S987" s="1" t="s">
        <v>12229</v>
      </c>
      <c r="T987" s="2" t="s">
        <v>13</v>
      </c>
      <c r="U987" s="3">
        <v>3</v>
      </c>
      <c r="V987" s="3">
        <v>3</v>
      </c>
      <c r="W987" s="4" t="s">
        <v>12230</v>
      </c>
      <c r="X987" s="4" t="s">
        <v>12230</v>
      </c>
      <c r="Y987" s="4" t="s">
        <v>3683</v>
      </c>
      <c r="Z987" s="4" t="s">
        <v>3683</v>
      </c>
      <c r="AA987" s="3">
        <v>63</v>
      </c>
      <c r="AB987" s="3">
        <v>55</v>
      </c>
      <c r="AC987" s="3">
        <v>56</v>
      </c>
      <c r="AD987" s="3">
        <v>1</v>
      </c>
      <c r="AE987" s="9">
        <v>1</v>
      </c>
      <c r="AF987" s="9">
        <v>3</v>
      </c>
      <c r="AG987" s="9">
        <v>3</v>
      </c>
      <c r="AH987" s="3">
        <v>0</v>
      </c>
      <c r="AI987" s="3">
        <v>0</v>
      </c>
      <c r="AJ987" s="3">
        <v>2</v>
      </c>
      <c r="AK987" s="3">
        <v>2</v>
      </c>
      <c r="AL987" s="3">
        <v>2</v>
      </c>
      <c r="AM987" s="3">
        <v>2</v>
      </c>
      <c r="AN987" s="3">
        <v>0</v>
      </c>
      <c r="AO987" s="3">
        <v>0</v>
      </c>
      <c r="AP987" s="3">
        <v>0</v>
      </c>
      <c r="AQ987" s="3">
        <v>0</v>
      </c>
      <c r="AR987" s="2" t="s">
        <v>5</v>
      </c>
      <c r="AS987" s="2" t="s">
        <v>46</v>
      </c>
      <c r="AT987" s="5" t="str">
        <f>HYPERLINK("http://catalog.hathitrust.org/Record/004716748","HathiTrust Record")</f>
        <v>HathiTrust Record</v>
      </c>
      <c r="AU987" s="5" t="str">
        <f>HYPERLINK("https://creighton-primo.hosted.exlibrisgroup.com/primo-explore/search?tab=default_tab&amp;search_scope=EVERYTHING&amp;vid=01CRU&amp;lang=en_US&amp;offset=0&amp;query=any,contains,991002795559702656","Catalog Record")</f>
        <v>Catalog Record</v>
      </c>
      <c r="AV987" s="5" t="str">
        <f>HYPERLINK("http://www.worldcat.org/oclc/36719489","WorldCat Record")</f>
        <v>WorldCat Record</v>
      </c>
      <c r="AW987" s="2" t="s">
        <v>12231</v>
      </c>
      <c r="AX987" s="2" t="s">
        <v>12232</v>
      </c>
      <c r="AY987" s="2" t="s">
        <v>12233</v>
      </c>
      <c r="AZ987" s="2" t="s">
        <v>12233</v>
      </c>
      <c r="BA987" s="2" t="s">
        <v>12234</v>
      </c>
      <c r="BB987" s="2" t="s">
        <v>20</v>
      </c>
      <c r="BD987" s="2" t="s">
        <v>12235</v>
      </c>
      <c r="BE987" s="2" t="s">
        <v>12236</v>
      </c>
      <c r="BF987" s="2" t="s">
        <v>12237</v>
      </c>
    </row>
    <row r="988" spans="1:58" ht="39.75" customHeight="1" x14ac:dyDescent="0.25">
      <c r="A988" s="7" t="s">
        <v>5</v>
      </c>
      <c r="B988" s="1" t="s">
        <v>0</v>
      </c>
      <c r="C988" s="1" t="s">
        <v>1</v>
      </c>
      <c r="D988" s="1" t="s">
        <v>12238</v>
      </c>
      <c r="E988" s="1" t="s">
        <v>12239</v>
      </c>
      <c r="F988" s="1" t="s">
        <v>12240</v>
      </c>
      <c r="G988" s="2" t="s">
        <v>5110</v>
      </c>
      <c r="H988" s="2" t="s">
        <v>46</v>
      </c>
      <c r="I988" s="2" t="s">
        <v>6</v>
      </c>
      <c r="J988" s="2" t="s">
        <v>5</v>
      </c>
      <c r="K988" s="2" t="s">
        <v>5</v>
      </c>
      <c r="L988" s="2" t="s">
        <v>7</v>
      </c>
      <c r="N988" s="1" t="s">
        <v>12241</v>
      </c>
      <c r="O988" s="2" t="s">
        <v>2448</v>
      </c>
      <c r="Q988" s="2" t="s">
        <v>1151</v>
      </c>
      <c r="R988" s="2" t="s">
        <v>6994</v>
      </c>
      <c r="S988" s="1" t="s">
        <v>12242</v>
      </c>
      <c r="T988" s="2" t="s">
        <v>13</v>
      </c>
      <c r="U988" s="3">
        <v>1</v>
      </c>
      <c r="V988" s="3">
        <v>4</v>
      </c>
      <c r="W988" s="4" t="s">
        <v>12243</v>
      </c>
      <c r="X988" s="4" t="s">
        <v>12243</v>
      </c>
      <c r="Y988" s="4" t="s">
        <v>12244</v>
      </c>
      <c r="Z988" s="4" t="s">
        <v>12244</v>
      </c>
      <c r="AA988" s="3">
        <v>45</v>
      </c>
      <c r="AB988" s="3">
        <v>40</v>
      </c>
      <c r="AC988" s="3">
        <v>42</v>
      </c>
      <c r="AD988" s="3">
        <v>1</v>
      </c>
      <c r="AE988" s="9">
        <v>1</v>
      </c>
      <c r="AF988" s="9">
        <v>1</v>
      </c>
      <c r="AG988" s="9">
        <v>1</v>
      </c>
      <c r="AH988" s="3">
        <v>0</v>
      </c>
      <c r="AI988" s="3">
        <v>0</v>
      </c>
      <c r="AJ988" s="3">
        <v>1</v>
      </c>
      <c r="AK988" s="3">
        <v>1</v>
      </c>
      <c r="AL988" s="3">
        <v>0</v>
      </c>
      <c r="AM988" s="3">
        <v>0</v>
      </c>
      <c r="AN988" s="3">
        <v>0</v>
      </c>
      <c r="AO988" s="3">
        <v>0</v>
      </c>
      <c r="AP988" s="3">
        <v>0</v>
      </c>
      <c r="AQ988" s="3">
        <v>0</v>
      </c>
      <c r="AR988" s="2" t="s">
        <v>5</v>
      </c>
      <c r="AS988" s="2" t="s">
        <v>46</v>
      </c>
      <c r="AT988" s="5" t="str">
        <f>HYPERLINK("http://catalog.hathitrust.org/Record/101104672","HathiTrust Record")</f>
        <v>HathiTrust Record</v>
      </c>
      <c r="AU988" s="5" t="str">
        <f>HYPERLINK("https://creighton-primo.hosted.exlibrisgroup.com/primo-explore/search?tab=default_tab&amp;search_scope=EVERYTHING&amp;vid=01CRU&amp;lang=en_US&amp;offset=0&amp;query=any,contains,991003286939702656","Catalog Record")</f>
        <v>Catalog Record</v>
      </c>
      <c r="AV988" s="5" t="str">
        <f>HYPERLINK("http://www.worldcat.org/oclc/45247472","WorldCat Record")</f>
        <v>WorldCat Record</v>
      </c>
      <c r="AW988" s="2" t="s">
        <v>12245</v>
      </c>
      <c r="AX988" s="2" t="s">
        <v>12246</v>
      </c>
      <c r="AY988" s="2" t="s">
        <v>12247</v>
      </c>
      <c r="AZ988" s="2" t="s">
        <v>12247</v>
      </c>
      <c r="BA988" s="2" t="s">
        <v>12248</v>
      </c>
      <c r="BB988" s="2" t="s">
        <v>20</v>
      </c>
      <c r="BE988" s="2" t="s">
        <v>12249</v>
      </c>
      <c r="BF988" s="2" t="s">
        <v>12250</v>
      </c>
    </row>
    <row r="989" spans="1:58" ht="39.75" customHeight="1" x14ac:dyDescent="0.25">
      <c r="A989" s="7" t="s">
        <v>5</v>
      </c>
      <c r="B989" s="1" t="s">
        <v>0</v>
      </c>
      <c r="C989" s="1" t="s">
        <v>1</v>
      </c>
      <c r="D989" s="1" t="s">
        <v>12238</v>
      </c>
      <c r="E989" s="1" t="s">
        <v>12239</v>
      </c>
      <c r="F989" s="1" t="s">
        <v>12240</v>
      </c>
      <c r="G989" s="2" t="s">
        <v>5126</v>
      </c>
      <c r="H989" s="2" t="s">
        <v>46</v>
      </c>
      <c r="I989" s="2" t="s">
        <v>6</v>
      </c>
      <c r="J989" s="2" t="s">
        <v>5</v>
      </c>
      <c r="K989" s="2" t="s">
        <v>5</v>
      </c>
      <c r="L989" s="2" t="s">
        <v>7</v>
      </c>
      <c r="N989" s="1" t="s">
        <v>12241</v>
      </c>
      <c r="O989" s="2" t="s">
        <v>2448</v>
      </c>
      <c r="Q989" s="2" t="s">
        <v>1151</v>
      </c>
      <c r="R989" s="2" t="s">
        <v>6994</v>
      </c>
      <c r="S989" s="1" t="s">
        <v>12242</v>
      </c>
      <c r="T989" s="2" t="s">
        <v>13</v>
      </c>
      <c r="U989" s="3">
        <v>1</v>
      </c>
      <c r="V989" s="3">
        <v>4</v>
      </c>
      <c r="W989" s="4" t="s">
        <v>12243</v>
      </c>
      <c r="X989" s="4" t="s">
        <v>12243</v>
      </c>
      <c r="Y989" s="4" t="s">
        <v>12244</v>
      </c>
      <c r="Z989" s="4" t="s">
        <v>12244</v>
      </c>
      <c r="AA989" s="3">
        <v>45</v>
      </c>
      <c r="AB989" s="3">
        <v>40</v>
      </c>
      <c r="AC989" s="3">
        <v>42</v>
      </c>
      <c r="AD989" s="3">
        <v>1</v>
      </c>
      <c r="AE989" s="9">
        <v>1</v>
      </c>
      <c r="AF989" s="9">
        <v>1</v>
      </c>
      <c r="AG989" s="9">
        <v>1</v>
      </c>
      <c r="AH989" s="3">
        <v>0</v>
      </c>
      <c r="AI989" s="3">
        <v>0</v>
      </c>
      <c r="AJ989" s="3">
        <v>1</v>
      </c>
      <c r="AK989" s="3">
        <v>1</v>
      </c>
      <c r="AL989" s="3">
        <v>0</v>
      </c>
      <c r="AM989" s="3">
        <v>0</v>
      </c>
      <c r="AN989" s="3">
        <v>0</v>
      </c>
      <c r="AO989" s="3">
        <v>0</v>
      </c>
      <c r="AP989" s="3">
        <v>0</v>
      </c>
      <c r="AQ989" s="3">
        <v>0</v>
      </c>
      <c r="AR989" s="2" t="s">
        <v>5</v>
      </c>
      <c r="AS989" s="2" t="s">
        <v>46</v>
      </c>
      <c r="AT989" s="5" t="str">
        <f>HYPERLINK("http://catalog.hathitrust.org/Record/101104672","HathiTrust Record")</f>
        <v>HathiTrust Record</v>
      </c>
      <c r="AU989" s="5" t="str">
        <f>HYPERLINK("https://creighton-primo.hosted.exlibrisgroup.com/primo-explore/search?tab=default_tab&amp;search_scope=EVERYTHING&amp;vid=01CRU&amp;lang=en_US&amp;offset=0&amp;query=any,contains,991003286939702656","Catalog Record")</f>
        <v>Catalog Record</v>
      </c>
      <c r="AV989" s="5" t="str">
        <f>HYPERLINK("http://www.worldcat.org/oclc/45247472","WorldCat Record")</f>
        <v>WorldCat Record</v>
      </c>
      <c r="AW989" s="2" t="s">
        <v>12245</v>
      </c>
      <c r="AX989" s="2" t="s">
        <v>12246</v>
      </c>
      <c r="AY989" s="2" t="s">
        <v>12247</v>
      </c>
      <c r="AZ989" s="2" t="s">
        <v>12247</v>
      </c>
      <c r="BA989" s="2" t="s">
        <v>12248</v>
      </c>
      <c r="BB989" s="2" t="s">
        <v>20</v>
      </c>
      <c r="BE989" s="2" t="s">
        <v>12251</v>
      </c>
      <c r="BF989" s="2" t="s">
        <v>12252</v>
      </c>
    </row>
    <row r="990" spans="1:58" ht="39.75" customHeight="1" x14ac:dyDescent="0.25">
      <c r="A990" s="7" t="s">
        <v>5</v>
      </c>
      <c r="B990" s="1" t="s">
        <v>0</v>
      </c>
      <c r="C990" s="1" t="s">
        <v>1</v>
      </c>
      <c r="D990" s="1" t="s">
        <v>12253</v>
      </c>
      <c r="E990" s="1" t="s">
        <v>12254</v>
      </c>
      <c r="F990" s="1" t="s">
        <v>12255</v>
      </c>
      <c r="G990" s="2" t="s">
        <v>2107</v>
      </c>
      <c r="H990" s="2" t="s">
        <v>46</v>
      </c>
      <c r="I990" s="2" t="s">
        <v>6</v>
      </c>
      <c r="J990" s="2" t="s">
        <v>5</v>
      </c>
      <c r="K990" s="2" t="s">
        <v>5</v>
      </c>
      <c r="L990" s="2" t="s">
        <v>7</v>
      </c>
      <c r="N990" s="1" t="s">
        <v>12256</v>
      </c>
      <c r="O990" s="2" t="s">
        <v>2142</v>
      </c>
      <c r="P990" s="1" t="s">
        <v>2908</v>
      </c>
      <c r="Q990" s="2" t="s">
        <v>1151</v>
      </c>
      <c r="R990" s="2" t="s">
        <v>6994</v>
      </c>
      <c r="T990" s="2" t="s">
        <v>13</v>
      </c>
      <c r="U990" s="3">
        <v>1</v>
      </c>
      <c r="V990" s="3">
        <v>2</v>
      </c>
      <c r="W990" s="4" t="s">
        <v>12049</v>
      </c>
      <c r="X990" s="4" t="s">
        <v>12049</v>
      </c>
      <c r="Y990" s="4" t="s">
        <v>12049</v>
      </c>
      <c r="Z990" s="4" t="s">
        <v>12049</v>
      </c>
      <c r="AA990" s="3">
        <v>65</v>
      </c>
      <c r="AB990" s="3">
        <v>61</v>
      </c>
      <c r="AC990" s="3">
        <v>63</v>
      </c>
      <c r="AD990" s="3">
        <v>2</v>
      </c>
      <c r="AE990" s="9">
        <v>2</v>
      </c>
      <c r="AF990" s="9">
        <v>3</v>
      </c>
      <c r="AG990" s="9">
        <v>3</v>
      </c>
      <c r="AH990" s="3">
        <v>0</v>
      </c>
      <c r="AI990" s="3">
        <v>0</v>
      </c>
      <c r="AJ990" s="3">
        <v>1</v>
      </c>
      <c r="AK990" s="3">
        <v>1</v>
      </c>
      <c r="AL990" s="3">
        <v>1</v>
      </c>
      <c r="AM990" s="3">
        <v>1</v>
      </c>
      <c r="AN990" s="3">
        <v>1</v>
      </c>
      <c r="AO990" s="3">
        <v>1</v>
      </c>
      <c r="AP990" s="3">
        <v>0</v>
      </c>
      <c r="AQ990" s="3">
        <v>0</v>
      </c>
      <c r="AR990" s="2" t="s">
        <v>5</v>
      </c>
      <c r="AS990" s="2" t="s">
        <v>46</v>
      </c>
      <c r="AT990" s="5" t="str">
        <f>HYPERLINK("http://catalog.hathitrust.org/Record/004941786","HathiTrust Record")</f>
        <v>HathiTrust Record</v>
      </c>
      <c r="AU990" s="5" t="str">
        <f>HYPERLINK("https://creighton-primo.hosted.exlibrisgroup.com/primo-explore/search?tab=default_tab&amp;search_scope=EVERYTHING&amp;vid=01CRU&amp;lang=en_US&amp;offset=0&amp;query=any,contains,991004460989702656","Catalog Record")</f>
        <v>Catalog Record</v>
      </c>
      <c r="AV990" s="5" t="str">
        <f>HYPERLINK("http://www.worldcat.org/oclc/56719691","WorldCat Record")</f>
        <v>WorldCat Record</v>
      </c>
      <c r="AW990" s="2" t="s">
        <v>12257</v>
      </c>
      <c r="AX990" s="2" t="s">
        <v>12258</v>
      </c>
      <c r="AY990" s="2" t="s">
        <v>12259</v>
      </c>
      <c r="AZ990" s="2" t="s">
        <v>12259</v>
      </c>
      <c r="BA990" s="2" t="s">
        <v>12260</v>
      </c>
      <c r="BB990" s="2" t="s">
        <v>20</v>
      </c>
      <c r="BD990" s="2" t="s">
        <v>12261</v>
      </c>
      <c r="BE990" s="2" t="s">
        <v>12262</v>
      </c>
      <c r="BF990" s="2" t="s">
        <v>12263</v>
      </c>
    </row>
    <row r="991" spans="1:58" ht="39.75" customHeight="1" x14ac:dyDescent="0.25">
      <c r="A991" s="7" t="s">
        <v>5</v>
      </c>
      <c r="B991" s="1" t="s">
        <v>0</v>
      </c>
      <c r="C991" s="1" t="s">
        <v>1</v>
      </c>
      <c r="D991" s="1" t="s">
        <v>12253</v>
      </c>
      <c r="E991" s="1" t="s">
        <v>12254</v>
      </c>
      <c r="F991" s="1" t="s">
        <v>12255</v>
      </c>
      <c r="G991" s="2" t="s">
        <v>2083</v>
      </c>
      <c r="H991" s="2" t="s">
        <v>46</v>
      </c>
      <c r="I991" s="2" t="s">
        <v>6</v>
      </c>
      <c r="J991" s="2" t="s">
        <v>5</v>
      </c>
      <c r="K991" s="2" t="s">
        <v>5</v>
      </c>
      <c r="L991" s="2" t="s">
        <v>7</v>
      </c>
      <c r="N991" s="1" t="s">
        <v>12256</v>
      </c>
      <c r="O991" s="2" t="s">
        <v>2142</v>
      </c>
      <c r="P991" s="1" t="s">
        <v>2908</v>
      </c>
      <c r="Q991" s="2" t="s">
        <v>1151</v>
      </c>
      <c r="R991" s="2" t="s">
        <v>6994</v>
      </c>
      <c r="T991" s="2" t="s">
        <v>13</v>
      </c>
      <c r="U991" s="3">
        <v>1</v>
      </c>
      <c r="V991" s="3">
        <v>2</v>
      </c>
      <c r="W991" s="4" t="s">
        <v>12049</v>
      </c>
      <c r="X991" s="4" t="s">
        <v>12049</v>
      </c>
      <c r="Y991" s="4" t="s">
        <v>12049</v>
      </c>
      <c r="Z991" s="4" t="s">
        <v>12049</v>
      </c>
      <c r="AA991" s="3">
        <v>65</v>
      </c>
      <c r="AB991" s="3">
        <v>61</v>
      </c>
      <c r="AC991" s="3">
        <v>63</v>
      </c>
      <c r="AD991" s="3">
        <v>2</v>
      </c>
      <c r="AE991" s="9">
        <v>2</v>
      </c>
      <c r="AF991" s="9">
        <v>3</v>
      </c>
      <c r="AG991" s="9">
        <v>3</v>
      </c>
      <c r="AH991" s="3">
        <v>0</v>
      </c>
      <c r="AI991" s="3">
        <v>0</v>
      </c>
      <c r="AJ991" s="3">
        <v>1</v>
      </c>
      <c r="AK991" s="3">
        <v>1</v>
      </c>
      <c r="AL991" s="3">
        <v>1</v>
      </c>
      <c r="AM991" s="3">
        <v>1</v>
      </c>
      <c r="AN991" s="3">
        <v>1</v>
      </c>
      <c r="AO991" s="3">
        <v>1</v>
      </c>
      <c r="AP991" s="3">
        <v>0</v>
      </c>
      <c r="AQ991" s="3">
        <v>0</v>
      </c>
      <c r="AR991" s="2" t="s">
        <v>5</v>
      </c>
      <c r="AS991" s="2" t="s">
        <v>46</v>
      </c>
      <c r="AT991" s="5" t="str">
        <f>HYPERLINK("http://catalog.hathitrust.org/Record/004941786","HathiTrust Record")</f>
        <v>HathiTrust Record</v>
      </c>
      <c r="AU991" s="5" t="str">
        <f>HYPERLINK("https://creighton-primo.hosted.exlibrisgroup.com/primo-explore/search?tab=default_tab&amp;search_scope=EVERYTHING&amp;vid=01CRU&amp;lang=en_US&amp;offset=0&amp;query=any,contains,991004460989702656","Catalog Record")</f>
        <v>Catalog Record</v>
      </c>
      <c r="AV991" s="5" t="str">
        <f>HYPERLINK("http://www.worldcat.org/oclc/56719691","WorldCat Record")</f>
        <v>WorldCat Record</v>
      </c>
      <c r="AW991" s="2" t="s">
        <v>12257</v>
      </c>
      <c r="AX991" s="2" t="s">
        <v>12258</v>
      </c>
      <c r="AY991" s="2" t="s">
        <v>12259</v>
      </c>
      <c r="AZ991" s="2" t="s">
        <v>12259</v>
      </c>
      <c r="BA991" s="2" t="s">
        <v>12260</v>
      </c>
      <c r="BB991" s="2" t="s">
        <v>20</v>
      </c>
      <c r="BD991" s="2" t="s">
        <v>12261</v>
      </c>
      <c r="BE991" s="2" t="s">
        <v>12264</v>
      </c>
      <c r="BF991" s="2" t="s">
        <v>12265</v>
      </c>
    </row>
    <row r="992" spans="1:58" ht="39.75" customHeight="1" x14ac:dyDescent="0.25">
      <c r="A992" s="7" t="s">
        <v>5</v>
      </c>
      <c r="B992" s="1" t="s">
        <v>0</v>
      </c>
      <c r="C992" s="1" t="s">
        <v>1</v>
      </c>
      <c r="D992" s="1" t="s">
        <v>12266</v>
      </c>
      <c r="E992" s="1" t="s">
        <v>12267</v>
      </c>
      <c r="F992" s="1" t="s">
        <v>12268</v>
      </c>
      <c r="H992" s="2" t="s">
        <v>5</v>
      </c>
      <c r="I992" s="2" t="s">
        <v>6</v>
      </c>
      <c r="J992" s="2" t="s">
        <v>5</v>
      </c>
      <c r="K992" s="2" t="s">
        <v>5</v>
      </c>
      <c r="L992" s="2" t="s">
        <v>7</v>
      </c>
      <c r="M992" s="1" t="s">
        <v>12269</v>
      </c>
      <c r="N992" s="1" t="s">
        <v>12270</v>
      </c>
      <c r="O992" s="2" t="s">
        <v>1473</v>
      </c>
      <c r="Q992" s="2" t="s">
        <v>1151</v>
      </c>
      <c r="R992" s="2" t="s">
        <v>6916</v>
      </c>
      <c r="S992" s="1" t="s">
        <v>12271</v>
      </c>
      <c r="T992" s="2" t="s">
        <v>13</v>
      </c>
      <c r="U992" s="3">
        <v>1</v>
      </c>
      <c r="V992" s="3">
        <v>1</v>
      </c>
      <c r="W992" s="4" t="s">
        <v>12272</v>
      </c>
      <c r="X992" s="4" t="s">
        <v>12272</v>
      </c>
      <c r="Y992" s="4" t="s">
        <v>12272</v>
      </c>
      <c r="Z992" s="4" t="s">
        <v>12272</v>
      </c>
      <c r="AA992" s="3">
        <v>53</v>
      </c>
      <c r="AB992" s="3">
        <v>49</v>
      </c>
      <c r="AC992" s="3">
        <v>51</v>
      </c>
      <c r="AD992" s="3">
        <v>1</v>
      </c>
      <c r="AE992" s="9">
        <v>1</v>
      </c>
      <c r="AF992" s="9">
        <v>2</v>
      </c>
      <c r="AG992" s="9">
        <v>2</v>
      </c>
      <c r="AH992" s="3">
        <v>0</v>
      </c>
      <c r="AI992" s="3">
        <v>0</v>
      </c>
      <c r="AJ992" s="3">
        <v>2</v>
      </c>
      <c r="AK992" s="3">
        <v>2</v>
      </c>
      <c r="AL992" s="3">
        <v>1</v>
      </c>
      <c r="AM992" s="3">
        <v>1</v>
      </c>
      <c r="AN992" s="3">
        <v>0</v>
      </c>
      <c r="AO992" s="3">
        <v>0</v>
      </c>
      <c r="AP992" s="3">
        <v>0</v>
      </c>
      <c r="AQ992" s="3">
        <v>0</v>
      </c>
      <c r="AR992" s="2" t="s">
        <v>5</v>
      </c>
      <c r="AS992" s="2" t="s">
        <v>5</v>
      </c>
      <c r="AU992" s="5" t="str">
        <f>HYPERLINK("https://creighton-primo.hosted.exlibrisgroup.com/primo-explore/search?tab=default_tab&amp;search_scope=EVERYTHING&amp;vid=01CRU&amp;lang=en_US&amp;offset=0&amp;query=any,contains,991004208769702656","Catalog Record")</f>
        <v>Catalog Record</v>
      </c>
      <c r="AV992" s="5" t="str">
        <f>HYPERLINK("http://www.worldcat.org/oclc/50786459","WorldCat Record")</f>
        <v>WorldCat Record</v>
      </c>
      <c r="AW992" s="2" t="s">
        <v>12273</v>
      </c>
      <c r="AX992" s="2" t="s">
        <v>12274</v>
      </c>
      <c r="AY992" s="2" t="s">
        <v>12275</v>
      </c>
      <c r="AZ992" s="2" t="s">
        <v>12275</v>
      </c>
      <c r="BA992" s="2" t="s">
        <v>12276</v>
      </c>
      <c r="BB992" s="2" t="s">
        <v>20</v>
      </c>
      <c r="BD992" s="2" t="s">
        <v>12277</v>
      </c>
      <c r="BE992" s="2" t="s">
        <v>12278</v>
      </c>
      <c r="BF992" s="2" t="s">
        <v>12279</v>
      </c>
    </row>
    <row r="993" spans="1:58" ht="39.75" customHeight="1" x14ac:dyDescent="0.25">
      <c r="A993" s="7" t="s">
        <v>5</v>
      </c>
      <c r="B993" s="1" t="s">
        <v>0</v>
      </c>
      <c r="C993" s="1" t="s">
        <v>1</v>
      </c>
      <c r="D993" s="1" t="s">
        <v>12280</v>
      </c>
      <c r="E993" s="1" t="s">
        <v>12281</v>
      </c>
      <c r="F993" s="1" t="s">
        <v>12282</v>
      </c>
      <c r="H993" s="2" t="s">
        <v>5</v>
      </c>
      <c r="I993" s="2" t="s">
        <v>6</v>
      </c>
      <c r="J993" s="2" t="s">
        <v>5</v>
      </c>
      <c r="K993" s="2" t="s">
        <v>5</v>
      </c>
      <c r="L993" s="2" t="s">
        <v>7</v>
      </c>
      <c r="M993" s="1" t="s">
        <v>9460</v>
      </c>
      <c r="N993" s="1" t="s">
        <v>12283</v>
      </c>
      <c r="O993" s="2" t="s">
        <v>3941</v>
      </c>
      <c r="Q993" s="2" t="s">
        <v>1151</v>
      </c>
      <c r="R993" s="2" t="s">
        <v>6994</v>
      </c>
      <c r="T993" s="2" t="s">
        <v>13</v>
      </c>
      <c r="U993" s="3">
        <v>1</v>
      </c>
      <c r="V993" s="3">
        <v>1</v>
      </c>
      <c r="W993" s="4" t="s">
        <v>12284</v>
      </c>
      <c r="X993" s="4" t="s">
        <v>12284</v>
      </c>
      <c r="Y993" s="4" t="s">
        <v>12284</v>
      </c>
      <c r="Z993" s="4" t="s">
        <v>12284</v>
      </c>
      <c r="AA993" s="3">
        <v>32</v>
      </c>
      <c r="AB993" s="3">
        <v>30</v>
      </c>
      <c r="AC993" s="3">
        <v>33</v>
      </c>
      <c r="AD993" s="3">
        <v>1</v>
      </c>
      <c r="AE993" s="9">
        <v>1</v>
      </c>
      <c r="AF993" s="9">
        <v>2</v>
      </c>
      <c r="AG993" s="9">
        <v>2</v>
      </c>
      <c r="AH993" s="3">
        <v>0</v>
      </c>
      <c r="AI993" s="3">
        <v>0</v>
      </c>
      <c r="AJ993" s="3">
        <v>2</v>
      </c>
      <c r="AK993" s="3">
        <v>2</v>
      </c>
      <c r="AL993" s="3">
        <v>1</v>
      </c>
      <c r="AM993" s="3">
        <v>1</v>
      </c>
      <c r="AN993" s="3">
        <v>0</v>
      </c>
      <c r="AO993" s="3">
        <v>0</v>
      </c>
      <c r="AP993" s="3">
        <v>0</v>
      </c>
      <c r="AQ993" s="3">
        <v>0</v>
      </c>
      <c r="AR993" s="2" t="s">
        <v>5</v>
      </c>
      <c r="AS993" s="2" t="s">
        <v>46</v>
      </c>
      <c r="AT993" s="5" t="str">
        <f>HYPERLINK("http://catalog.hathitrust.org/Record/007436921","HathiTrust Record")</f>
        <v>HathiTrust Record</v>
      </c>
      <c r="AU993" s="5" t="str">
        <f>HYPERLINK("https://creighton-primo.hosted.exlibrisgroup.com/primo-explore/search?tab=default_tab&amp;search_scope=EVERYTHING&amp;vid=01CRU&amp;lang=en_US&amp;offset=0&amp;query=any,contains,991003963879702656","Catalog Record")</f>
        <v>Catalog Record</v>
      </c>
      <c r="AV993" s="5" t="str">
        <f>HYPERLINK("http://www.worldcat.org/oclc/50949331","WorldCat Record")</f>
        <v>WorldCat Record</v>
      </c>
      <c r="AW993" s="2" t="s">
        <v>12285</v>
      </c>
      <c r="AX993" s="2" t="s">
        <v>12286</v>
      </c>
      <c r="AY993" s="2" t="s">
        <v>12287</v>
      </c>
      <c r="AZ993" s="2" t="s">
        <v>12287</v>
      </c>
      <c r="BA993" s="2" t="s">
        <v>12288</v>
      </c>
      <c r="BB993" s="2" t="s">
        <v>20</v>
      </c>
      <c r="BD993" s="2" t="s">
        <v>12289</v>
      </c>
      <c r="BE993" s="2" t="s">
        <v>12290</v>
      </c>
      <c r="BF993" s="2" t="s">
        <v>12291</v>
      </c>
    </row>
    <row r="994" spans="1:58" ht="39.75" customHeight="1" x14ac:dyDescent="0.25">
      <c r="A994" s="7" t="s">
        <v>5</v>
      </c>
      <c r="B994" s="1" t="s">
        <v>0</v>
      </c>
      <c r="C994" s="1" t="s">
        <v>1</v>
      </c>
      <c r="D994" s="1" t="s">
        <v>12292</v>
      </c>
      <c r="E994" s="1" t="s">
        <v>12293</v>
      </c>
      <c r="F994" s="1" t="s">
        <v>12294</v>
      </c>
      <c r="H994" s="2" t="s">
        <v>5</v>
      </c>
      <c r="I994" s="2" t="s">
        <v>6</v>
      </c>
      <c r="J994" s="2" t="s">
        <v>5</v>
      </c>
      <c r="K994" s="2" t="s">
        <v>5</v>
      </c>
      <c r="L994" s="2" t="s">
        <v>7</v>
      </c>
      <c r="M994" s="1" t="s">
        <v>12295</v>
      </c>
      <c r="N994" s="1" t="s">
        <v>12296</v>
      </c>
      <c r="O994" s="2" t="s">
        <v>508</v>
      </c>
      <c r="P994" s="1" t="s">
        <v>5373</v>
      </c>
      <c r="Q994" s="2" t="s">
        <v>1151</v>
      </c>
      <c r="R994" s="2" t="s">
        <v>6994</v>
      </c>
      <c r="S994" s="1" t="s">
        <v>12297</v>
      </c>
      <c r="T994" s="2" t="s">
        <v>13</v>
      </c>
      <c r="U994" s="3">
        <v>2</v>
      </c>
      <c r="V994" s="3">
        <v>2</v>
      </c>
      <c r="W994" s="4" t="s">
        <v>5590</v>
      </c>
      <c r="X994" s="4" t="s">
        <v>5590</v>
      </c>
      <c r="Y994" s="4" t="s">
        <v>6689</v>
      </c>
      <c r="Z994" s="4" t="s">
        <v>6689</v>
      </c>
      <c r="AA994" s="3">
        <v>26</v>
      </c>
      <c r="AB994" s="3">
        <v>26</v>
      </c>
      <c r="AC994" s="3">
        <v>69</v>
      </c>
      <c r="AD994" s="3">
        <v>1</v>
      </c>
      <c r="AE994" s="9">
        <v>1</v>
      </c>
      <c r="AF994" s="9">
        <v>1</v>
      </c>
      <c r="AG994" s="9">
        <v>2</v>
      </c>
      <c r="AH994" s="3">
        <v>0</v>
      </c>
      <c r="AI994" s="3">
        <v>0</v>
      </c>
      <c r="AJ994" s="3">
        <v>1</v>
      </c>
      <c r="AK994" s="3">
        <v>2</v>
      </c>
      <c r="AL994" s="3">
        <v>0</v>
      </c>
      <c r="AM994" s="3">
        <v>0</v>
      </c>
      <c r="AN994" s="3">
        <v>0</v>
      </c>
      <c r="AO994" s="3">
        <v>0</v>
      </c>
      <c r="AP994" s="3">
        <v>0</v>
      </c>
      <c r="AQ994" s="3">
        <v>0</v>
      </c>
      <c r="AR994" s="2" t="s">
        <v>5</v>
      </c>
      <c r="AS994" s="2" t="s">
        <v>46</v>
      </c>
      <c r="AT994" s="5" t="str">
        <f>HYPERLINK("http://catalog.hathitrust.org/Record/010593000","HathiTrust Record")</f>
        <v>HathiTrust Record</v>
      </c>
      <c r="AU994" s="5" t="str">
        <f>HYPERLINK("https://creighton-primo.hosted.exlibrisgroup.com/primo-explore/search?tab=default_tab&amp;search_scope=EVERYTHING&amp;vid=01CRU&amp;lang=en_US&amp;offset=0&amp;query=any,contains,991003288049702656","Catalog Record")</f>
        <v>Catalog Record</v>
      </c>
      <c r="AV994" s="5" t="str">
        <f>HYPERLINK("http://www.worldcat.org/oclc/45862708","WorldCat Record")</f>
        <v>WorldCat Record</v>
      </c>
      <c r="AW994" s="2" t="s">
        <v>12298</v>
      </c>
      <c r="AX994" s="2" t="s">
        <v>12299</v>
      </c>
      <c r="AY994" s="2" t="s">
        <v>12300</v>
      </c>
      <c r="AZ994" s="2" t="s">
        <v>12300</v>
      </c>
      <c r="BA994" s="2" t="s">
        <v>12301</v>
      </c>
      <c r="BB994" s="2" t="s">
        <v>20</v>
      </c>
      <c r="BE994" s="2" t="s">
        <v>12302</v>
      </c>
      <c r="BF994" s="2" t="s">
        <v>12303</v>
      </c>
    </row>
    <row r="995" spans="1:58" ht="39.75" customHeight="1" x14ac:dyDescent="0.25">
      <c r="A995" s="7" t="s">
        <v>5</v>
      </c>
      <c r="B995" s="1" t="s">
        <v>0</v>
      </c>
      <c r="C995" s="1" t="s">
        <v>1</v>
      </c>
      <c r="D995" s="1" t="s">
        <v>12304</v>
      </c>
      <c r="E995" s="1" t="s">
        <v>12305</v>
      </c>
      <c r="F995" s="1" t="s">
        <v>12306</v>
      </c>
      <c r="H995" s="2" t="s">
        <v>5</v>
      </c>
      <c r="I995" s="2" t="s">
        <v>6</v>
      </c>
      <c r="J995" s="2" t="s">
        <v>5</v>
      </c>
      <c r="K995" s="2" t="s">
        <v>5</v>
      </c>
      <c r="L995" s="2" t="s">
        <v>7</v>
      </c>
      <c r="M995" s="1" t="s">
        <v>12307</v>
      </c>
      <c r="N995" s="1" t="s">
        <v>12308</v>
      </c>
      <c r="O995" s="2" t="s">
        <v>2448</v>
      </c>
      <c r="Q995" s="2" t="s">
        <v>1151</v>
      </c>
      <c r="R995" s="2" t="s">
        <v>6994</v>
      </c>
      <c r="S995" s="1" t="s">
        <v>12309</v>
      </c>
      <c r="T995" s="2" t="s">
        <v>13</v>
      </c>
      <c r="U995" s="3">
        <v>1</v>
      </c>
      <c r="V995" s="3">
        <v>1</v>
      </c>
      <c r="W995" s="4" t="s">
        <v>1096</v>
      </c>
      <c r="X995" s="4" t="s">
        <v>1096</v>
      </c>
      <c r="Y995" s="4" t="s">
        <v>1096</v>
      </c>
      <c r="Z995" s="4" t="s">
        <v>1096</v>
      </c>
      <c r="AA995" s="3">
        <v>29</v>
      </c>
      <c r="AB995" s="3">
        <v>28</v>
      </c>
      <c r="AC995" s="3">
        <v>32</v>
      </c>
      <c r="AD995" s="3">
        <v>1</v>
      </c>
      <c r="AE995" s="9">
        <v>1</v>
      </c>
      <c r="AF995" s="9">
        <v>2</v>
      </c>
      <c r="AG995" s="9">
        <v>2</v>
      </c>
      <c r="AH995" s="3">
        <v>0</v>
      </c>
      <c r="AI995" s="3">
        <v>0</v>
      </c>
      <c r="AJ995" s="3">
        <v>1</v>
      </c>
      <c r="AK995" s="3">
        <v>1</v>
      </c>
      <c r="AL995" s="3">
        <v>1</v>
      </c>
      <c r="AM995" s="3">
        <v>1</v>
      </c>
      <c r="AN995" s="3">
        <v>0</v>
      </c>
      <c r="AO995" s="3">
        <v>0</v>
      </c>
      <c r="AP995" s="3">
        <v>0</v>
      </c>
      <c r="AQ995" s="3">
        <v>0</v>
      </c>
      <c r="AR995" s="2" t="s">
        <v>5</v>
      </c>
      <c r="AS995" s="2" t="s">
        <v>46</v>
      </c>
      <c r="AT995" s="5" t="str">
        <f>HYPERLINK("http://catalog.hathitrust.org/Record/101105022","HathiTrust Record")</f>
        <v>HathiTrust Record</v>
      </c>
      <c r="AU995" s="5" t="str">
        <f>HYPERLINK("https://creighton-primo.hosted.exlibrisgroup.com/primo-explore/search?tab=default_tab&amp;search_scope=EVERYTHING&amp;vid=01CRU&amp;lang=en_US&amp;offset=0&amp;query=any,contains,991003246549702656","Catalog Record")</f>
        <v>Catalog Record</v>
      </c>
      <c r="AV995" s="5" t="str">
        <f>HYPERLINK("http://www.worldcat.org/oclc/44174377","WorldCat Record")</f>
        <v>WorldCat Record</v>
      </c>
      <c r="AW995" s="2" t="s">
        <v>12310</v>
      </c>
      <c r="AX995" s="2" t="s">
        <v>12311</v>
      </c>
      <c r="AY995" s="2" t="s">
        <v>12312</v>
      </c>
      <c r="AZ995" s="2" t="s">
        <v>12312</v>
      </c>
      <c r="BA995" s="2" t="s">
        <v>12313</v>
      </c>
      <c r="BB995" s="2" t="s">
        <v>20</v>
      </c>
      <c r="BD995" s="2" t="s">
        <v>12314</v>
      </c>
      <c r="BE995" s="2" t="s">
        <v>12315</v>
      </c>
      <c r="BF995" s="2" t="s">
        <v>12316</v>
      </c>
    </row>
    <row r="996" spans="1:58" ht="39.75" customHeight="1" x14ac:dyDescent="0.25">
      <c r="A996" s="7" t="s">
        <v>5</v>
      </c>
      <c r="B996" s="1" t="s">
        <v>0</v>
      </c>
      <c r="C996" s="1" t="s">
        <v>1</v>
      </c>
      <c r="D996" s="1" t="s">
        <v>12317</v>
      </c>
      <c r="E996" s="1" t="s">
        <v>12318</v>
      </c>
      <c r="F996" s="1" t="s">
        <v>12319</v>
      </c>
      <c r="H996" s="2" t="s">
        <v>5</v>
      </c>
      <c r="I996" s="2" t="s">
        <v>6</v>
      </c>
      <c r="J996" s="2" t="s">
        <v>5</v>
      </c>
      <c r="K996" s="2" t="s">
        <v>5</v>
      </c>
      <c r="L996" s="2" t="s">
        <v>7</v>
      </c>
      <c r="M996" s="1" t="s">
        <v>12320</v>
      </c>
      <c r="N996" s="1" t="s">
        <v>12321</v>
      </c>
      <c r="O996" s="2" t="s">
        <v>508</v>
      </c>
      <c r="Q996" s="2" t="s">
        <v>1151</v>
      </c>
      <c r="R996" s="2" t="s">
        <v>6994</v>
      </c>
      <c r="T996" s="2" t="s">
        <v>13</v>
      </c>
      <c r="U996" s="3">
        <v>1</v>
      </c>
      <c r="V996" s="3">
        <v>1</v>
      </c>
      <c r="W996" s="4" t="s">
        <v>12322</v>
      </c>
      <c r="X996" s="4" t="s">
        <v>12322</v>
      </c>
      <c r="Y996" s="4" t="s">
        <v>12322</v>
      </c>
      <c r="Z996" s="4" t="s">
        <v>12322</v>
      </c>
      <c r="AA996" s="3">
        <v>26</v>
      </c>
      <c r="AB996" s="3">
        <v>26</v>
      </c>
      <c r="AC996" s="3">
        <v>29</v>
      </c>
      <c r="AD996" s="3">
        <v>1</v>
      </c>
      <c r="AE996" s="9">
        <v>1</v>
      </c>
      <c r="AF996" s="9">
        <v>2</v>
      </c>
      <c r="AG996" s="9">
        <v>2</v>
      </c>
      <c r="AH996" s="3">
        <v>0</v>
      </c>
      <c r="AI996" s="3">
        <v>0</v>
      </c>
      <c r="AJ996" s="3">
        <v>1</v>
      </c>
      <c r="AK996" s="3">
        <v>1</v>
      </c>
      <c r="AL996" s="3">
        <v>1</v>
      </c>
      <c r="AM996" s="3">
        <v>1</v>
      </c>
      <c r="AN996" s="3">
        <v>0</v>
      </c>
      <c r="AO996" s="3">
        <v>0</v>
      </c>
      <c r="AP996" s="3">
        <v>0</v>
      </c>
      <c r="AQ996" s="3">
        <v>0</v>
      </c>
      <c r="AR996" s="2" t="s">
        <v>5</v>
      </c>
      <c r="AS996" s="2" t="s">
        <v>46</v>
      </c>
      <c r="AT996" s="5" t="str">
        <f>HYPERLINK("http://catalog.hathitrust.org/Record/004102083","HathiTrust Record")</f>
        <v>HathiTrust Record</v>
      </c>
      <c r="AU996" s="5" t="str">
        <f>HYPERLINK("https://creighton-primo.hosted.exlibrisgroup.com/primo-explore/search?tab=default_tab&amp;search_scope=EVERYTHING&amp;vid=01CRU&amp;lang=en_US&amp;offset=0&amp;query=any,contains,991003248539702656","Catalog Record")</f>
        <v>Catalog Record</v>
      </c>
      <c r="AV996" s="5" t="str">
        <f>HYPERLINK("http://www.worldcat.org/oclc/44647772","WorldCat Record")</f>
        <v>WorldCat Record</v>
      </c>
      <c r="AW996" s="2" t="s">
        <v>12323</v>
      </c>
      <c r="AX996" s="2" t="s">
        <v>12324</v>
      </c>
      <c r="AY996" s="2" t="s">
        <v>12325</v>
      </c>
      <c r="AZ996" s="2" t="s">
        <v>12325</v>
      </c>
      <c r="BA996" s="2" t="s">
        <v>12326</v>
      </c>
      <c r="BB996" s="2" t="s">
        <v>20</v>
      </c>
      <c r="BD996" s="2" t="s">
        <v>12327</v>
      </c>
      <c r="BE996" s="2" t="s">
        <v>12328</v>
      </c>
      <c r="BF996" s="2" t="s">
        <v>12329</v>
      </c>
    </row>
    <row r="997" spans="1:58" ht="39.75" customHeight="1" x14ac:dyDescent="0.25">
      <c r="A997" s="7" t="s">
        <v>5</v>
      </c>
      <c r="B997" s="1" t="s">
        <v>0</v>
      </c>
      <c r="C997" s="1" t="s">
        <v>1</v>
      </c>
      <c r="D997" s="1" t="s">
        <v>12330</v>
      </c>
      <c r="E997" s="1" t="s">
        <v>12331</v>
      </c>
      <c r="F997" s="1" t="s">
        <v>12332</v>
      </c>
      <c r="H997" s="2" t="s">
        <v>5</v>
      </c>
      <c r="I997" s="2" t="s">
        <v>6</v>
      </c>
      <c r="J997" s="2" t="s">
        <v>5</v>
      </c>
      <c r="K997" s="2" t="s">
        <v>5</v>
      </c>
      <c r="L997" s="2" t="s">
        <v>7</v>
      </c>
      <c r="M997" s="1" t="s">
        <v>12333</v>
      </c>
      <c r="N997" s="1" t="s">
        <v>12334</v>
      </c>
      <c r="O997" s="2" t="s">
        <v>2142</v>
      </c>
      <c r="Q997" s="2" t="s">
        <v>1151</v>
      </c>
      <c r="R997" s="2" t="s">
        <v>6994</v>
      </c>
      <c r="T997" s="2" t="s">
        <v>13</v>
      </c>
      <c r="U997" s="3">
        <v>1</v>
      </c>
      <c r="V997" s="3">
        <v>1</v>
      </c>
      <c r="W997" s="4" t="s">
        <v>2558</v>
      </c>
      <c r="X997" s="4" t="s">
        <v>2558</v>
      </c>
      <c r="Y997" s="4" t="s">
        <v>2558</v>
      </c>
      <c r="Z997" s="4" t="s">
        <v>2558</v>
      </c>
      <c r="AA997" s="3">
        <v>40</v>
      </c>
      <c r="AB997" s="3">
        <v>35</v>
      </c>
      <c r="AC997" s="3">
        <v>38</v>
      </c>
      <c r="AD997" s="3">
        <v>1</v>
      </c>
      <c r="AE997" s="9">
        <v>1</v>
      </c>
      <c r="AF997" s="9">
        <v>2</v>
      </c>
      <c r="AG997" s="9">
        <v>2</v>
      </c>
      <c r="AH997" s="3">
        <v>0</v>
      </c>
      <c r="AI997" s="3">
        <v>0</v>
      </c>
      <c r="AJ997" s="3">
        <v>2</v>
      </c>
      <c r="AK997" s="3">
        <v>2</v>
      </c>
      <c r="AL997" s="3">
        <v>1</v>
      </c>
      <c r="AM997" s="3">
        <v>1</v>
      </c>
      <c r="AN997" s="3">
        <v>0</v>
      </c>
      <c r="AO997" s="3">
        <v>0</v>
      </c>
      <c r="AP997" s="3">
        <v>0</v>
      </c>
      <c r="AQ997" s="3">
        <v>0</v>
      </c>
      <c r="AR997" s="2" t="s">
        <v>5</v>
      </c>
      <c r="AS997" s="2" t="s">
        <v>46</v>
      </c>
      <c r="AT997" s="5" t="str">
        <f>HYPERLINK("http://catalog.hathitrust.org/Record/005103900","HathiTrust Record")</f>
        <v>HathiTrust Record</v>
      </c>
      <c r="AU997" s="5" t="str">
        <f>HYPERLINK("https://creighton-primo.hosted.exlibrisgroup.com/primo-explore/search?tab=default_tab&amp;search_scope=EVERYTHING&amp;vid=01CRU&amp;lang=en_US&amp;offset=0&amp;query=any,contains,991004460609702656","Catalog Record")</f>
        <v>Catalog Record</v>
      </c>
      <c r="AV997" s="5" t="str">
        <f>HYPERLINK("http://www.worldcat.org/oclc/58553857","WorldCat Record")</f>
        <v>WorldCat Record</v>
      </c>
      <c r="AW997" s="2" t="s">
        <v>12335</v>
      </c>
      <c r="AX997" s="2" t="s">
        <v>12336</v>
      </c>
      <c r="AY997" s="2" t="s">
        <v>12337</v>
      </c>
      <c r="AZ997" s="2" t="s">
        <v>12337</v>
      </c>
      <c r="BA997" s="2" t="s">
        <v>12338</v>
      </c>
      <c r="BB997" s="2" t="s">
        <v>20</v>
      </c>
      <c r="BE997" s="2" t="s">
        <v>12339</v>
      </c>
      <c r="BF997" s="2" t="s">
        <v>12340</v>
      </c>
    </row>
    <row r="998" spans="1:58" ht="39.75" customHeight="1" x14ac:dyDescent="0.25">
      <c r="A998" s="7" t="s">
        <v>5</v>
      </c>
      <c r="B998" s="1" t="s">
        <v>0</v>
      </c>
      <c r="C998" s="1" t="s">
        <v>1</v>
      </c>
      <c r="D998" s="1" t="s">
        <v>12341</v>
      </c>
      <c r="E998" s="1" t="s">
        <v>12342</v>
      </c>
      <c r="F998" s="1" t="s">
        <v>12343</v>
      </c>
      <c r="H998" s="2" t="s">
        <v>5</v>
      </c>
      <c r="I998" s="2" t="s">
        <v>6</v>
      </c>
      <c r="J998" s="2" t="s">
        <v>5</v>
      </c>
      <c r="K998" s="2" t="s">
        <v>5</v>
      </c>
      <c r="L998" s="2" t="s">
        <v>7</v>
      </c>
      <c r="M998" s="1" t="s">
        <v>12333</v>
      </c>
      <c r="N998" s="1" t="s">
        <v>12344</v>
      </c>
      <c r="O998" s="2" t="s">
        <v>2448</v>
      </c>
      <c r="P998" s="1" t="s">
        <v>2908</v>
      </c>
      <c r="Q998" s="2" t="s">
        <v>1151</v>
      </c>
      <c r="R998" s="2" t="s">
        <v>6994</v>
      </c>
      <c r="T998" s="2" t="s">
        <v>13</v>
      </c>
      <c r="U998" s="3">
        <v>2</v>
      </c>
      <c r="V998" s="3">
        <v>2</v>
      </c>
      <c r="W998" s="4" t="s">
        <v>12345</v>
      </c>
      <c r="X998" s="4" t="s">
        <v>12345</v>
      </c>
      <c r="Y998" s="4" t="s">
        <v>12346</v>
      </c>
      <c r="Z998" s="4" t="s">
        <v>12346</v>
      </c>
      <c r="AA998" s="3">
        <v>29</v>
      </c>
      <c r="AB998" s="3">
        <v>27</v>
      </c>
      <c r="AC998" s="3">
        <v>29</v>
      </c>
      <c r="AD998" s="3">
        <v>1</v>
      </c>
      <c r="AE998" s="9">
        <v>1</v>
      </c>
      <c r="AF998" s="9">
        <v>2</v>
      </c>
      <c r="AG998" s="9">
        <v>2</v>
      </c>
      <c r="AH998" s="3">
        <v>0</v>
      </c>
      <c r="AI998" s="3">
        <v>0</v>
      </c>
      <c r="AJ998" s="3">
        <v>1</v>
      </c>
      <c r="AK998" s="3">
        <v>1</v>
      </c>
      <c r="AL998" s="3">
        <v>1</v>
      </c>
      <c r="AM998" s="3">
        <v>1</v>
      </c>
      <c r="AN998" s="3">
        <v>0</v>
      </c>
      <c r="AO998" s="3">
        <v>0</v>
      </c>
      <c r="AP998" s="3">
        <v>0</v>
      </c>
      <c r="AQ998" s="3">
        <v>0</v>
      </c>
      <c r="AR998" s="2" t="s">
        <v>5</v>
      </c>
      <c r="AS998" s="2" t="s">
        <v>46</v>
      </c>
      <c r="AT998" s="5" t="str">
        <f>HYPERLINK("http://catalog.hathitrust.org/Record/004102058","HathiTrust Record")</f>
        <v>HathiTrust Record</v>
      </c>
      <c r="AU998" s="5" t="str">
        <f>HYPERLINK("https://creighton-primo.hosted.exlibrisgroup.com/primo-explore/search?tab=default_tab&amp;search_scope=EVERYTHING&amp;vid=01CRU&amp;lang=en_US&amp;offset=0&amp;query=any,contains,991003246989702656","Catalog Record")</f>
        <v>Catalog Record</v>
      </c>
      <c r="AV998" s="5" t="str">
        <f>HYPERLINK("http://www.worldcat.org/oclc/44270521","WorldCat Record")</f>
        <v>WorldCat Record</v>
      </c>
      <c r="AW998" s="2" t="s">
        <v>12347</v>
      </c>
      <c r="AX998" s="2" t="s">
        <v>12348</v>
      </c>
      <c r="AY998" s="2" t="s">
        <v>12349</v>
      </c>
      <c r="AZ998" s="2" t="s">
        <v>12349</v>
      </c>
      <c r="BA998" s="2" t="s">
        <v>12350</v>
      </c>
      <c r="BB998" s="2" t="s">
        <v>20</v>
      </c>
      <c r="BD998" s="2" t="s">
        <v>12351</v>
      </c>
      <c r="BE998" s="2" t="s">
        <v>12352</v>
      </c>
      <c r="BF998" s="2" t="s">
        <v>12353</v>
      </c>
    </row>
    <row r="999" spans="1:58" ht="39.75" customHeight="1" x14ac:dyDescent="0.25">
      <c r="A999" s="7" t="s">
        <v>5</v>
      </c>
      <c r="B999" s="1" t="s">
        <v>0</v>
      </c>
      <c r="C999" s="1" t="s">
        <v>1</v>
      </c>
      <c r="D999" s="1" t="s">
        <v>12354</v>
      </c>
      <c r="E999" s="1" t="s">
        <v>12355</v>
      </c>
      <c r="F999" s="1" t="s">
        <v>12356</v>
      </c>
      <c r="H999" s="2" t="s">
        <v>5</v>
      </c>
      <c r="I999" s="2" t="s">
        <v>6</v>
      </c>
      <c r="J999" s="2" t="s">
        <v>5</v>
      </c>
      <c r="K999" s="2" t="s">
        <v>5</v>
      </c>
      <c r="L999" s="2" t="s">
        <v>7</v>
      </c>
      <c r="M999" s="1" t="s">
        <v>12357</v>
      </c>
      <c r="N999" s="1" t="s">
        <v>12358</v>
      </c>
      <c r="O999" s="2" t="s">
        <v>2142</v>
      </c>
      <c r="P999" s="1" t="s">
        <v>2170</v>
      </c>
      <c r="Q999" s="2" t="s">
        <v>60</v>
      </c>
      <c r="R999" s="2" t="s">
        <v>1123</v>
      </c>
      <c r="T999" s="2" t="s">
        <v>13</v>
      </c>
      <c r="U999" s="3">
        <v>1</v>
      </c>
      <c r="V999" s="3">
        <v>1</v>
      </c>
      <c r="W999" s="4" t="s">
        <v>12359</v>
      </c>
      <c r="X999" s="4" t="s">
        <v>12359</v>
      </c>
      <c r="Y999" s="4" t="s">
        <v>12359</v>
      </c>
      <c r="Z999" s="4" t="s">
        <v>12359</v>
      </c>
      <c r="AA999" s="3">
        <v>135</v>
      </c>
      <c r="AB999" s="3">
        <v>128</v>
      </c>
      <c r="AC999" s="3">
        <v>131</v>
      </c>
      <c r="AD999" s="3">
        <v>2</v>
      </c>
      <c r="AE999" s="9">
        <v>2</v>
      </c>
      <c r="AF999" s="9">
        <v>5</v>
      </c>
      <c r="AG999" s="9">
        <v>5</v>
      </c>
      <c r="AH999" s="3">
        <v>0</v>
      </c>
      <c r="AI999" s="3">
        <v>0</v>
      </c>
      <c r="AJ999" s="3">
        <v>2</v>
      </c>
      <c r="AK999" s="3">
        <v>2</v>
      </c>
      <c r="AL999" s="3">
        <v>3</v>
      </c>
      <c r="AM999" s="3">
        <v>3</v>
      </c>
      <c r="AN999" s="3">
        <v>1</v>
      </c>
      <c r="AO999" s="3">
        <v>1</v>
      </c>
      <c r="AP999" s="3">
        <v>0</v>
      </c>
      <c r="AQ999" s="3">
        <v>0</v>
      </c>
      <c r="AR999" s="2" t="s">
        <v>5</v>
      </c>
      <c r="AS999" s="2" t="s">
        <v>46</v>
      </c>
      <c r="AT999" s="5" t="str">
        <f>HYPERLINK("http://catalog.hathitrust.org/Record/008321781","HathiTrust Record")</f>
        <v>HathiTrust Record</v>
      </c>
      <c r="AU999" s="5" t="str">
        <f>HYPERLINK("https://creighton-primo.hosted.exlibrisgroup.com/primo-explore/search?tab=default_tab&amp;search_scope=EVERYTHING&amp;vid=01CRU&amp;lang=en_US&amp;offset=0&amp;query=any,contains,991004302659702656","Catalog Record")</f>
        <v>Catalog Record</v>
      </c>
      <c r="AV999" s="5" t="str">
        <f>HYPERLINK("http://www.worldcat.org/oclc/52876532","WorldCat Record")</f>
        <v>WorldCat Record</v>
      </c>
      <c r="AW999" s="2" t="s">
        <v>12360</v>
      </c>
      <c r="AX999" s="2" t="s">
        <v>12361</v>
      </c>
      <c r="AY999" s="2" t="s">
        <v>12362</v>
      </c>
      <c r="AZ999" s="2" t="s">
        <v>12362</v>
      </c>
      <c r="BA999" s="2" t="s">
        <v>12363</v>
      </c>
      <c r="BB999" s="2" t="s">
        <v>20</v>
      </c>
      <c r="BD999" s="2" t="s">
        <v>12364</v>
      </c>
      <c r="BE999" s="2" t="s">
        <v>12365</v>
      </c>
      <c r="BF999" s="2" t="s">
        <v>12366</v>
      </c>
    </row>
    <row r="1000" spans="1:58" ht="39.75" customHeight="1" x14ac:dyDescent="0.25">
      <c r="A1000" s="7" t="s">
        <v>5</v>
      </c>
      <c r="B1000" s="1" t="s">
        <v>0</v>
      </c>
      <c r="C1000" s="1" t="s">
        <v>1</v>
      </c>
      <c r="D1000" s="1" t="s">
        <v>12367</v>
      </c>
      <c r="E1000" s="1" t="s">
        <v>12368</v>
      </c>
      <c r="F1000" s="1" t="s">
        <v>12369</v>
      </c>
      <c r="H1000" s="2" t="s">
        <v>5</v>
      </c>
      <c r="I1000" s="2" t="s">
        <v>6</v>
      </c>
      <c r="J1000" s="2" t="s">
        <v>5</v>
      </c>
      <c r="K1000" s="2" t="s">
        <v>5</v>
      </c>
      <c r="L1000" s="2" t="s">
        <v>7</v>
      </c>
      <c r="M1000" s="1" t="s">
        <v>12370</v>
      </c>
      <c r="N1000" s="1" t="s">
        <v>12371</v>
      </c>
      <c r="O1000" s="2" t="s">
        <v>2142</v>
      </c>
      <c r="P1000" s="1" t="s">
        <v>2908</v>
      </c>
      <c r="Q1000" s="2" t="s">
        <v>1151</v>
      </c>
      <c r="R1000" s="2" t="s">
        <v>6994</v>
      </c>
      <c r="T1000" s="2" t="s">
        <v>13</v>
      </c>
      <c r="U1000" s="3">
        <v>1</v>
      </c>
      <c r="V1000" s="3">
        <v>1</v>
      </c>
      <c r="W1000" s="4" t="s">
        <v>12372</v>
      </c>
      <c r="X1000" s="4" t="s">
        <v>12372</v>
      </c>
      <c r="Y1000" s="4" t="s">
        <v>12372</v>
      </c>
      <c r="Z1000" s="4" t="s">
        <v>12372</v>
      </c>
      <c r="AA1000" s="3">
        <v>23</v>
      </c>
      <c r="AB1000" s="3">
        <v>21</v>
      </c>
      <c r="AC1000" s="3">
        <v>23</v>
      </c>
      <c r="AD1000" s="3">
        <v>1</v>
      </c>
      <c r="AE1000" s="9">
        <v>1</v>
      </c>
      <c r="AF1000" s="9">
        <v>2</v>
      </c>
      <c r="AG1000" s="9">
        <v>2</v>
      </c>
      <c r="AH1000" s="3">
        <v>0</v>
      </c>
      <c r="AI1000" s="3">
        <v>0</v>
      </c>
      <c r="AJ1000" s="3">
        <v>2</v>
      </c>
      <c r="AK1000" s="3">
        <v>2</v>
      </c>
      <c r="AL1000" s="3">
        <v>1</v>
      </c>
      <c r="AM1000" s="3">
        <v>1</v>
      </c>
      <c r="AN1000" s="3">
        <v>0</v>
      </c>
      <c r="AO1000" s="3">
        <v>0</v>
      </c>
      <c r="AP1000" s="3">
        <v>0</v>
      </c>
      <c r="AQ1000" s="3">
        <v>0</v>
      </c>
      <c r="AR1000" s="2" t="s">
        <v>5</v>
      </c>
      <c r="AS1000" s="2" t="s">
        <v>46</v>
      </c>
      <c r="AT1000" s="5" t="str">
        <f>HYPERLINK("http://catalog.hathitrust.org/Record/005124493","HathiTrust Record")</f>
        <v>HathiTrust Record</v>
      </c>
      <c r="AU1000" s="5" t="str">
        <f>HYPERLINK("https://creighton-primo.hosted.exlibrisgroup.com/primo-explore/search?tab=default_tab&amp;search_scope=EVERYTHING&amp;vid=01CRU&amp;lang=en_US&amp;offset=0&amp;query=any,contains,991005172239702656","Catalog Record")</f>
        <v>Catalog Record</v>
      </c>
      <c r="AV1000" s="5" t="str">
        <f>HYPERLINK("http://www.worldcat.org/oclc/58027651","WorldCat Record")</f>
        <v>WorldCat Record</v>
      </c>
      <c r="AW1000" s="2" t="s">
        <v>12373</v>
      </c>
      <c r="AX1000" s="2" t="s">
        <v>12374</v>
      </c>
      <c r="AY1000" s="2" t="s">
        <v>12375</v>
      </c>
      <c r="AZ1000" s="2" t="s">
        <v>12375</v>
      </c>
      <c r="BA1000" s="2" t="s">
        <v>12376</v>
      </c>
      <c r="BB1000" s="2" t="s">
        <v>20</v>
      </c>
      <c r="BD1000" s="2" t="s">
        <v>12377</v>
      </c>
      <c r="BE1000" s="2" t="s">
        <v>12378</v>
      </c>
      <c r="BF1000" s="2" t="s">
        <v>12379</v>
      </c>
    </row>
    <row r="1001" spans="1:58" ht="39.75" customHeight="1" x14ac:dyDescent="0.25">
      <c r="A1001" s="7" t="s">
        <v>5</v>
      </c>
      <c r="B1001" s="1" t="s">
        <v>0</v>
      </c>
      <c r="C1001" s="1" t="s">
        <v>1</v>
      </c>
      <c r="D1001" s="1" t="s">
        <v>12380</v>
      </c>
      <c r="E1001" s="1" t="s">
        <v>12381</v>
      </c>
      <c r="F1001" s="1" t="s">
        <v>12382</v>
      </c>
      <c r="H1001" s="2" t="s">
        <v>5</v>
      </c>
      <c r="I1001" s="2" t="s">
        <v>6</v>
      </c>
      <c r="J1001" s="2" t="s">
        <v>5</v>
      </c>
      <c r="K1001" s="2" t="s">
        <v>5</v>
      </c>
      <c r="L1001" s="2" t="s">
        <v>7</v>
      </c>
      <c r="M1001" s="1" t="s">
        <v>12383</v>
      </c>
      <c r="N1001" s="1" t="s">
        <v>12384</v>
      </c>
      <c r="O1001" s="2" t="s">
        <v>3817</v>
      </c>
      <c r="Q1001" s="2" t="s">
        <v>1151</v>
      </c>
      <c r="R1001" s="2" t="s">
        <v>6994</v>
      </c>
      <c r="T1001" s="2" t="s">
        <v>13</v>
      </c>
      <c r="U1001" s="3">
        <v>3</v>
      </c>
      <c r="V1001" s="3">
        <v>3</v>
      </c>
      <c r="W1001" s="4" t="s">
        <v>12385</v>
      </c>
      <c r="X1001" s="4" t="s">
        <v>12385</v>
      </c>
      <c r="Y1001" s="4" t="s">
        <v>12386</v>
      </c>
      <c r="Z1001" s="4" t="s">
        <v>12386</v>
      </c>
      <c r="AA1001" s="3">
        <v>21</v>
      </c>
      <c r="AB1001" s="3">
        <v>21</v>
      </c>
      <c r="AC1001" s="3">
        <v>29</v>
      </c>
      <c r="AD1001" s="3">
        <v>1</v>
      </c>
      <c r="AE1001" s="9">
        <v>1</v>
      </c>
      <c r="AF1001" s="9">
        <v>1</v>
      </c>
      <c r="AG1001" s="9">
        <v>2</v>
      </c>
      <c r="AH1001" s="3">
        <v>0</v>
      </c>
      <c r="AI1001" s="3">
        <v>0</v>
      </c>
      <c r="AJ1001" s="3">
        <v>0</v>
      </c>
      <c r="AK1001" s="3">
        <v>1</v>
      </c>
      <c r="AL1001" s="3">
        <v>1</v>
      </c>
      <c r="AM1001" s="3">
        <v>2</v>
      </c>
      <c r="AN1001" s="3">
        <v>0</v>
      </c>
      <c r="AO1001" s="3">
        <v>0</v>
      </c>
      <c r="AP1001" s="3">
        <v>0</v>
      </c>
      <c r="AQ1001" s="3">
        <v>0</v>
      </c>
      <c r="AR1001" s="2" t="s">
        <v>5</v>
      </c>
      <c r="AS1001" s="2" t="s">
        <v>46</v>
      </c>
      <c r="AT1001" s="5" t="str">
        <f>HYPERLINK("http://catalog.hathitrust.org/Record/003981299","HathiTrust Record")</f>
        <v>HathiTrust Record</v>
      </c>
      <c r="AU1001" s="5" t="str">
        <f>HYPERLINK("https://creighton-primo.hosted.exlibrisgroup.com/primo-explore/search?tab=default_tab&amp;search_scope=EVERYTHING&amp;vid=01CRU&amp;lang=en_US&amp;offset=0&amp;query=any,contains,991005429379702656","Catalog Record")</f>
        <v>Catalog Record</v>
      </c>
      <c r="AV1001" s="5" t="str">
        <f>HYPERLINK("http://www.worldcat.org/oclc/39731623","WorldCat Record")</f>
        <v>WorldCat Record</v>
      </c>
      <c r="AW1001" s="2" t="s">
        <v>12387</v>
      </c>
      <c r="AX1001" s="2" t="s">
        <v>12388</v>
      </c>
      <c r="AY1001" s="2" t="s">
        <v>12389</v>
      </c>
      <c r="AZ1001" s="2" t="s">
        <v>12389</v>
      </c>
      <c r="BA1001" s="2" t="s">
        <v>12390</v>
      </c>
      <c r="BB1001" s="2" t="s">
        <v>20</v>
      </c>
      <c r="BE1001" s="2" t="s">
        <v>12391</v>
      </c>
      <c r="BF1001" s="2" t="s">
        <v>12392</v>
      </c>
    </row>
    <row r="1002" spans="1:58" ht="39.75" customHeight="1" x14ac:dyDescent="0.25">
      <c r="A1002" s="7" t="s">
        <v>5</v>
      </c>
      <c r="B1002" s="1" t="s">
        <v>0</v>
      </c>
      <c r="C1002" s="1" t="s">
        <v>1</v>
      </c>
      <c r="D1002" s="1" t="s">
        <v>12393</v>
      </c>
      <c r="E1002" s="1" t="s">
        <v>12394</v>
      </c>
      <c r="F1002" s="1" t="s">
        <v>12395</v>
      </c>
      <c r="H1002" s="2" t="s">
        <v>5</v>
      </c>
      <c r="I1002" s="2" t="s">
        <v>6</v>
      </c>
      <c r="J1002" s="2" t="s">
        <v>5</v>
      </c>
      <c r="K1002" s="2" t="s">
        <v>5</v>
      </c>
      <c r="L1002" s="2" t="s">
        <v>7</v>
      </c>
      <c r="M1002" s="1" t="s">
        <v>12396</v>
      </c>
      <c r="N1002" s="1" t="s">
        <v>12397</v>
      </c>
      <c r="O1002" s="2" t="s">
        <v>508</v>
      </c>
      <c r="P1002" s="1" t="s">
        <v>12398</v>
      </c>
      <c r="Q1002" s="2" t="s">
        <v>1151</v>
      </c>
      <c r="R1002" s="2" t="s">
        <v>6994</v>
      </c>
      <c r="T1002" s="2" t="s">
        <v>13</v>
      </c>
      <c r="U1002" s="3">
        <v>1</v>
      </c>
      <c r="V1002" s="3">
        <v>1</v>
      </c>
      <c r="W1002" s="4" t="s">
        <v>12399</v>
      </c>
      <c r="X1002" s="4" t="s">
        <v>12399</v>
      </c>
      <c r="Y1002" s="4" t="s">
        <v>12399</v>
      </c>
      <c r="Z1002" s="4" t="s">
        <v>12399</v>
      </c>
      <c r="AA1002" s="3">
        <v>31</v>
      </c>
      <c r="AB1002" s="3">
        <v>28</v>
      </c>
      <c r="AC1002" s="3">
        <v>31</v>
      </c>
      <c r="AD1002" s="3">
        <v>1</v>
      </c>
      <c r="AE1002" s="9">
        <v>1</v>
      </c>
      <c r="AF1002" s="9">
        <v>1</v>
      </c>
      <c r="AG1002" s="9">
        <v>1</v>
      </c>
      <c r="AH1002" s="3">
        <v>0</v>
      </c>
      <c r="AI1002" s="3">
        <v>0</v>
      </c>
      <c r="AJ1002" s="3">
        <v>1</v>
      </c>
      <c r="AK1002" s="3">
        <v>1</v>
      </c>
      <c r="AL1002" s="3">
        <v>0</v>
      </c>
      <c r="AM1002" s="3">
        <v>0</v>
      </c>
      <c r="AN1002" s="3">
        <v>0</v>
      </c>
      <c r="AO1002" s="3">
        <v>0</v>
      </c>
      <c r="AP1002" s="3">
        <v>0</v>
      </c>
      <c r="AQ1002" s="3">
        <v>0</v>
      </c>
      <c r="AR1002" s="2" t="s">
        <v>5</v>
      </c>
      <c r="AS1002" s="2" t="s">
        <v>46</v>
      </c>
      <c r="AT1002" s="5" t="str">
        <f>HYPERLINK("http://catalog.hathitrust.org/Record/004204604","HathiTrust Record")</f>
        <v>HathiTrust Record</v>
      </c>
      <c r="AU1002" s="5" t="str">
        <f>HYPERLINK("https://creighton-primo.hosted.exlibrisgroup.com/primo-explore/search?tab=default_tab&amp;search_scope=EVERYTHING&amp;vid=01CRU&amp;lang=en_US&amp;offset=0&amp;query=any,contains,991003743879702656","Catalog Record")</f>
        <v>Catalog Record</v>
      </c>
      <c r="AV1002" s="5" t="str">
        <f>HYPERLINK("http://www.worldcat.org/oclc/48475369","WorldCat Record")</f>
        <v>WorldCat Record</v>
      </c>
      <c r="AW1002" s="2" t="s">
        <v>12400</v>
      </c>
      <c r="AX1002" s="2" t="s">
        <v>12401</v>
      </c>
      <c r="AY1002" s="2" t="s">
        <v>12402</v>
      </c>
      <c r="AZ1002" s="2" t="s">
        <v>12402</v>
      </c>
      <c r="BA1002" s="2" t="s">
        <v>12403</v>
      </c>
      <c r="BB1002" s="2" t="s">
        <v>20</v>
      </c>
      <c r="BD1002" s="2" t="s">
        <v>12404</v>
      </c>
      <c r="BE1002" s="2" t="s">
        <v>12405</v>
      </c>
      <c r="BF1002" s="2" t="s">
        <v>12406</v>
      </c>
    </row>
    <row r="1003" spans="1:58" ht="39.75" customHeight="1" x14ac:dyDescent="0.25">
      <c r="A1003" s="7" t="s">
        <v>5</v>
      </c>
      <c r="B1003" s="1" t="s">
        <v>0</v>
      </c>
      <c r="C1003" s="1" t="s">
        <v>1</v>
      </c>
      <c r="D1003" s="1" t="s">
        <v>12407</v>
      </c>
      <c r="E1003" s="1" t="s">
        <v>12408</v>
      </c>
      <c r="F1003" s="1" t="s">
        <v>12409</v>
      </c>
      <c r="H1003" s="2" t="s">
        <v>5</v>
      </c>
      <c r="I1003" s="2" t="s">
        <v>6</v>
      </c>
      <c r="J1003" s="2" t="s">
        <v>5</v>
      </c>
      <c r="K1003" s="2" t="s">
        <v>5</v>
      </c>
      <c r="L1003" s="2" t="s">
        <v>7</v>
      </c>
      <c r="M1003" s="1" t="s">
        <v>12410</v>
      </c>
      <c r="N1003" s="1" t="s">
        <v>12411</v>
      </c>
      <c r="O1003" s="2" t="s">
        <v>569</v>
      </c>
      <c r="Q1003" s="2" t="s">
        <v>1151</v>
      </c>
      <c r="R1003" s="2" t="s">
        <v>6994</v>
      </c>
      <c r="S1003" s="1" t="s">
        <v>12412</v>
      </c>
      <c r="T1003" s="2" t="s">
        <v>13</v>
      </c>
      <c r="U1003" s="3">
        <v>1</v>
      </c>
      <c r="V1003" s="3">
        <v>1</v>
      </c>
      <c r="W1003" s="4" t="s">
        <v>12413</v>
      </c>
      <c r="X1003" s="4" t="s">
        <v>12413</v>
      </c>
      <c r="Y1003" s="4" t="s">
        <v>12413</v>
      </c>
      <c r="Z1003" s="4" t="s">
        <v>12413</v>
      </c>
      <c r="AA1003" s="3">
        <v>10</v>
      </c>
      <c r="AB1003" s="3">
        <v>10</v>
      </c>
      <c r="AC1003" s="3">
        <v>59</v>
      </c>
      <c r="AD1003" s="3">
        <v>1</v>
      </c>
      <c r="AE1003" s="9">
        <v>2</v>
      </c>
      <c r="AF1003" s="9">
        <v>1</v>
      </c>
      <c r="AG1003" s="9">
        <v>4</v>
      </c>
      <c r="AH1003" s="3">
        <v>0</v>
      </c>
      <c r="AI1003" s="3">
        <v>0</v>
      </c>
      <c r="AJ1003" s="3">
        <v>1</v>
      </c>
      <c r="AK1003" s="3">
        <v>2</v>
      </c>
      <c r="AL1003" s="3">
        <v>0</v>
      </c>
      <c r="AM1003" s="3">
        <v>1</v>
      </c>
      <c r="AN1003" s="3">
        <v>0</v>
      </c>
      <c r="AO1003" s="3">
        <v>1</v>
      </c>
      <c r="AP1003" s="3">
        <v>0</v>
      </c>
      <c r="AQ1003" s="3">
        <v>0</v>
      </c>
      <c r="AR1003" s="2" t="s">
        <v>5</v>
      </c>
      <c r="AS1003" s="2" t="s">
        <v>46</v>
      </c>
      <c r="AT1003" s="5" t="str">
        <f>HYPERLINK("http://catalog.hathitrust.org/Record/004048048","HathiTrust Record")</f>
        <v>HathiTrust Record</v>
      </c>
      <c r="AU1003" s="5" t="str">
        <f>HYPERLINK("https://creighton-primo.hosted.exlibrisgroup.com/primo-explore/search?tab=default_tab&amp;search_scope=EVERYTHING&amp;vid=01CRU&amp;lang=en_US&amp;offset=0&amp;query=any,contains,991003288479702656","Catalog Record")</f>
        <v>Catalog Record</v>
      </c>
      <c r="AV1003" s="5" t="str">
        <f>HYPERLINK("http://www.worldcat.org/oclc/44127700","WorldCat Record")</f>
        <v>WorldCat Record</v>
      </c>
      <c r="AW1003" s="2" t="s">
        <v>12414</v>
      </c>
      <c r="AX1003" s="2" t="s">
        <v>12415</v>
      </c>
      <c r="AY1003" s="2" t="s">
        <v>12416</v>
      </c>
      <c r="AZ1003" s="2" t="s">
        <v>12416</v>
      </c>
      <c r="BA1003" s="2" t="s">
        <v>12417</v>
      </c>
      <c r="BB1003" s="2" t="s">
        <v>20</v>
      </c>
      <c r="BD1003" s="2" t="s">
        <v>12418</v>
      </c>
      <c r="BE1003" s="2" t="s">
        <v>12419</v>
      </c>
      <c r="BF1003" s="2" t="s">
        <v>12420</v>
      </c>
    </row>
    <row r="1004" spans="1:58" ht="39.75" customHeight="1" x14ac:dyDescent="0.25">
      <c r="A1004" s="7" t="s">
        <v>5</v>
      </c>
      <c r="B1004" s="1" t="s">
        <v>0</v>
      </c>
      <c r="C1004" s="1" t="s">
        <v>1</v>
      </c>
      <c r="D1004" s="1" t="s">
        <v>12421</v>
      </c>
      <c r="E1004" s="1" t="s">
        <v>12422</v>
      </c>
      <c r="F1004" s="1" t="s">
        <v>12423</v>
      </c>
      <c r="H1004" s="2" t="s">
        <v>5</v>
      </c>
      <c r="I1004" s="2" t="s">
        <v>6</v>
      </c>
      <c r="J1004" s="2" t="s">
        <v>5</v>
      </c>
      <c r="K1004" s="2" t="s">
        <v>5</v>
      </c>
      <c r="L1004" s="2" t="s">
        <v>7</v>
      </c>
      <c r="M1004" s="1" t="s">
        <v>6992</v>
      </c>
      <c r="N1004" s="1" t="s">
        <v>12424</v>
      </c>
      <c r="O1004" s="2" t="s">
        <v>322</v>
      </c>
      <c r="Q1004" s="2" t="s">
        <v>1151</v>
      </c>
      <c r="R1004" s="2" t="s">
        <v>4146</v>
      </c>
      <c r="S1004" s="1" t="s">
        <v>12425</v>
      </c>
      <c r="T1004" s="2" t="s">
        <v>13</v>
      </c>
      <c r="U1004" s="3">
        <v>4</v>
      </c>
      <c r="V1004" s="3">
        <v>4</v>
      </c>
      <c r="W1004" s="4" t="s">
        <v>2989</v>
      </c>
      <c r="X1004" s="4" t="s">
        <v>2989</v>
      </c>
      <c r="Y1004" s="4" t="s">
        <v>4621</v>
      </c>
      <c r="Z1004" s="4" t="s">
        <v>4621</v>
      </c>
      <c r="AA1004" s="3">
        <v>98</v>
      </c>
      <c r="AB1004" s="3">
        <v>85</v>
      </c>
      <c r="AC1004" s="3">
        <v>88</v>
      </c>
      <c r="AD1004" s="3">
        <v>1</v>
      </c>
      <c r="AE1004" s="9">
        <v>1</v>
      </c>
      <c r="AF1004" s="9">
        <v>6</v>
      </c>
      <c r="AG1004" s="9">
        <v>6</v>
      </c>
      <c r="AH1004" s="3">
        <v>2</v>
      </c>
      <c r="AI1004" s="3">
        <v>2</v>
      </c>
      <c r="AJ1004" s="3">
        <v>4</v>
      </c>
      <c r="AK1004" s="3">
        <v>4</v>
      </c>
      <c r="AL1004" s="3">
        <v>3</v>
      </c>
      <c r="AM1004" s="3">
        <v>3</v>
      </c>
      <c r="AN1004" s="3">
        <v>0</v>
      </c>
      <c r="AO1004" s="3">
        <v>0</v>
      </c>
      <c r="AP1004" s="3">
        <v>0</v>
      </c>
      <c r="AQ1004" s="3">
        <v>0</v>
      </c>
      <c r="AR1004" s="2" t="s">
        <v>5</v>
      </c>
      <c r="AS1004" s="2" t="s">
        <v>46</v>
      </c>
      <c r="AT1004" s="5" t="str">
        <f>HYPERLINK("http://catalog.hathitrust.org/Record/008321779","HathiTrust Record")</f>
        <v>HathiTrust Record</v>
      </c>
      <c r="AU1004" s="5" t="str">
        <f>HYPERLINK("https://creighton-primo.hosted.exlibrisgroup.com/primo-explore/search?tab=default_tab&amp;search_scope=EVERYTHING&amp;vid=01CRU&amp;lang=en_US&amp;offset=0&amp;query=any,contains,991002339389702656","Catalog Record")</f>
        <v>Catalog Record</v>
      </c>
      <c r="AV1004" s="5" t="str">
        <f>HYPERLINK("http://www.worldcat.org/oclc/30453103","WorldCat Record")</f>
        <v>WorldCat Record</v>
      </c>
      <c r="AW1004" s="2" t="s">
        <v>12426</v>
      </c>
      <c r="AX1004" s="2" t="s">
        <v>12427</v>
      </c>
      <c r="AY1004" s="2" t="s">
        <v>12428</v>
      </c>
      <c r="AZ1004" s="2" t="s">
        <v>12428</v>
      </c>
      <c r="BA1004" s="2" t="s">
        <v>12429</v>
      </c>
      <c r="BB1004" s="2" t="s">
        <v>20</v>
      </c>
      <c r="BD1004" s="2" t="s">
        <v>12430</v>
      </c>
      <c r="BE1004" s="2" t="s">
        <v>12431</v>
      </c>
      <c r="BF1004" s="2" t="s">
        <v>12432</v>
      </c>
    </row>
    <row r="1005" spans="1:58" ht="39.75" customHeight="1" x14ac:dyDescent="0.25">
      <c r="A1005" s="7" t="s">
        <v>5</v>
      </c>
      <c r="B1005" s="1" t="s">
        <v>0</v>
      </c>
      <c r="C1005" s="1" t="s">
        <v>1</v>
      </c>
      <c r="D1005" s="1" t="s">
        <v>12433</v>
      </c>
      <c r="E1005" s="1" t="s">
        <v>12434</v>
      </c>
      <c r="F1005" s="1" t="s">
        <v>12435</v>
      </c>
      <c r="H1005" s="2" t="s">
        <v>5</v>
      </c>
      <c r="I1005" s="2" t="s">
        <v>6</v>
      </c>
      <c r="J1005" s="2" t="s">
        <v>5</v>
      </c>
      <c r="K1005" s="2" t="s">
        <v>5</v>
      </c>
      <c r="L1005" s="2" t="s">
        <v>7</v>
      </c>
      <c r="M1005" s="1" t="s">
        <v>6992</v>
      </c>
      <c r="N1005" s="1" t="s">
        <v>12436</v>
      </c>
      <c r="O1005" s="2" t="s">
        <v>6611</v>
      </c>
      <c r="P1005" s="1" t="s">
        <v>12437</v>
      </c>
      <c r="Q1005" s="2" t="s">
        <v>1151</v>
      </c>
      <c r="R1005" s="2" t="s">
        <v>6994</v>
      </c>
      <c r="T1005" s="2" t="s">
        <v>13</v>
      </c>
      <c r="U1005" s="3">
        <v>2</v>
      </c>
      <c r="V1005" s="3">
        <v>2</v>
      </c>
      <c r="W1005" s="4" t="s">
        <v>12438</v>
      </c>
      <c r="X1005" s="4" t="s">
        <v>12438</v>
      </c>
      <c r="Y1005" s="4" t="s">
        <v>12439</v>
      </c>
      <c r="Z1005" s="4" t="s">
        <v>12439</v>
      </c>
      <c r="AA1005" s="3">
        <v>5</v>
      </c>
      <c r="AB1005" s="3">
        <v>5</v>
      </c>
      <c r="AC1005" s="3">
        <v>75</v>
      </c>
      <c r="AD1005" s="3">
        <v>1</v>
      </c>
      <c r="AE1005" s="9">
        <v>1</v>
      </c>
      <c r="AF1005" s="9">
        <v>0</v>
      </c>
      <c r="AG1005" s="9">
        <v>3</v>
      </c>
      <c r="AH1005" s="3">
        <v>0</v>
      </c>
      <c r="AI1005" s="3">
        <v>0</v>
      </c>
      <c r="AJ1005" s="3">
        <v>0</v>
      </c>
      <c r="AK1005" s="3">
        <v>2</v>
      </c>
      <c r="AL1005" s="3">
        <v>0</v>
      </c>
      <c r="AM1005" s="3">
        <v>1</v>
      </c>
      <c r="AN1005" s="3">
        <v>0</v>
      </c>
      <c r="AO1005" s="3">
        <v>0</v>
      </c>
      <c r="AP1005" s="3">
        <v>0</v>
      </c>
      <c r="AQ1005" s="3">
        <v>0</v>
      </c>
      <c r="AR1005" s="2" t="s">
        <v>5</v>
      </c>
      <c r="AS1005" s="2" t="s">
        <v>5</v>
      </c>
      <c r="AU1005" s="5" t="str">
        <f>HYPERLINK("https://creighton-primo.hosted.exlibrisgroup.com/primo-explore/search?tab=default_tab&amp;search_scope=EVERYTHING&amp;vid=01CRU&amp;lang=en_US&amp;offset=0&amp;query=any,contains,991002594159702656","Catalog Record")</f>
        <v>Catalog Record</v>
      </c>
      <c r="AV1005" s="5" t="str">
        <f>HYPERLINK("http://www.worldcat.org/oclc/33974207","WorldCat Record")</f>
        <v>WorldCat Record</v>
      </c>
      <c r="AW1005" s="2" t="s">
        <v>12440</v>
      </c>
      <c r="AX1005" s="2" t="s">
        <v>12441</v>
      </c>
      <c r="AY1005" s="2" t="s">
        <v>12442</v>
      </c>
      <c r="AZ1005" s="2" t="s">
        <v>12442</v>
      </c>
      <c r="BA1005" s="2" t="s">
        <v>12443</v>
      </c>
      <c r="BB1005" s="2" t="s">
        <v>20</v>
      </c>
      <c r="BE1005" s="2" t="s">
        <v>12444</v>
      </c>
      <c r="BF1005" s="2" t="s">
        <v>12445</v>
      </c>
    </row>
    <row r="1006" spans="1:58" ht="39.75" customHeight="1" x14ac:dyDescent="0.25">
      <c r="A1006" s="7" t="s">
        <v>5</v>
      </c>
      <c r="B1006" s="1" t="s">
        <v>0</v>
      </c>
      <c r="C1006" s="1" t="s">
        <v>1</v>
      </c>
      <c r="D1006" s="1" t="s">
        <v>12446</v>
      </c>
      <c r="E1006" s="1" t="s">
        <v>12447</v>
      </c>
      <c r="F1006" s="1" t="s">
        <v>12448</v>
      </c>
      <c r="H1006" s="2" t="s">
        <v>5</v>
      </c>
      <c r="I1006" s="2" t="s">
        <v>6</v>
      </c>
      <c r="J1006" s="2" t="s">
        <v>5</v>
      </c>
      <c r="K1006" s="2" t="s">
        <v>5</v>
      </c>
      <c r="L1006" s="2" t="s">
        <v>7</v>
      </c>
      <c r="M1006" s="1" t="s">
        <v>12449</v>
      </c>
      <c r="N1006" s="1" t="s">
        <v>12450</v>
      </c>
      <c r="O1006" s="2" t="s">
        <v>6611</v>
      </c>
      <c r="P1006" s="1" t="s">
        <v>2908</v>
      </c>
      <c r="Q1006" s="2" t="s">
        <v>1151</v>
      </c>
      <c r="R1006" s="2" t="s">
        <v>6916</v>
      </c>
      <c r="S1006" s="1" t="s">
        <v>12229</v>
      </c>
      <c r="T1006" s="2" t="s">
        <v>13</v>
      </c>
      <c r="U1006" s="3">
        <v>2</v>
      </c>
      <c r="V1006" s="3">
        <v>2</v>
      </c>
      <c r="W1006" s="4" t="s">
        <v>12438</v>
      </c>
      <c r="X1006" s="4" t="s">
        <v>12438</v>
      </c>
      <c r="Y1006" s="4" t="s">
        <v>8810</v>
      </c>
      <c r="Z1006" s="4" t="s">
        <v>8810</v>
      </c>
      <c r="AA1006" s="3">
        <v>61</v>
      </c>
      <c r="AB1006" s="3">
        <v>53</v>
      </c>
      <c r="AC1006" s="3">
        <v>55</v>
      </c>
      <c r="AD1006" s="3">
        <v>1</v>
      </c>
      <c r="AE1006" s="9">
        <v>1</v>
      </c>
      <c r="AF1006" s="9">
        <v>3</v>
      </c>
      <c r="AG1006" s="9">
        <v>3</v>
      </c>
      <c r="AH1006" s="3">
        <v>0</v>
      </c>
      <c r="AI1006" s="3">
        <v>0</v>
      </c>
      <c r="AJ1006" s="3">
        <v>2</v>
      </c>
      <c r="AK1006" s="3">
        <v>2</v>
      </c>
      <c r="AL1006" s="3">
        <v>2</v>
      </c>
      <c r="AM1006" s="3">
        <v>2</v>
      </c>
      <c r="AN1006" s="3">
        <v>0</v>
      </c>
      <c r="AO1006" s="3">
        <v>0</v>
      </c>
      <c r="AP1006" s="3">
        <v>0</v>
      </c>
      <c r="AQ1006" s="3">
        <v>0</v>
      </c>
      <c r="AR1006" s="2" t="s">
        <v>5</v>
      </c>
      <c r="AS1006" s="2" t="s">
        <v>46</v>
      </c>
      <c r="AT1006" s="5" t="str">
        <f>HYPERLINK("http://catalog.hathitrust.org/Record/101104747","HathiTrust Record")</f>
        <v>HathiTrust Record</v>
      </c>
      <c r="AU1006" s="5" t="str">
        <f>HYPERLINK("https://creighton-primo.hosted.exlibrisgroup.com/primo-explore/search?tab=default_tab&amp;search_scope=EVERYTHING&amp;vid=01CRU&amp;lang=en_US&amp;offset=0&amp;query=any,contains,991002697149702656","Catalog Record")</f>
        <v>Catalog Record</v>
      </c>
      <c r="AV1006" s="5" t="str">
        <f>HYPERLINK("http://www.worldcat.org/oclc/35212880","WorldCat Record")</f>
        <v>WorldCat Record</v>
      </c>
      <c r="AW1006" s="2" t="s">
        <v>12451</v>
      </c>
      <c r="AX1006" s="2" t="s">
        <v>12452</v>
      </c>
      <c r="AY1006" s="2" t="s">
        <v>12453</v>
      </c>
      <c r="AZ1006" s="2" t="s">
        <v>12453</v>
      </c>
      <c r="BA1006" s="2" t="s">
        <v>12454</v>
      </c>
      <c r="BB1006" s="2" t="s">
        <v>20</v>
      </c>
      <c r="BE1006" s="2" t="s">
        <v>12455</v>
      </c>
      <c r="BF1006" s="2" t="s">
        <v>12456</v>
      </c>
    </row>
    <row r="1007" spans="1:58" ht="39.75" customHeight="1" x14ac:dyDescent="0.25">
      <c r="A1007" s="7" t="s">
        <v>5</v>
      </c>
      <c r="B1007" s="1" t="s">
        <v>0</v>
      </c>
      <c r="C1007" s="1" t="s">
        <v>1</v>
      </c>
      <c r="D1007" s="1" t="s">
        <v>12457</v>
      </c>
      <c r="E1007" s="1" t="s">
        <v>12458</v>
      </c>
      <c r="F1007" s="1" t="s">
        <v>12459</v>
      </c>
      <c r="H1007" s="2" t="s">
        <v>5</v>
      </c>
      <c r="I1007" s="2" t="s">
        <v>6</v>
      </c>
      <c r="J1007" s="2" t="s">
        <v>5</v>
      </c>
      <c r="K1007" s="2" t="s">
        <v>46</v>
      </c>
      <c r="L1007" s="2" t="s">
        <v>7</v>
      </c>
      <c r="M1007" s="1" t="s">
        <v>12460</v>
      </c>
      <c r="N1007" s="1" t="s">
        <v>12461</v>
      </c>
      <c r="O1007" s="2" t="s">
        <v>3941</v>
      </c>
      <c r="Q1007" s="2" t="s">
        <v>1151</v>
      </c>
      <c r="R1007" s="2" t="s">
        <v>6994</v>
      </c>
      <c r="T1007" s="2" t="s">
        <v>13</v>
      </c>
      <c r="U1007" s="3">
        <v>2</v>
      </c>
      <c r="V1007" s="3">
        <v>2</v>
      </c>
      <c r="W1007" s="4" t="s">
        <v>873</v>
      </c>
      <c r="X1007" s="4" t="s">
        <v>873</v>
      </c>
      <c r="Y1007" s="4" t="s">
        <v>12244</v>
      </c>
      <c r="Z1007" s="4" t="s">
        <v>12244</v>
      </c>
      <c r="AA1007" s="3">
        <v>16</v>
      </c>
      <c r="AB1007" s="3">
        <v>16</v>
      </c>
      <c r="AC1007" s="3">
        <v>71</v>
      </c>
      <c r="AD1007" s="3">
        <v>1</v>
      </c>
      <c r="AE1007" s="9">
        <v>1</v>
      </c>
      <c r="AF1007" s="9">
        <v>0</v>
      </c>
      <c r="AG1007" s="9">
        <v>3</v>
      </c>
      <c r="AH1007" s="3">
        <v>0</v>
      </c>
      <c r="AI1007" s="3">
        <v>0</v>
      </c>
      <c r="AJ1007" s="3">
        <v>0</v>
      </c>
      <c r="AK1007" s="3">
        <v>2</v>
      </c>
      <c r="AL1007" s="3">
        <v>0</v>
      </c>
      <c r="AM1007" s="3">
        <v>1</v>
      </c>
      <c r="AN1007" s="3">
        <v>0</v>
      </c>
      <c r="AO1007" s="3">
        <v>0</v>
      </c>
      <c r="AP1007" s="3">
        <v>0</v>
      </c>
      <c r="AQ1007" s="3">
        <v>0</v>
      </c>
      <c r="AR1007" s="2" t="s">
        <v>5</v>
      </c>
      <c r="AS1007" s="2" t="s">
        <v>46</v>
      </c>
      <c r="AT1007" s="5" t="str">
        <f>HYPERLINK("http://catalog.hathitrust.org/Record/101104754","HathiTrust Record")</f>
        <v>HathiTrust Record</v>
      </c>
      <c r="AU1007" s="5" t="str">
        <f>HYPERLINK("https://creighton-primo.hosted.exlibrisgroup.com/primo-explore/search?tab=default_tab&amp;search_scope=EVERYTHING&amp;vid=01CRU&amp;lang=en_US&amp;offset=0&amp;query=any,contains,991003560419702656","Catalog Record")</f>
        <v>Catalog Record</v>
      </c>
      <c r="AV1007" s="5" t="str">
        <f>HYPERLINK("http://www.worldcat.org/oclc/47058461","WorldCat Record")</f>
        <v>WorldCat Record</v>
      </c>
      <c r="AW1007" s="2" t="s">
        <v>12462</v>
      </c>
      <c r="AX1007" s="2" t="s">
        <v>12463</v>
      </c>
      <c r="AY1007" s="2" t="s">
        <v>12464</v>
      </c>
      <c r="AZ1007" s="2" t="s">
        <v>12464</v>
      </c>
      <c r="BA1007" s="2" t="s">
        <v>12465</v>
      </c>
      <c r="BB1007" s="2" t="s">
        <v>20</v>
      </c>
      <c r="BD1007" s="2" t="s">
        <v>12466</v>
      </c>
      <c r="BE1007" s="2" t="s">
        <v>12467</v>
      </c>
      <c r="BF1007" s="2" t="s">
        <v>12468</v>
      </c>
    </row>
    <row r="1008" spans="1:58" ht="39.75" customHeight="1" x14ac:dyDescent="0.25">
      <c r="A1008" s="7" t="s">
        <v>5</v>
      </c>
      <c r="B1008" s="1" t="s">
        <v>0</v>
      </c>
      <c r="C1008" s="1" t="s">
        <v>1</v>
      </c>
      <c r="D1008" s="1" t="s">
        <v>12469</v>
      </c>
      <c r="E1008" s="1" t="s">
        <v>12470</v>
      </c>
      <c r="F1008" s="1" t="s">
        <v>12471</v>
      </c>
      <c r="H1008" s="2" t="s">
        <v>5</v>
      </c>
      <c r="I1008" s="2" t="s">
        <v>6</v>
      </c>
      <c r="J1008" s="2" t="s">
        <v>5</v>
      </c>
      <c r="K1008" s="2" t="s">
        <v>5</v>
      </c>
      <c r="L1008" s="2" t="s">
        <v>7</v>
      </c>
      <c r="M1008" s="1" t="s">
        <v>12472</v>
      </c>
      <c r="N1008" s="1" t="s">
        <v>12473</v>
      </c>
      <c r="O1008" s="2" t="s">
        <v>1515</v>
      </c>
      <c r="P1008" s="1" t="s">
        <v>5373</v>
      </c>
      <c r="Q1008" s="2" t="s">
        <v>1151</v>
      </c>
      <c r="R1008" s="2" t="s">
        <v>6994</v>
      </c>
      <c r="S1008" s="1" t="s">
        <v>12474</v>
      </c>
      <c r="T1008" s="2" t="s">
        <v>13</v>
      </c>
      <c r="U1008" s="3">
        <v>1</v>
      </c>
      <c r="V1008" s="3">
        <v>1</v>
      </c>
      <c r="W1008" s="4" t="s">
        <v>8639</v>
      </c>
      <c r="X1008" s="4" t="s">
        <v>8639</v>
      </c>
      <c r="Y1008" s="4" t="s">
        <v>8639</v>
      </c>
      <c r="Z1008" s="4" t="s">
        <v>8639</v>
      </c>
      <c r="AA1008" s="3">
        <v>10</v>
      </c>
      <c r="AB1008" s="3">
        <v>6</v>
      </c>
      <c r="AC1008" s="3">
        <v>67</v>
      </c>
      <c r="AD1008" s="3">
        <v>1</v>
      </c>
      <c r="AE1008" s="9">
        <v>2</v>
      </c>
      <c r="AF1008" s="9">
        <v>0</v>
      </c>
      <c r="AG1008" s="9">
        <v>3</v>
      </c>
      <c r="AH1008" s="3">
        <v>0</v>
      </c>
      <c r="AI1008" s="3">
        <v>0</v>
      </c>
      <c r="AJ1008" s="3">
        <v>0</v>
      </c>
      <c r="AK1008" s="3">
        <v>2</v>
      </c>
      <c r="AL1008" s="3">
        <v>0</v>
      </c>
      <c r="AM1008" s="3">
        <v>0</v>
      </c>
      <c r="AN1008" s="3">
        <v>0</v>
      </c>
      <c r="AO1008" s="3">
        <v>1</v>
      </c>
      <c r="AP1008" s="3">
        <v>0</v>
      </c>
      <c r="AQ1008" s="3">
        <v>0</v>
      </c>
      <c r="AR1008" s="2" t="s">
        <v>5</v>
      </c>
      <c r="AS1008" s="2" t="s">
        <v>5</v>
      </c>
      <c r="AU1008" s="5" t="str">
        <f>HYPERLINK("https://creighton-primo.hosted.exlibrisgroup.com/primo-explore/search?tab=default_tab&amp;search_scope=EVERYTHING&amp;vid=01CRU&amp;lang=en_US&amp;offset=0&amp;query=any,contains,991004332939702656","Catalog Record")</f>
        <v>Catalog Record</v>
      </c>
      <c r="AV1008" s="5" t="str">
        <f>HYPERLINK("http://www.worldcat.org/oclc/21069511","WorldCat Record")</f>
        <v>WorldCat Record</v>
      </c>
      <c r="AW1008" s="2" t="s">
        <v>12475</v>
      </c>
      <c r="AX1008" s="2" t="s">
        <v>12476</v>
      </c>
      <c r="AY1008" s="2" t="s">
        <v>12477</v>
      </c>
      <c r="AZ1008" s="2" t="s">
        <v>12477</v>
      </c>
      <c r="BA1008" s="2" t="s">
        <v>12478</v>
      </c>
      <c r="BB1008" s="2" t="s">
        <v>20</v>
      </c>
      <c r="BE1008" s="2" t="s">
        <v>12479</v>
      </c>
      <c r="BF1008" s="2" t="s">
        <v>12480</v>
      </c>
    </row>
    <row r="1009" spans="1:58" ht="39.75" customHeight="1" x14ac:dyDescent="0.25">
      <c r="A1009" s="7" t="s">
        <v>5</v>
      </c>
      <c r="B1009" s="1" t="s">
        <v>0</v>
      </c>
      <c r="C1009" s="1" t="s">
        <v>1</v>
      </c>
      <c r="D1009" s="1" t="s">
        <v>12481</v>
      </c>
      <c r="E1009" s="1" t="s">
        <v>12482</v>
      </c>
      <c r="F1009" s="1" t="s">
        <v>12483</v>
      </c>
      <c r="H1009" s="2" t="s">
        <v>5</v>
      </c>
      <c r="I1009" s="2" t="s">
        <v>6</v>
      </c>
      <c r="J1009" s="2" t="s">
        <v>5</v>
      </c>
      <c r="K1009" s="2" t="s">
        <v>5</v>
      </c>
      <c r="L1009" s="2" t="s">
        <v>7</v>
      </c>
      <c r="M1009" s="1" t="s">
        <v>12484</v>
      </c>
      <c r="N1009" s="1" t="s">
        <v>12485</v>
      </c>
      <c r="O1009" s="2" t="s">
        <v>508</v>
      </c>
      <c r="Q1009" s="2" t="s">
        <v>1151</v>
      </c>
      <c r="R1009" s="2" t="s">
        <v>6994</v>
      </c>
      <c r="S1009" s="1" t="s">
        <v>12486</v>
      </c>
      <c r="T1009" s="2" t="s">
        <v>13</v>
      </c>
      <c r="U1009" s="3">
        <v>3</v>
      </c>
      <c r="V1009" s="3">
        <v>3</v>
      </c>
      <c r="W1009" s="4" t="s">
        <v>12487</v>
      </c>
      <c r="X1009" s="4" t="s">
        <v>12487</v>
      </c>
      <c r="Y1009" s="4" t="s">
        <v>11567</v>
      </c>
      <c r="Z1009" s="4" t="s">
        <v>11567</v>
      </c>
      <c r="AA1009" s="3">
        <v>20</v>
      </c>
      <c r="AB1009" s="3">
        <v>16</v>
      </c>
      <c r="AC1009" s="3">
        <v>46</v>
      </c>
      <c r="AD1009" s="3">
        <v>1</v>
      </c>
      <c r="AE1009" s="9">
        <v>1</v>
      </c>
      <c r="AF1009" s="9">
        <v>1</v>
      </c>
      <c r="AG1009" s="9">
        <v>2</v>
      </c>
      <c r="AH1009" s="3">
        <v>0</v>
      </c>
      <c r="AI1009" s="3">
        <v>0</v>
      </c>
      <c r="AJ1009" s="3">
        <v>1</v>
      </c>
      <c r="AK1009" s="3">
        <v>1</v>
      </c>
      <c r="AL1009" s="3">
        <v>0</v>
      </c>
      <c r="AM1009" s="3">
        <v>1</v>
      </c>
      <c r="AN1009" s="3">
        <v>0</v>
      </c>
      <c r="AO1009" s="3">
        <v>0</v>
      </c>
      <c r="AP1009" s="3">
        <v>0</v>
      </c>
      <c r="AQ1009" s="3">
        <v>0</v>
      </c>
      <c r="AR1009" s="2" t="s">
        <v>5</v>
      </c>
      <c r="AS1009" s="2" t="s">
        <v>5</v>
      </c>
      <c r="AU1009" s="5" t="str">
        <f>HYPERLINK("https://creighton-primo.hosted.exlibrisgroup.com/primo-explore/search?tab=default_tab&amp;search_scope=EVERYTHING&amp;vid=01CRU&amp;lang=en_US&amp;offset=0&amp;query=any,contains,991003558039702656","Catalog Record")</f>
        <v>Catalog Record</v>
      </c>
      <c r="AV1009" s="5" t="str">
        <f>HYPERLINK("http://www.worldcat.org/oclc/45711558","WorldCat Record")</f>
        <v>WorldCat Record</v>
      </c>
      <c r="AW1009" s="2" t="s">
        <v>12488</v>
      </c>
      <c r="AX1009" s="2" t="s">
        <v>12489</v>
      </c>
      <c r="AY1009" s="2" t="s">
        <v>12490</v>
      </c>
      <c r="AZ1009" s="2" t="s">
        <v>12490</v>
      </c>
      <c r="BA1009" s="2" t="s">
        <v>12491</v>
      </c>
      <c r="BB1009" s="2" t="s">
        <v>20</v>
      </c>
      <c r="BD1009" s="2" t="s">
        <v>12492</v>
      </c>
      <c r="BE1009" s="2" t="s">
        <v>12493</v>
      </c>
      <c r="BF1009" s="2" t="s">
        <v>12494</v>
      </c>
    </row>
    <row r="1010" spans="1:58" ht="39.75" customHeight="1" x14ac:dyDescent="0.25">
      <c r="A1010" s="7" t="s">
        <v>5</v>
      </c>
      <c r="B1010" s="1" t="s">
        <v>0</v>
      </c>
      <c r="C1010" s="1" t="s">
        <v>1</v>
      </c>
      <c r="D1010" s="1" t="s">
        <v>12495</v>
      </c>
      <c r="E1010" s="1" t="s">
        <v>12496</v>
      </c>
      <c r="F1010" s="1" t="s">
        <v>12497</v>
      </c>
      <c r="H1010" s="2" t="s">
        <v>5</v>
      </c>
      <c r="I1010" s="2" t="s">
        <v>6</v>
      </c>
      <c r="J1010" s="2" t="s">
        <v>5</v>
      </c>
      <c r="K1010" s="2" t="s">
        <v>5</v>
      </c>
      <c r="L1010" s="2" t="s">
        <v>7</v>
      </c>
      <c r="M1010" s="1" t="s">
        <v>12498</v>
      </c>
      <c r="N1010" s="1" t="s">
        <v>12499</v>
      </c>
      <c r="O1010" s="2" t="s">
        <v>508</v>
      </c>
      <c r="P1010" s="1" t="s">
        <v>2908</v>
      </c>
      <c r="Q1010" s="2" t="s">
        <v>1151</v>
      </c>
      <c r="R1010" s="2" t="s">
        <v>6994</v>
      </c>
      <c r="T1010" s="2" t="s">
        <v>13</v>
      </c>
      <c r="U1010" s="3">
        <v>1</v>
      </c>
      <c r="V1010" s="3">
        <v>1</v>
      </c>
      <c r="W1010" s="4" t="s">
        <v>9050</v>
      </c>
      <c r="X1010" s="4" t="s">
        <v>9050</v>
      </c>
      <c r="Y1010" s="4" t="s">
        <v>9050</v>
      </c>
      <c r="Z1010" s="4" t="s">
        <v>9050</v>
      </c>
      <c r="AA1010" s="3">
        <v>15</v>
      </c>
      <c r="AB1010" s="3">
        <v>15</v>
      </c>
      <c r="AC1010" s="3">
        <v>15</v>
      </c>
      <c r="AD1010" s="3">
        <v>1</v>
      </c>
      <c r="AE1010" s="9">
        <v>1</v>
      </c>
      <c r="AF1010" s="9">
        <v>1</v>
      </c>
      <c r="AG1010" s="9">
        <v>1</v>
      </c>
      <c r="AH1010" s="3">
        <v>0</v>
      </c>
      <c r="AI1010" s="3">
        <v>0</v>
      </c>
      <c r="AJ1010" s="3">
        <v>1</v>
      </c>
      <c r="AK1010" s="3">
        <v>1</v>
      </c>
      <c r="AL1010" s="3">
        <v>0</v>
      </c>
      <c r="AM1010" s="3">
        <v>0</v>
      </c>
      <c r="AN1010" s="3">
        <v>0</v>
      </c>
      <c r="AO1010" s="3">
        <v>0</v>
      </c>
      <c r="AP1010" s="3">
        <v>0</v>
      </c>
      <c r="AQ1010" s="3">
        <v>0</v>
      </c>
      <c r="AR1010" s="2" t="s">
        <v>5</v>
      </c>
      <c r="AS1010" s="2" t="s">
        <v>5</v>
      </c>
      <c r="AU1010" s="5" t="str">
        <f>HYPERLINK("https://creighton-primo.hosted.exlibrisgroup.com/primo-explore/search?tab=default_tab&amp;search_scope=EVERYTHING&amp;vid=01CRU&amp;lang=en_US&amp;offset=0&amp;query=any,contains,991003546139702656","Catalog Record")</f>
        <v>Catalog Record</v>
      </c>
      <c r="AV1010" s="5" t="str">
        <f>HYPERLINK("http://www.worldcat.org/oclc/44162775","WorldCat Record")</f>
        <v>WorldCat Record</v>
      </c>
      <c r="AW1010" s="2" t="s">
        <v>12500</v>
      </c>
      <c r="AX1010" s="2" t="s">
        <v>12501</v>
      </c>
      <c r="AY1010" s="2" t="s">
        <v>12502</v>
      </c>
      <c r="AZ1010" s="2" t="s">
        <v>12502</v>
      </c>
      <c r="BA1010" s="2" t="s">
        <v>12503</v>
      </c>
      <c r="BB1010" s="2" t="s">
        <v>20</v>
      </c>
      <c r="BD1010" s="2" t="s">
        <v>12504</v>
      </c>
      <c r="BE1010" s="2" t="s">
        <v>12505</v>
      </c>
      <c r="BF1010" s="2" t="s">
        <v>12506</v>
      </c>
    </row>
    <row r="1011" spans="1:58" ht="39.75" customHeight="1" x14ac:dyDescent="0.25">
      <c r="A1011" s="7" t="s">
        <v>5</v>
      </c>
      <c r="B1011" s="1" t="s">
        <v>0</v>
      </c>
      <c r="C1011" s="1" t="s">
        <v>1</v>
      </c>
      <c r="D1011" s="1" t="s">
        <v>12507</v>
      </c>
      <c r="E1011" s="1" t="s">
        <v>12508</v>
      </c>
      <c r="F1011" s="1" t="s">
        <v>12509</v>
      </c>
      <c r="H1011" s="2" t="s">
        <v>5</v>
      </c>
      <c r="I1011" s="2" t="s">
        <v>6</v>
      </c>
      <c r="J1011" s="2" t="s">
        <v>5</v>
      </c>
      <c r="K1011" s="2" t="s">
        <v>5</v>
      </c>
      <c r="L1011" s="2" t="s">
        <v>7</v>
      </c>
      <c r="M1011" s="1" t="s">
        <v>12510</v>
      </c>
      <c r="N1011" s="1" t="s">
        <v>12511</v>
      </c>
      <c r="O1011" s="2" t="s">
        <v>791</v>
      </c>
      <c r="Q1011" s="2" t="s">
        <v>60</v>
      </c>
      <c r="R1011" s="2" t="s">
        <v>61</v>
      </c>
      <c r="T1011" s="2" t="s">
        <v>13</v>
      </c>
      <c r="U1011" s="3">
        <v>4</v>
      </c>
      <c r="V1011" s="3">
        <v>4</v>
      </c>
      <c r="W1011" s="4" t="s">
        <v>12512</v>
      </c>
      <c r="X1011" s="4" t="s">
        <v>12512</v>
      </c>
      <c r="Y1011" s="4" t="s">
        <v>12513</v>
      </c>
      <c r="Z1011" s="4" t="s">
        <v>12513</v>
      </c>
      <c r="AA1011" s="3">
        <v>64</v>
      </c>
      <c r="AB1011" s="3">
        <v>56</v>
      </c>
      <c r="AC1011" s="3">
        <v>341</v>
      </c>
      <c r="AD1011" s="3">
        <v>1</v>
      </c>
      <c r="AE1011" s="9">
        <v>3</v>
      </c>
      <c r="AF1011" s="9">
        <v>3</v>
      </c>
      <c r="AG1011" s="9">
        <v>17</v>
      </c>
      <c r="AH1011" s="3">
        <v>0</v>
      </c>
      <c r="AI1011" s="3">
        <v>4</v>
      </c>
      <c r="AJ1011" s="3">
        <v>1</v>
      </c>
      <c r="AK1011" s="3">
        <v>6</v>
      </c>
      <c r="AL1011" s="3">
        <v>2</v>
      </c>
      <c r="AM1011" s="3">
        <v>10</v>
      </c>
      <c r="AN1011" s="3">
        <v>0</v>
      </c>
      <c r="AO1011" s="3">
        <v>2</v>
      </c>
      <c r="AP1011" s="3">
        <v>0</v>
      </c>
      <c r="AQ1011" s="3">
        <v>0</v>
      </c>
      <c r="AR1011" s="2" t="s">
        <v>5</v>
      </c>
      <c r="AS1011" s="2" t="s">
        <v>46</v>
      </c>
      <c r="AT1011" s="5" t="str">
        <f>HYPERLINK("http://catalog.hathitrust.org/Record/101104808","HathiTrust Record")</f>
        <v>HathiTrust Record</v>
      </c>
      <c r="AU1011" s="5" t="str">
        <f>HYPERLINK("https://creighton-primo.hosted.exlibrisgroup.com/primo-explore/search?tab=default_tab&amp;search_scope=EVERYTHING&amp;vid=01CRU&amp;lang=en_US&amp;offset=0&amp;query=any,contains,991003528639702656","Catalog Record")</f>
        <v>Catalog Record</v>
      </c>
      <c r="AV1011" s="5" t="str">
        <f>HYPERLINK("http://www.worldcat.org/oclc/1092456","WorldCat Record")</f>
        <v>WorldCat Record</v>
      </c>
      <c r="AW1011" s="2" t="s">
        <v>12514</v>
      </c>
      <c r="AX1011" s="2" t="s">
        <v>12515</v>
      </c>
      <c r="AY1011" s="2" t="s">
        <v>12516</v>
      </c>
      <c r="AZ1011" s="2" t="s">
        <v>12516</v>
      </c>
      <c r="BA1011" s="2" t="s">
        <v>12517</v>
      </c>
      <c r="BB1011" s="2" t="s">
        <v>20</v>
      </c>
      <c r="BD1011" s="2" t="s">
        <v>12518</v>
      </c>
      <c r="BE1011" s="2" t="s">
        <v>12519</v>
      </c>
      <c r="BF1011" s="2" t="s">
        <v>12520</v>
      </c>
    </row>
    <row r="1012" spans="1:58" ht="39.75" customHeight="1" x14ac:dyDescent="0.25">
      <c r="A1012" s="7" t="s">
        <v>5</v>
      </c>
      <c r="B1012" s="1" t="s">
        <v>0</v>
      </c>
      <c r="C1012" s="1" t="s">
        <v>1</v>
      </c>
      <c r="D1012" s="1" t="s">
        <v>12521</v>
      </c>
      <c r="E1012" s="1" t="s">
        <v>12522</v>
      </c>
      <c r="F1012" s="1" t="s">
        <v>12523</v>
      </c>
      <c r="H1012" s="2" t="s">
        <v>5</v>
      </c>
      <c r="I1012" s="2" t="s">
        <v>6</v>
      </c>
      <c r="J1012" s="2" t="s">
        <v>5</v>
      </c>
      <c r="K1012" s="2" t="s">
        <v>5</v>
      </c>
      <c r="L1012" s="2" t="s">
        <v>7</v>
      </c>
      <c r="M1012" s="1" t="s">
        <v>12524</v>
      </c>
      <c r="N1012" s="1" t="s">
        <v>12525</v>
      </c>
      <c r="O1012" s="2" t="s">
        <v>508</v>
      </c>
      <c r="P1012" s="1" t="s">
        <v>2908</v>
      </c>
      <c r="Q1012" s="2" t="s">
        <v>1151</v>
      </c>
      <c r="R1012" s="2" t="s">
        <v>6994</v>
      </c>
      <c r="T1012" s="2" t="s">
        <v>13</v>
      </c>
      <c r="U1012" s="3">
        <v>1</v>
      </c>
      <c r="V1012" s="3">
        <v>1</v>
      </c>
      <c r="W1012" s="4" t="s">
        <v>12526</v>
      </c>
      <c r="X1012" s="4" t="s">
        <v>12526</v>
      </c>
      <c r="Y1012" s="4" t="s">
        <v>9530</v>
      </c>
      <c r="Z1012" s="4" t="s">
        <v>9530</v>
      </c>
      <c r="AA1012" s="3">
        <v>35</v>
      </c>
      <c r="AB1012" s="3">
        <v>35</v>
      </c>
      <c r="AC1012" s="3">
        <v>37</v>
      </c>
      <c r="AD1012" s="3">
        <v>1</v>
      </c>
      <c r="AE1012" s="9">
        <v>1</v>
      </c>
      <c r="AF1012" s="9">
        <v>1</v>
      </c>
      <c r="AG1012" s="9">
        <v>1</v>
      </c>
      <c r="AH1012" s="3">
        <v>0</v>
      </c>
      <c r="AI1012" s="3">
        <v>0</v>
      </c>
      <c r="AJ1012" s="3">
        <v>1</v>
      </c>
      <c r="AK1012" s="3">
        <v>1</v>
      </c>
      <c r="AL1012" s="3">
        <v>0</v>
      </c>
      <c r="AM1012" s="3">
        <v>0</v>
      </c>
      <c r="AN1012" s="3">
        <v>0</v>
      </c>
      <c r="AO1012" s="3">
        <v>0</v>
      </c>
      <c r="AP1012" s="3">
        <v>0</v>
      </c>
      <c r="AQ1012" s="3">
        <v>0</v>
      </c>
      <c r="AR1012" s="2" t="s">
        <v>5</v>
      </c>
      <c r="AS1012" s="2" t="s">
        <v>46</v>
      </c>
      <c r="AT1012" s="5" t="str">
        <f>HYPERLINK("http://catalog.hathitrust.org/Record/007436879","HathiTrust Record")</f>
        <v>HathiTrust Record</v>
      </c>
      <c r="AU1012" s="5" t="str">
        <f>HYPERLINK("https://creighton-primo.hosted.exlibrisgroup.com/primo-explore/search?tab=default_tab&amp;search_scope=EVERYTHING&amp;vid=01CRU&amp;lang=en_US&amp;offset=0&amp;query=any,contains,991003546899702656","Catalog Record")</f>
        <v>Catalog Record</v>
      </c>
      <c r="AV1012" s="5" t="str">
        <f>HYPERLINK("http://www.worldcat.org/oclc/47781360","WorldCat Record")</f>
        <v>WorldCat Record</v>
      </c>
      <c r="AW1012" s="2" t="s">
        <v>12527</v>
      </c>
      <c r="AX1012" s="2" t="s">
        <v>12528</v>
      </c>
      <c r="AY1012" s="2" t="s">
        <v>12529</v>
      </c>
      <c r="AZ1012" s="2" t="s">
        <v>12529</v>
      </c>
      <c r="BA1012" s="2" t="s">
        <v>12530</v>
      </c>
      <c r="BB1012" s="2" t="s">
        <v>20</v>
      </c>
      <c r="BD1012" s="2" t="s">
        <v>12531</v>
      </c>
      <c r="BE1012" s="2" t="s">
        <v>12532</v>
      </c>
      <c r="BF1012" s="2" t="s">
        <v>12533</v>
      </c>
    </row>
    <row r="1013" spans="1:58" ht="39.75" customHeight="1" x14ac:dyDescent="0.25">
      <c r="A1013" s="7" t="s">
        <v>5</v>
      </c>
      <c r="B1013" s="1" t="s">
        <v>0</v>
      </c>
      <c r="C1013" s="1" t="s">
        <v>1</v>
      </c>
      <c r="D1013" s="1" t="s">
        <v>12534</v>
      </c>
      <c r="E1013" s="1" t="s">
        <v>12535</v>
      </c>
      <c r="F1013" s="1" t="s">
        <v>12536</v>
      </c>
      <c r="H1013" s="2" t="s">
        <v>5</v>
      </c>
      <c r="I1013" s="2" t="s">
        <v>6</v>
      </c>
      <c r="J1013" s="2" t="s">
        <v>5</v>
      </c>
      <c r="K1013" s="2" t="s">
        <v>46</v>
      </c>
      <c r="L1013" s="2" t="s">
        <v>7</v>
      </c>
      <c r="M1013" s="1" t="s">
        <v>12537</v>
      </c>
      <c r="N1013" s="1" t="s">
        <v>12538</v>
      </c>
      <c r="O1013" s="2" t="s">
        <v>2448</v>
      </c>
      <c r="P1013" s="1" t="s">
        <v>12539</v>
      </c>
      <c r="Q1013" s="2" t="s">
        <v>1151</v>
      </c>
      <c r="R1013" s="2" t="s">
        <v>6994</v>
      </c>
      <c r="S1013" s="1" t="s">
        <v>12540</v>
      </c>
      <c r="T1013" s="2" t="s">
        <v>13</v>
      </c>
      <c r="U1013" s="3">
        <v>0</v>
      </c>
      <c r="V1013" s="3">
        <v>0</v>
      </c>
      <c r="W1013" s="4" t="s">
        <v>12541</v>
      </c>
      <c r="X1013" s="4" t="s">
        <v>12541</v>
      </c>
      <c r="Y1013" s="4" t="s">
        <v>12542</v>
      </c>
      <c r="Z1013" s="4" t="s">
        <v>12542</v>
      </c>
      <c r="AA1013" s="3">
        <v>16</v>
      </c>
      <c r="AB1013" s="3">
        <v>15</v>
      </c>
      <c r="AC1013" s="3">
        <v>62</v>
      </c>
      <c r="AD1013" s="3">
        <v>1</v>
      </c>
      <c r="AE1013" s="9">
        <v>1</v>
      </c>
      <c r="AF1013" s="9">
        <v>1</v>
      </c>
      <c r="AG1013" s="9">
        <v>3</v>
      </c>
      <c r="AH1013" s="3">
        <v>0</v>
      </c>
      <c r="AI1013" s="3">
        <v>0</v>
      </c>
      <c r="AJ1013" s="3">
        <v>1</v>
      </c>
      <c r="AK1013" s="3">
        <v>2</v>
      </c>
      <c r="AL1013" s="3">
        <v>0</v>
      </c>
      <c r="AM1013" s="3">
        <v>1</v>
      </c>
      <c r="AN1013" s="3">
        <v>0</v>
      </c>
      <c r="AO1013" s="3">
        <v>0</v>
      </c>
      <c r="AP1013" s="3">
        <v>0</v>
      </c>
      <c r="AQ1013" s="3">
        <v>0</v>
      </c>
      <c r="AR1013" s="2" t="s">
        <v>5</v>
      </c>
      <c r="AS1013" s="2" t="s">
        <v>46</v>
      </c>
      <c r="AT1013" s="5" t="str">
        <f>HYPERLINK("http://catalog.hathitrust.org/Record/101104855","HathiTrust Record")</f>
        <v>HathiTrust Record</v>
      </c>
      <c r="AU1013" s="5" t="str">
        <f>HYPERLINK("https://creighton-primo.hosted.exlibrisgroup.com/primo-explore/search?tab=default_tab&amp;search_scope=EVERYTHING&amp;vid=01CRU&amp;lang=en_US&amp;offset=0&amp;query=any,contains,991003046399702656","Catalog Record")</f>
        <v>Catalog Record</v>
      </c>
      <c r="AV1013" s="5" t="str">
        <f>HYPERLINK("http://www.worldcat.org/oclc/42624744","WorldCat Record")</f>
        <v>WorldCat Record</v>
      </c>
      <c r="AW1013" s="2" t="s">
        <v>12543</v>
      </c>
      <c r="AX1013" s="2" t="s">
        <v>12544</v>
      </c>
      <c r="AY1013" s="2" t="s">
        <v>12545</v>
      </c>
      <c r="AZ1013" s="2" t="s">
        <v>12545</v>
      </c>
      <c r="BA1013" s="2" t="s">
        <v>12546</v>
      </c>
      <c r="BB1013" s="2" t="s">
        <v>20</v>
      </c>
      <c r="BD1013" s="2" t="s">
        <v>12547</v>
      </c>
      <c r="BE1013" s="2" t="s">
        <v>12548</v>
      </c>
      <c r="BF1013" s="2" t="s">
        <v>12549</v>
      </c>
    </row>
    <row r="1014" spans="1:58" ht="39.75" customHeight="1" x14ac:dyDescent="0.25">
      <c r="A1014" s="7" t="s">
        <v>5</v>
      </c>
      <c r="B1014" s="1" t="s">
        <v>0</v>
      </c>
      <c r="C1014" s="1" t="s">
        <v>1</v>
      </c>
      <c r="D1014" s="1" t="s">
        <v>12550</v>
      </c>
      <c r="E1014" s="1" t="s">
        <v>12551</v>
      </c>
      <c r="F1014" s="1" t="s">
        <v>12552</v>
      </c>
      <c r="H1014" s="2" t="s">
        <v>5</v>
      </c>
      <c r="I1014" s="2" t="s">
        <v>6</v>
      </c>
      <c r="J1014" s="2" t="s">
        <v>5</v>
      </c>
      <c r="K1014" s="2" t="s">
        <v>5</v>
      </c>
      <c r="L1014" s="2" t="s">
        <v>7</v>
      </c>
      <c r="M1014" s="1" t="s">
        <v>12553</v>
      </c>
      <c r="N1014" s="1" t="s">
        <v>12554</v>
      </c>
      <c r="O1014" s="2" t="s">
        <v>3941</v>
      </c>
      <c r="Q1014" s="2" t="s">
        <v>1151</v>
      </c>
      <c r="R1014" s="2" t="s">
        <v>7161</v>
      </c>
      <c r="T1014" s="2" t="s">
        <v>13</v>
      </c>
      <c r="U1014" s="3">
        <v>1</v>
      </c>
      <c r="V1014" s="3">
        <v>1</v>
      </c>
      <c r="W1014" s="4" t="s">
        <v>5377</v>
      </c>
      <c r="X1014" s="4" t="s">
        <v>5377</v>
      </c>
      <c r="Y1014" s="4" t="s">
        <v>12555</v>
      </c>
      <c r="Z1014" s="4" t="s">
        <v>12555</v>
      </c>
      <c r="AA1014" s="3">
        <v>21</v>
      </c>
      <c r="AB1014" s="3">
        <v>21</v>
      </c>
      <c r="AC1014" s="3">
        <v>22</v>
      </c>
      <c r="AD1014" s="3">
        <v>1</v>
      </c>
      <c r="AE1014" s="9">
        <v>1</v>
      </c>
      <c r="AF1014" s="9">
        <v>2</v>
      </c>
      <c r="AG1014" s="9">
        <v>2</v>
      </c>
      <c r="AH1014" s="3">
        <v>0</v>
      </c>
      <c r="AI1014" s="3">
        <v>0</v>
      </c>
      <c r="AJ1014" s="3">
        <v>1</v>
      </c>
      <c r="AK1014" s="3">
        <v>1</v>
      </c>
      <c r="AL1014" s="3">
        <v>1</v>
      </c>
      <c r="AM1014" s="3">
        <v>1</v>
      </c>
      <c r="AN1014" s="3">
        <v>0</v>
      </c>
      <c r="AO1014" s="3">
        <v>0</v>
      </c>
      <c r="AP1014" s="3">
        <v>0</v>
      </c>
      <c r="AQ1014" s="3">
        <v>0</v>
      </c>
      <c r="AR1014" s="2" t="s">
        <v>5</v>
      </c>
      <c r="AS1014" s="2" t="s">
        <v>5</v>
      </c>
      <c r="AU1014" s="5" t="str">
        <f>HYPERLINK("https://creighton-primo.hosted.exlibrisgroup.com/primo-explore/search?tab=default_tab&amp;search_scope=EVERYTHING&amp;vid=01CRU&amp;lang=en_US&amp;offset=0&amp;query=any,contains,991003670889702656","Catalog Record")</f>
        <v>Catalog Record</v>
      </c>
      <c r="AV1014" s="5" t="str">
        <f>HYPERLINK("http://www.worldcat.org/oclc/49959139","WorldCat Record")</f>
        <v>WorldCat Record</v>
      </c>
      <c r="AW1014" s="2" t="s">
        <v>12556</v>
      </c>
      <c r="AX1014" s="2" t="s">
        <v>12557</v>
      </c>
      <c r="AY1014" s="2" t="s">
        <v>12558</v>
      </c>
      <c r="AZ1014" s="2" t="s">
        <v>12558</v>
      </c>
      <c r="BA1014" s="2" t="s">
        <v>12559</v>
      </c>
      <c r="BB1014" s="2" t="s">
        <v>20</v>
      </c>
      <c r="BE1014" s="2" t="s">
        <v>12560</v>
      </c>
      <c r="BF1014" s="2" t="s">
        <v>12561</v>
      </c>
    </row>
    <row r="1015" spans="1:58" ht="39.75" customHeight="1" x14ac:dyDescent="0.25">
      <c r="A1015" s="7" t="s">
        <v>5</v>
      </c>
      <c r="B1015" s="1" t="s">
        <v>0</v>
      </c>
      <c r="C1015" s="1" t="s">
        <v>1</v>
      </c>
      <c r="D1015" s="1" t="s">
        <v>12562</v>
      </c>
      <c r="E1015" s="1" t="s">
        <v>12563</v>
      </c>
      <c r="F1015" s="1" t="s">
        <v>12564</v>
      </c>
      <c r="H1015" s="2" t="s">
        <v>5</v>
      </c>
      <c r="I1015" s="2" t="s">
        <v>6</v>
      </c>
      <c r="J1015" s="2" t="s">
        <v>5</v>
      </c>
      <c r="K1015" s="2" t="s">
        <v>5</v>
      </c>
      <c r="L1015" s="2" t="s">
        <v>7</v>
      </c>
      <c r="M1015" s="1" t="s">
        <v>12565</v>
      </c>
      <c r="N1015" s="1" t="s">
        <v>12566</v>
      </c>
      <c r="O1015" s="2" t="s">
        <v>2610</v>
      </c>
      <c r="Q1015" s="2" t="s">
        <v>1151</v>
      </c>
      <c r="R1015" s="2" t="s">
        <v>6994</v>
      </c>
      <c r="S1015" s="1" t="s">
        <v>12567</v>
      </c>
      <c r="T1015" s="2" t="s">
        <v>13</v>
      </c>
      <c r="U1015" s="3">
        <v>1</v>
      </c>
      <c r="V1015" s="3">
        <v>1</v>
      </c>
      <c r="W1015" s="4" t="s">
        <v>12568</v>
      </c>
      <c r="X1015" s="4" t="s">
        <v>12568</v>
      </c>
      <c r="Y1015" s="4" t="s">
        <v>10591</v>
      </c>
      <c r="Z1015" s="4" t="s">
        <v>10591</v>
      </c>
      <c r="AA1015" s="3">
        <v>24</v>
      </c>
      <c r="AB1015" s="3">
        <v>22</v>
      </c>
      <c r="AC1015" s="3">
        <v>63</v>
      </c>
      <c r="AD1015" s="3">
        <v>1</v>
      </c>
      <c r="AE1015" s="9">
        <v>1</v>
      </c>
      <c r="AF1015" s="9">
        <v>1</v>
      </c>
      <c r="AG1015" s="9">
        <v>3</v>
      </c>
      <c r="AH1015" s="3">
        <v>0</v>
      </c>
      <c r="AI1015" s="3">
        <v>1</v>
      </c>
      <c r="AJ1015" s="3">
        <v>1</v>
      </c>
      <c r="AK1015" s="3">
        <v>2</v>
      </c>
      <c r="AL1015" s="3">
        <v>0</v>
      </c>
      <c r="AM1015" s="3">
        <v>0</v>
      </c>
      <c r="AN1015" s="3">
        <v>0</v>
      </c>
      <c r="AO1015" s="3">
        <v>0</v>
      </c>
      <c r="AP1015" s="3">
        <v>0</v>
      </c>
      <c r="AQ1015" s="3">
        <v>0</v>
      </c>
      <c r="AR1015" s="2" t="s">
        <v>5</v>
      </c>
      <c r="AS1015" s="2" t="s">
        <v>46</v>
      </c>
      <c r="AT1015" s="5" t="str">
        <f>HYPERLINK("http://catalog.hathitrust.org/Record/101929756","HathiTrust Record")</f>
        <v>HathiTrust Record</v>
      </c>
      <c r="AU1015" s="5" t="str">
        <f>HYPERLINK("https://creighton-primo.hosted.exlibrisgroup.com/primo-explore/search?tab=default_tab&amp;search_scope=EVERYTHING&amp;vid=01CRU&amp;lang=en_US&amp;offset=0&amp;query=any,contains,991002234679702656","Catalog Record")</f>
        <v>Catalog Record</v>
      </c>
      <c r="AV1015" s="5" t="str">
        <f>HYPERLINK("http://www.worldcat.org/oclc/28800378","WorldCat Record")</f>
        <v>WorldCat Record</v>
      </c>
      <c r="AW1015" s="2" t="s">
        <v>12569</v>
      </c>
      <c r="AX1015" s="2" t="s">
        <v>12570</v>
      </c>
      <c r="AY1015" s="2" t="s">
        <v>12571</v>
      </c>
      <c r="AZ1015" s="2" t="s">
        <v>12571</v>
      </c>
      <c r="BA1015" s="2" t="s">
        <v>12572</v>
      </c>
      <c r="BB1015" s="2" t="s">
        <v>20</v>
      </c>
      <c r="BE1015" s="2" t="s">
        <v>12573</v>
      </c>
      <c r="BF1015" s="2" t="s">
        <v>12574</v>
      </c>
    </row>
    <row r="1016" spans="1:58" ht="39.75" customHeight="1" x14ac:dyDescent="0.25">
      <c r="A1016" s="7" t="s">
        <v>5</v>
      </c>
      <c r="B1016" s="1" t="s">
        <v>0</v>
      </c>
      <c r="C1016" s="1" t="s">
        <v>1</v>
      </c>
      <c r="D1016" s="1" t="s">
        <v>12575</v>
      </c>
      <c r="E1016" s="1" t="s">
        <v>12576</v>
      </c>
      <c r="F1016" s="1" t="s">
        <v>12577</v>
      </c>
      <c r="H1016" s="2" t="s">
        <v>5</v>
      </c>
      <c r="I1016" s="2" t="s">
        <v>6</v>
      </c>
      <c r="J1016" s="2" t="s">
        <v>5</v>
      </c>
      <c r="K1016" s="2" t="s">
        <v>5</v>
      </c>
      <c r="L1016" s="2" t="s">
        <v>7</v>
      </c>
      <c r="M1016" s="1" t="s">
        <v>12578</v>
      </c>
      <c r="N1016" s="1" t="s">
        <v>12579</v>
      </c>
      <c r="O1016" s="2" t="s">
        <v>2859</v>
      </c>
      <c r="P1016" s="1" t="s">
        <v>5939</v>
      </c>
      <c r="Q1016" s="2" t="s">
        <v>1151</v>
      </c>
      <c r="R1016" s="2" t="s">
        <v>6994</v>
      </c>
      <c r="S1016" s="1" t="s">
        <v>12580</v>
      </c>
      <c r="T1016" s="2" t="s">
        <v>13</v>
      </c>
      <c r="U1016" s="3">
        <v>1</v>
      </c>
      <c r="V1016" s="3">
        <v>1</v>
      </c>
      <c r="W1016" s="4" t="s">
        <v>12581</v>
      </c>
      <c r="X1016" s="4" t="s">
        <v>12581</v>
      </c>
      <c r="Y1016" s="4" t="s">
        <v>12581</v>
      </c>
      <c r="Z1016" s="4" t="s">
        <v>12581</v>
      </c>
      <c r="AA1016" s="3">
        <v>45</v>
      </c>
      <c r="AB1016" s="3">
        <v>37</v>
      </c>
      <c r="AC1016" s="3">
        <v>83</v>
      </c>
      <c r="AD1016" s="3">
        <v>1</v>
      </c>
      <c r="AE1016" s="9">
        <v>1</v>
      </c>
      <c r="AF1016" s="9">
        <v>4</v>
      </c>
      <c r="AG1016" s="9">
        <v>5</v>
      </c>
      <c r="AH1016" s="3">
        <v>0</v>
      </c>
      <c r="AI1016" s="3">
        <v>0</v>
      </c>
      <c r="AJ1016" s="3">
        <v>1</v>
      </c>
      <c r="AK1016" s="3">
        <v>2</v>
      </c>
      <c r="AL1016" s="3">
        <v>3</v>
      </c>
      <c r="AM1016" s="3">
        <v>4</v>
      </c>
      <c r="AN1016" s="3">
        <v>0</v>
      </c>
      <c r="AO1016" s="3">
        <v>0</v>
      </c>
      <c r="AP1016" s="3">
        <v>0</v>
      </c>
      <c r="AQ1016" s="3">
        <v>0</v>
      </c>
      <c r="AR1016" s="2" t="s">
        <v>5</v>
      </c>
      <c r="AS1016" s="2" t="s">
        <v>46</v>
      </c>
      <c r="AT1016" s="5" t="str">
        <f>HYPERLINK("http://catalog.hathitrust.org/Record/101104893","HathiTrust Record")</f>
        <v>HathiTrust Record</v>
      </c>
      <c r="AU1016" s="5" t="str">
        <f>HYPERLINK("https://creighton-primo.hosted.exlibrisgroup.com/primo-explore/search?tab=default_tab&amp;search_scope=EVERYTHING&amp;vid=01CRU&amp;lang=en_US&amp;offset=0&amp;query=any,contains,991003555389702656","Catalog Record")</f>
        <v>Catalog Record</v>
      </c>
      <c r="AV1016" s="5" t="str">
        <f>HYPERLINK("http://www.worldcat.org/oclc/11009117","WorldCat Record")</f>
        <v>WorldCat Record</v>
      </c>
      <c r="AW1016" s="2" t="s">
        <v>12582</v>
      </c>
      <c r="AX1016" s="2" t="s">
        <v>12583</v>
      </c>
      <c r="AY1016" s="2" t="s">
        <v>12584</v>
      </c>
      <c r="AZ1016" s="2" t="s">
        <v>12584</v>
      </c>
      <c r="BA1016" s="2" t="s">
        <v>12585</v>
      </c>
      <c r="BB1016" s="2" t="s">
        <v>20</v>
      </c>
      <c r="BE1016" s="2" t="s">
        <v>12586</v>
      </c>
      <c r="BF1016" s="2" t="s">
        <v>12587</v>
      </c>
    </row>
    <row r="1017" spans="1:58" ht="39.75" customHeight="1" x14ac:dyDescent="0.25">
      <c r="A1017" s="7" t="s">
        <v>5</v>
      </c>
      <c r="B1017" s="1" t="s">
        <v>0</v>
      </c>
      <c r="C1017" s="1" t="s">
        <v>1</v>
      </c>
      <c r="D1017" s="1" t="s">
        <v>12588</v>
      </c>
      <c r="E1017" s="1" t="s">
        <v>12589</v>
      </c>
      <c r="F1017" s="1" t="s">
        <v>12590</v>
      </c>
      <c r="H1017" s="2" t="s">
        <v>5</v>
      </c>
      <c r="I1017" s="2" t="s">
        <v>6</v>
      </c>
      <c r="J1017" s="2" t="s">
        <v>5</v>
      </c>
      <c r="K1017" s="2" t="s">
        <v>5</v>
      </c>
      <c r="L1017" s="2" t="s">
        <v>7</v>
      </c>
      <c r="M1017" s="1" t="s">
        <v>12578</v>
      </c>
      <c r="N1017" s="1" t="s">
        <v>12591</v>
      </c>
      <c r="O1017" s="2" t="s">
        <v>2448</v>
      </c>
      <c r="P1017" s="1" t="s">
        <v>5359</v>
      </c>
      <c r="Q1017" s="2" t="s">
        <v>1151</v>
      </c>
      <c r="R1017" s="2" t="s">
        <v>6994</v>
      </c>
      <c r="T1017" s="2" t="s">
        <v>13</v>
      </c>
      <c r="U1017" s="3">
        <v>2</v>
      </c>
      <c r="V1017" s="3">
        <v>2</v>
      </c>
      <c r="W1017" s="4" t="s">
        <v>873</v>
      </c>
      <c r="X1017" s="4" t="s">
        <v>873</v>
      </c>
      <c r="Y1017" s="4" t="s">
        <v>12592</v>
      </c>
      <c r="Z1017" s="4" t="s">
        <v>12592</v>
      </c>
      <c r="AA1017" s="3">
        <v>32</v>
      </c>
      <c r="AB1017" s="3">
        <v>31</v>
      </c>
      <c r="AC1017" s="3">
        <v>35</v>
      </c>
      <c r="AD1017" s="3">
        <v>1</v>
      </c>
      <c r="AE1017" s="9">
        <v>1</v>
      </c>
      <c r="AF1017" s="9">
        <v>2</v>
      </c>
      <c r="AG1017" s="9">
        <v>2</v>
      </c>
      <c r="AH1017" s="3">
        <v>0</v>
      </c>
      <c r="AI1017" s="3">
        <v>0</v>
      </c>
      <c r="AJ1017" s="3">
        <v>1</v>
      </c>
      <c r="AK1017" s="3">
        <v>1</v>
      </c>
      <c r="AL1017" s="3">
        <v>1</v>
      </c>
      <c r="AM1017" s="3">
        <v>1</v>
      </c>
      <c r="AN1017" s="3">
        <v>0</v>
      </c>
      <c r="AO1017" s="3">
        <v>0</v>
      </c>
      <c r="AP1017" s="3">
        <v>0</v>
      </c>
      <c r="AQ1017" s="3">
        <v>0</v>
      </c>
      <c r="AR1017" s="2" t="s">
        <v>5</v>
      </c>
      <c r="AS1017" s="2" t="s">
        <v>46</v>
      </c>
      <c r="AT1017" s="5" t="str">
        <f>HYPERLINK("http://catalog.hathitrust.org/Record/004131703","HathiTrust Record")</f>
        <v>HathiTrust Record</v>
      </c>
      <c r="AU1017" s="5" t="str">
        <f>HYPERLINK("https://creighton-primo.hosted.exlibrisgroup.com/primo-explore/search?tab=default_tab&amp;search_scope=EVERYTHING&amp;vid=01CRU&amp;lang=en_US&amp;offset=0&amp;query=any,contains,991003312479702656","Catalog Record")</f>
        <v>Catalog Record</v>
      </c>
      <c r="AV1017" s="5" t="str">
        <f>HYPERLINK("http://www.worldcat.org/oclc/43636245","WorldCat Record")</f>
        <v>WorldCat Record</v>
      </c>
      <c r="AW1017" s="2" t="s">
        <v>12593</v>
      </c>
      <c r="AX1017" s="2" t="s">
        <v>12594</v>
      </c>
      <c r="AY1017" s="2" t="s">
        <v>12595</v>
      </c>
      <c r="AZ1017" s="2" t="s">
        <v>12595</v>
      </c>
      <c r="BA1017" s="2" t="s">
        <v>12596</v>
      </c>
      <c r="BB1017" s="2" t="s">
        <v>20</v>
      </c>
      <c r="BD1017" s="2" t="s">
        <v>12597</v>
      </c>
      <c r="BE1017" s="2" t="s">
        <v>12598</v>
      </c>
      <c r="BF1017" s="2" t="s">
        <v>12599</v>
      </c>
    </row>
    <row r="1018" spans="1:58" ht="39.75" customHeight="1" x14ac:dyDescent="0.25">
      <c r="A1018" s="7" t="s">
        <v>5</v>
      </c>
      <c r="B1018" s="1" t="s">
        <v>0</v>
      </c>
      <c r="C1018" s="1" t="s">
        <v>1</v>
      </c>
      <c r="D1018" s="1" t="s">
        <v>12600</v>
      </c>
      <c r="E1018" s="1" t="s">
        <v>12601</v>
      </c>
      <c r="F1018" s="1" t="s">
        <v>12602</v>
      </c>
      <c r="H1018" s="2" t="s">
        <v>5</v>
      </c>
      <c r="I1018" s="2" t="s">
        <v>6</v>
      </c>
      <c r="J1018" s="2" t="s">
        <v>5</v>
      </c>
      <c r="K1018" s="2" t="s">
        <v>5</v>
      </c>
      <c r="L1018" s="2" t="s">
        <v>7</v>
      </c>
      <c r="M1018" s="1" t="s">
        <v>12603</v>
      </c>
      <c r="N1018" s="1" t="s">
        <v>12604</v>
      </c>
      <c r="O1018" s="2" t="s">
        <v>1390</v>
      </c>
      <c r="Q1018" s="2" t="s">
        <v>60</v>
      </c>
      <c r="R1018" s="2" t="s">
        <v>277</v>
      </c>
      <c r="S1018" s="1" t="s">
        <v>12605</v>
      </c>
      <c r="T1018" s="2" t="s">
        <v>13</v>
      </c>
      <c r="U1018" s="3">
        <v>1</v>
      </c>
      <c r="V1018" s="3">
        <v>1</v>
      </c>
      <c r="W1018" s="4" t="s">
        <v>1692</v>
      </c>
      <c r="X1018" s="4" t="s">
        <v>1692</v>
      </c>
      <c r="Y1018" s="4" t="s">
        <v>12606</v>
      </c>
      <c r="Z1018" s="4" t="s">
        <v>12606</v>
      </c>
      <c r="AA1018" s="3">
        <v>564</v>
      </c>
      <c r="AB1018" s="3">
        <v>504</v>
      </c>
      <c r="AC1018" s="3">
        <v>513</v>
      </c>
      <c r="AD1018" s="3">
        <v>4</v>
      </c>
      <c r="AE1018" s="9">
        <v>4</v>
      </c>
      <c r="AF1018" s="9">
        <v>26</v>
      </c>
      <c r="AG1018" s="9">
        <v>26</v>
      </c>
      <c r="AH1018" s="3">
        <v>10</v>
      </c>
      <c r="AI1018" s="3">
        <v>10</v>
      </c>
      <c r="AJ1018" s="3">
        <v>9</v>
      </c>
      <c r="AK1018" s="3">
        <v>9</v>
      </c>
      <c r="AL1018" s="3">
        <v>12</v>
      </c>
      <c r="AM1018" s="3">
        <v>12</v>
      </c>
      <c r="AN1018" s="3">
        <v>3</v>
      </c>
      <c r="AO1018" s="3">
        <v>3</v>
      </c>
      <c r="AP1018" s="3">
        <v>0</v>
      </c>
      <c r="AQ1018" s="3">
        <v>0</v>
      </c>
      <c r="AR1018" s="2" t="s">
        <v>5</v>
      </c>
      <c r="AS1018" s="2" t="s">
        <v>46</v>
      </c>
      <c r="AT1018" s="5" t="str">
        <f>HYPERLINK("http://catalog.hathitrust.org/Record/000178452","HathiTrust Record")</f>
        <v>HathiTrust Record</v>
      </c>
      <c r="AU1018" s="5" t="str">
        <f>HYPERLINK("https://creighton-primo.hosted.exlibrisgroup.com/primo-explore/search?tab=default_tab&amp;search_scope=EVERYTHING&amp;vid=01CRU&amp;lang=en_US&amp;offset=0&amp;query=any,contains,991004580129702656","Catalog Record")</f>
        <v>Catalog Record</v>
      </c>
      <c r="AV1018" s="5" t="str">
        <f>HYPERLINK("http://www.worldcat.org/oclc/4056544","WorldCat Record")</f>
        <v>WorldCat Record</v>
      </c>
      <c r="AW1018" s="2" t="s">
        <v>12607</v>
      </c>
      <c r="AX1018" s="2" t="s">
        <v>12608</v>
      </c>
      <c r="AY1018" s="2" t="s">
        <v>12609</v>
      </c>
      <c r="AZ1018" s="2" t="s">
        <v>12609</v>
      </c>
      <c r="BA1018" s="2" t="s">
        <v>12610</v>
      </c>
      <c r="BB1018" s="2" t="s">
        <v>20</v>
      </c>
      <c r="BD1018" s="2" t="s">
        <v>12611</v>
      </c>
      <c r="BE1018" s="2" t="s">
        <v>12612</v>
      </c>
      <c r="BF1018" s="2" t="s">
        <v>12613</v>
      </c>
    </row>
    <row r="1019" spans="1:58" ht="39.75" customHeight="1" x14ac:dyDescent="0.25">
      <c r="A1019" s="7" t="s">
        <v>5</v>
      </c>
      <c r="B1019" s="1" t="s">
        <v>0</v>
      </c>
      <c r="C1019" s="1" t="s">
        <v>1</v>
      </c>
      <c r="D1019" s="1" t="s">
        <v>12614</v>
      </c>
      <c r="E1019" s="1" t="s">
        <v>12615</v>
      </c>
      <c r="F1019" s="1" t="s">
        <v>12616</v>
      </c>
      <c r="H1019" s="2" t="s">
        <v>5</v>
      </c>
      <c r="I1019" s="2" t="s">
        <v>6</v>
      </c>
      <c r="J1019" s="2" t="s">
        <v>5</v>
      </c>
      <c r="K1019" s="2" t="s">
        <v>5</v>
      </c>
      <c r="L1019" s="2" t="s">
        <v>7</v>
      </c>
      <c r="M1019" s="1" t="s">
        <v>12617</v>
      </c>
      <c r="N1019" s="1" t="s">
        <v>12618</v>
      </c>
      <c r="O1019" s="2" t="s">
        <v>494</v>
      </c>
      <c r="Q1019" s="2" t="s">
        <v>1151</v>
      </c>
      <c r="R1019" s="2" t="s">
        <v>4146</v>
      </c>
      <c r="S1019" s="1" t="s">
        <v>12619</v>
      </c>
      <c r="T1019" s="2" t="s">
        <v>13</v>
      </c>
      <c r="U1019" s="3">
        <v>1</v>
      </c>
      <c r="V1019" s="3">
        <v>1</v>
      </c>
      <c r="W1019" s="4" t="s">
        <v>10532</v>
      </c>
      <c r="X1019" s="4" t="s">
        <v>10532</v>
      </c>
      <c r="Y1019" s="4" t="s">
        <v>10532</v>
      </c>
      <c r="Z1019" s="4" t="s">
        <v>10532</v>
      </c>
      <c r="AA1019" s="3">
        <v>152</v>
      </c>
      <c r="AB1019" s="3">
        <v>119</v>
      </c>
      <c r="AC1019" s="3">
        <v>464</v>
      </c>
      <c r="AD1019" s="3">
        <v>2</v>
      </c>
      <c r="AE1019" s="9">
        <v>3</v>
      </c>
      <c r="AF1019" s="9">
        <v>5</v>
      </c>
      <c r="AG1019" s="9">
        <v>21</v>
      </c>
      <c r="AH1019" s="3">
        <v>0</v>
      </c>
      <c r="AI1019" s="3">
        <v>7</v>
      </c>
      <c r="AJ1019" s="3">
        <v>3</v>
      </c>
      <c r="AK1019" s="3">
        <v>6</v>
      </c>
      <c r="AL1019" s="3">
        <v>3</v>
      </c>
      <c r="AM1019" s="3">
        <v>15</v>
      </c>
      <c r="AN1019" s="3">
        <v>1</v>
      </c>
      <c r="AO1019" s="3">
        <v>2</v>
      </c>
      <c r="AP1019" s="3">
        <v>0</v>
      </c>
      <c r="AQ1019" s="3">
        <v>0</v>
      </c>
      <c r="AR1019" s="2" t="s">
        <v>5</v>
      </c>
      <c r="AS1019" s="2" t="s">
        <v>46</v>
      </c>
      <c r="AT1019" s="5" t="str">
        <f>HYPERLINK("http://catalog.hathitrust.org/Record/007116324","HathiTrust Record")</f>
        <v>HathiTrust Record</v>
      </c>
      <c r="AU1019" s="5" t="str">
        <f>HYPERLINK("https://creighton-primo.hosted.exlibrisgroup.com/primo-explore/search?tab=default_tab&amp;search_scope=EVERYTHING&amp;vid=01CRU&amp;lang=en_US&amp;offset=0&amp;query=any,contains,991003681869702656","Catalog Record")</f>
        <v>Catalog Record</v>
      </c>
      <c r="AV1019" s="5" t="str">
        <f>HYPERLINK("http://www.worldcat.org/oclc/6725941","WorldCat Record")</f>
        <v>WorldCat Record</v>
      </c>
      <c r="AW1019" s="2" t="s">
        <v>12620</v>
      </c>
      <c r="AX1019" s="2" t="s">
        <v>12621</v>
      </c>
      <c r="AY1019" s="2" t="s">
        <v>12622</v>
      </c>
      <c r="AZ1019" s="2" t="s">
        <v>12622</v>
      </c>
      <c r="BA1019" s="2" t="s">
        <v>12623</v>
      </c>
      <c r="BB1019" s="2" t="s">
        <v>20</v>
      </c>
      <c r="BE1019" s="2" t="s">
        <v>12624</v>
      </c>
      <c r="BF1019" s="2" t="s">
        <v>12625</v>
      </c>
    </row>
    <row r="1020" spans="1:58" ht="39.75" customHeight="1" x14ac:dyDescent="0.25">
      <c r="A1020" s="7" t="s">
        <v>5</v>
      </c>
      <c r="B1020" s="1" t="s">
        <v>0</v>
      </c>
      <c r="C1020" s="1" t="s">
        <v>1</v>
      </c>
      <c r="D1020" s="1" t="s">
        <v>12626</v>
      </c>
      <c r="E1020" s="1" t="s">
        <v>12627</v>
      </c>
      <c r="F1020" s="1" t="s">
        <v>12628</v>
      </c>
      <c r="H1020" s="2" t="s">
        <v>5</v>
      </c>
      <c r="I1020" s="2" t="s">
        <v>6</v>
      </c>
      <c r="J1020" s="2" t="s">
        <v>5</v>
      </c>
      <c r="K1020" s="2" t="s">
        <v>5</v>
      </c>
      <c r="L1020" s="2" t="s">
        <v>7</v>
      </c>
      <c r="M1020" s="1" t="s">
        <v>12629</v>
      </c>
      <c r="N1020" s="1" t="s">
        <v>12630</v>
      </c>
      <c r="O1020" s="2" t="s">
        <v>569</v>
      </c>
      <c r="P1020" s="1" t="s">
        <v>2908</v>
      </c>
      <c r="Q1020" s="2" t="s">
        <v>1151</v>
      </c>
      <c r="R1020" s="2" t="s">
        <v>6916</v>
      </c>
      <c r="T1020" s="2" t="s">
        <v>13</v>
      </c>
      <c r="U1020" s="3">
        <v>2</v>
      </c>
      <c r="V1020" s="3">
        <v>2</v>
      </c>
      <c r="W1020" s="4" t="s">
        <v>8230</v>
      </c>
      <c r="X1020" s="4" t="s">
        <v>8230</v>
      </c>
      <c r="Y1020" s="4" t="s">
        <v>8230</v>
      </c>
      <c r="Z1020" s="4" t="s">
        <v>8230</v>
      </c>
      <c r="AA1020" s="3">
        <v>76</v>
      </c>
      <c r="AB1020" s="3">
        <v>75</v>
      </c>
      <c r="AC1020" s="3">
        <v>79</v>
      </c>
      <c r="AD1020" s="3">
        <v>1</v>
      </c>
      <c r="AE1020" s="9">
        <v>1</v>
      </c>
      <c r="AF1020" s="9">
        <v>1</v>
      </c>
      <c r="AG1020" s="9">
        <v>1</v>
      </c>
      <c r="AH1020" s="3">
        <v>0</v>
      </c>
      <c r="AI1020" s="3">
        <v>0</v>
      </c>
      <c r="AJ1020" s="3">
        <v>1</v>
      </c>
      <c r="AK1020" s="3">
        <v>1</v>
      </c>
      <c r="AL1020" s="3">
        <v>1</v>
      </c>
      <c r="AM1020" s="3">
        <v>1</v>
      </c>
      <c r="AN1020" s="3">
        <v>0</v>
      </c>
      <c r="AO1020" s="3">
        <v>0</v>
      </c>
      <c r="AP1020" s="3">
        <v>0</v>
      </c>
      <c r="AQ1020" s="3">
        <v>0</v>
      </c>
      <c r="AR1020" s="2" t="s">
        <v>5</v>
      </c>
      <c r="AS1020" s="2" t="s">
        <v>46</v>
      </c>
      <c r="AT1020" s="5" t="str">
        <f>HYPERLINK("http://catalog.hathitrust.org/Record/004121769","HathiTrust Record")</f>
        <v>HathiTrust Record</v>
      </c>
      <c r="AU1020" s="5" t="str">
        <f>HYPERLINK("https://creighton-primo.hosted.exlibrisgroup.com/primo-explore/search?tab=default_tab&amp;search_scope=EVERYTHING&amp;vid=01CRU&amp;lang=en_US&amp;offset=0&amp;query=any,contains,991003254229702656","Catalog Record")</f>
        <v>Catalog Record</v>
      </c>
      <c r="AV1020" s="5" t="str">
        <f>HYPERLINK("http://www.worldcat.org/oclc/41068549","WorldCat Record")</f>
        <v>WorldCat Record</v>
      </c>
      <c r="AW1020" s="2" t="s">
        <v>12631</v>
      </c>
      <c r="AX1020" s="2" t="s">
        <v>12632</v>
      </c>
      <c r="AY1020" s="2" t="s">
        <v>12633</v>
      </c>
      <c r="AZ1020" s="2" t="s">
        <v>12633</v>
      </c>
      <c r="BA1020" s="2" t="s">
        <v>12634</v>
      </c>
      <c r="BB1020" s="2" t="s">
        <v>20</v>
      </c>
      <c r="BD1020" s="2" t="s">
        <v>12635</v>
      </c>
      <c r="BE1020" s="2" t="s">
        <v>12636</v>
      </c>
      <c r="BF1020" s="2" t="s">
        <v>12637</v>
      </c>
    </row>
    <row r="1021" spans="1:58" ht="39.75" customHeight="1" x14ac:dyDescent="0.25">
      <c r="A1021" s="7" t="s">
        <v>5</v>
      </c>
      <c r="B1021" s="1" t="s">
        <v>0</v>
      </c>
      <c r="C1021" s="1" t="s">
        <v>1</v>
      </c>
      <c r="D1021" s="1" t="s">
        <v>12638</v>
      </c>
      <c r="E1021" s="1" t="s">
        <v>12639</v>
      </c>
      <c r="F1021" s="1" t="s">
        <v>12640</v>
      </c>
      <c r="H1021" s="2" t="s">
        <v>5</v>
      </c>
      <c r="I1021" s="2" t="s">
        <v>6</v>
      </c>
      <c r="J1021" s="2" t="s">
        <v>5</v>
      </c>
      <c r="K1021" s="2" t="s">
        <v>5</v>
      </c>
      <c r="L1021" s="2" t="s">
        <v>7</v>
      </c>
      <c r="M1021" s="1" t="s">
        <v>12641</v>
      </c>
      <c r="N1021" s="1" t="s">
        <v>12642</v>
      </c>
      <c r="O1021" s="2" t="s">
        <v>569</v>
      </c>
      <c r="Q1021" s="2" t="s">
        <v>1151</v>
      </c>
      <c r="R1021" s="2" t="s">
        <v>6994</v>
      </c>
      <c r="T1021" s="2" t="s">
        <v>13</v>
      </c>
      <c r="U1021" s="3">
        <v>2</v>
      </c>
      <c r="V1021" s="3">
        <v>2</v>
      </c>
      <c r="W1021" s="4" t="s">
        <v>5590</v>
      </c>
      <c r="X1021" s="4" t="s">
        <v>5590</v>
      </c>
      <c r="Y1021" s="4" t="s">
        <v>6689</v>
      </c>
      <c r="Z1021" s="4" t="s">
        <v>6689</v>
      </c>
      <c r="AA1021" s="3">
        <v>11</v>
      </c>
      <c r="AB1021" s="3">
        <v>11</v>
      </c>
      <c r="AC1021" s="3">
        <v>11</v>
      </c>
      <c r="AD1021" s="3">
        <v>1</v>
      </c>
      <c r="AE1021" s="9">
        <v>1</v>
      </c>
      <c r="AF1021" s="9">
        <v>1</v>
      </c>
      <c r="AG1021" s="9">
        <v>1</v>
      </c>
      <c r="AH1021" s="3">
        <v>0</v>
      </c>
      <c r="AI1021" s="3">
        <v>0</v>
      </c>
      <c r="AJ1021" s="3">
        <v>0</v>
      </c>
      <c r="AK1021" s="3">
        <v>0</v>
      </c>
      <c r="AL1021" s="3">
        <v>1</v>
      </c>
      <c r="AM1021" s="3">
        <v>1</v>
      </c>
      <c r="AN1021" s="3">
        <v>0</v>
      </c>
      <c r="AO1021" s="3">
        <v>0</v>
      </c>
      <c r="AP1021" s="3">
        <v>0</v>
      </c>
      <c r="AQ1021" s="3">
        <v>0</v>
      </c>
      <c r="AR1021" s="2" t="s">
        <v>5</v>
      </c>
      <c r="AS1021" s="2" t="s">
        <v>5</v>
      </c>
      <c r="AU1021" s="5" t="str">
        <f>HYPERLINK("https://creighton-primo.hosted.exlibrisgroup.com/primo-explore/search?tab=default_tab&amp;search_scope=EVERYTHING&amp;vid=01CRU&amp;lang=en_US&amp;offset=0&amp;query=any,contains,991003247129702656","Catalog Record")</f>
        <v>Catalog Record</v>
      </c>
      <c r="AV1021" s="5" t="str">
        <f>HYPERLINK("http://www.worldcat.org/oclc/43930222","WorldCat Record")</f>
        <v>WorldCat Record</v>
      </c>
      <c r="AW1021" s="2" t="s">
        <v>12643</v>
      </c>
      <c r="AX1021" s="2" t="s">
        <v>12644</v>
      </c>
      <c r="AY1021" s="2" t="s">
        <v>12645</v>
      </c>
      <c r="AZ1021" s="2" t="s">
        <v>12645</v>
      </c>
      <c r="BA1021" s="2" t="s">
        <v>12646</v>
      </c>
      <c r="BB1021" s="2" t="s">
        <v>20</v>
      </c>
      <c r="BE1021" s="2" t="s">
        <v>12647</v>
      </c>
      <c r="BF1021" s="2" t="s">
        <v>12648</v>
      </c>
    </row>
    <row r="1022" spans="1:58" ht="39.75" customHeight="1" x14ac:dyDescent="0.25">
      <c r="A1022" s="7" t="s">
        <v>5</v>
      </c>
      <c r="B1022" s="1" t="s">
        <v>0</v>
      </c>
      <c r="C1022" s="1" t="s">
        <v>1</v>
      </c>
      <c r="D1022" s="1" t="s">
        <v>12649</v>
      </c>
      <c r="E1022" s="1" t="s">
        <v>12650</v>
      </c>
      <c r="F1022" s="1" t="s">
        <v>12651</v>
      </c>
      <c r="H1022" s="2" t="s">
        <v>5</v>
      </c>
      <c r="I1022" s="2" t="s">
        <v>6</v>
      </c>
      <c r="J1022" s="2" t="s">
        <v>5</v>
      </c>
      <c r="K1022" s="2" t="s">
        <v>5</v>
      </c>
      <c r="L1022" s="2" t="s">
        <v>7</v>
      </c>
      <c r="M1022" s="1" t="s">
        <v>12652</v>
      </c>
      <c r="N1022" s="1" t="s">
        <v>12653</v>
      </c>
      <c r="O1022" s="2" t="s">
        <v>1473</v>
      </c>
      <c r="Q1022" s="2" t="s">
        <v>1151</v>
      </c>
      <c r="R1022" s="2" t="s">
        <v>6916</v>
      </c>
      <c r="S1022" s="1" t="s">
        <v>12654</v>
      </c>
      <c r="T1022" s="2" t="s">
        <v>13</v>
      </c>
      <c r="U1022" s="3">
        <v>1</v>
      </c>
      <c r="V1022" s="3">
        <v>1</v>
      </c>
      <c r="W1022" s="4" t="s">
        <v>1918</v>
      </c>
      <c r="X1022" s="4" t="s">
        <v>1918</v>
      </c>
      <c r="Y1022" s="4" t="s">
        <v>1918</v>
      </c>
      <c r="Z1022" s="4" t="s">
        <v>1918</v>
      </c>
      <c r="AA1022" s="3">
        <v>24</v>
      </c>
      <c r="AB1022" s="3">
        <v>24</v>
      </c>
      <c r="AC1022" s="3">
        <v>24</v>
      </c>
      <c r="AD1022" s="3">
        <v>1</v>
      </c>
      <c r="AE1022" s="9">
        <v>1</v>
      </c>
      <c r="AF1022" s="9">
        <v>1</v>
      </c>
      <c r="AG1022" s="9">
        <v>1</v>
      </c>
      <c r="AH1022" s="3">
        <v>0</v>
      </c>
      <c r="AI1022" s="3">
        <v>0</v>
      </c>
      <c r="AJ1022" s="3">
        <v>1</v>
      </c>
      <c r="AK1022" s="3">
        <v>1</v>
      </c>
      <c r="AL1022" s="3">
        <v>0</v>
      </c>
      <c r="AM1022" s="3">
        <v>0</v>
      </c>
      <c r="AN1022" s="3">
        <v>0</v>
      </c>
      <c r="AO1022" s="3">
        <v>0</v>
      </c>
      <c r="AP1022" s="3">
        <v>0</v>
      </c>
      <c r="AQ1022" s="3">
        <v>0</v>
      </c>
      <c r="AR1022" s="2" t="s">
        <v>5</v>
      </c>
      <c r="AS1022" s="2" t="s">
        <v>5</v>
      </c>
      <c r="AU1022" s="5" t="str">
        <f>HYPERLINK("https://creighton-primo.hosted.exlibrisgroup.com/primo-explore/search?tab=default_tab&amp;search_scope=EVERYTHING&amp;vid=01CRU&amp;lang=en_US&amp;offset=0&amp;query=any,contains,991004209009702656","Catalog Record")</f>
        <v>Catalog Record</v>
      </c>
      <c r="AV1022" s="5" t="str">
        <f>HYPERLINK("http://www.worldcat.org/oclc/54356315","WorldCat Record")</f>
        <v>WorldCat Record</v>
      </c>
      <c r="AW1022" s="2" t="s">
        <v>12655</v>
      </c>
      <c r="AX1022" s="2" t="s">
        <v>12656</v>
      </c>
      <c r="AY1022" s="2" t="s">
        <v>12657</v>
      </c>
      <c r="AZ1022" s="2" t="s">
        <v>12657</v>
      </c>
      <c r="BA1022" s="2" t="s">
        <v>12658</v>
      </c>
      <c r="BB1022" s="2" t="s">
        <v>20</v>
      </c>
      <c r="BD1022" s="2" t="s">
        <v>12659</v>
      </c>
      <c r="BE1022" s="2" t="s">
        <v>12660</v>
      </c>
      <c r="BF1022" s="2" t="s">
        <v>12661</v>
      </c>
    </row>
    <row r="1023" spans="1:58" ht="39.75" customHeight="1" x14ac:dyDescent="0.25">
      <c r="A1023" s="7" t="s">
        <v>5</v>
      </c>
      <c r="B1023" s="1" t="s">
        <v>0</v>
      </c>
      <c r="C1023" s="1" t="s">
        <v>1</v>
      </c>
      <c r="D1023" s="1" t="s">
        <v>12662</v>
      </c>
      <c r="E1023" s="1" t="s">
        <v>12663</v>
      </c>
      <c r="F1023" s="1" t="s">
        <v>12664</v>
      </c>
      <c r="H1023" s="2" t="s">
        <v>5</v>
      </c>
      <c r="I1023" s="2" t="s">
        <v>6</v>
      </c>
      <c r="J1023" s="2" t="s">
        <v>5</v>
      </c>
      <c r="K1023" s="2" t="s">
        <v>5</v>
      </c>
      <c r="L1023" s="2" t="s">
        <v>7</v>
      </c>
      <c r="M1023" s="1" t="s">
        <v>12665</v>
      </c>
      <c r="N1023" s="1" t="s">
        <v>12666</v>
      </c>
      <c r="O1023" s="2" t="s">
        <v>3941</v>
      </c>
      <c r="P1023" s="1" t="s">
        <v>12667</v>
      </c>
      <c r="Q1023" s="2" t="s">
        <v>60</v>
      </c>
      <c r="R1023" s="2" t="s">
        <v>323</v>
      </c>
      <c r="T1023" s="2" t="s">
        <v>13</v>
      </c>
      <c r="U1023" s="3">
        <v>3</v>
      </c>
      <c r="V1023" s="3">
        <v>3</v>
      </c>
      <c r="W1023" s="4" t="s">
        <v>9199</v>
      </c>
      <c r="X1023" s="4" t="s">
        <v>9199</v>
      </c>
      <c r="Y1023" s="4" t="s">
        <v>9199</v>
      </c>
      <c r="Z1023" s="4" t="s">
        <v>9199</v>
      </c>
      <c r="AA1023" s="3">
        <v>243</v>
      </c>
      <c r="AB1023" s="3">
        <v>233</v>
      </c>
      <c r="AC1023" s="3">
        <v>563</v>
      </c>
      <c r="AD1023" s="3">
        <v>4</v>
      </c>
      <c r="AE1023" s="9">
        <v>5</v>
      </c>
      <c r="AF1023" s="9">
        <v>14</v>
      </c>
      <c r="AG1023" s="9">
        <v>28</v>
      </c>
      <c r="AH1023" s="3">
        <v>6</v>
      </c>
      <c r="AI1023" s="3">
        <v>11</v>
      </c>
      <c r="AJ1023" s="3">
        <v>2</v>
      </c>
      <c r="AK1023" s="3">
        <v>6</v>
      </c>
      <c r="AL1023" s="3">
        <v>6</v>
      </c>
      <c r="AM1023" s="3">
        <v>14</v>
      </c>
      <c r="AN1023" s="3">
        <v>3</v>
      </c>
      <c r="AO1023" s="3">
        <v>4</v>
      </c>
      <c r="AP1023" s="3">
        <v>0</v>
      </c>
      <c r="AQ1023" s="3">
        <v>0</v>
      </c>
      <c r="AR1023" s="2" t="s">
        <v>5</v>
      </c>
      <c r="AS1023" s="2" t="s">
        <v>5</v>
      </c>
      <c r="AU1023" s="5" t="str">
        <f>HYPERLINK("https://creighton-primo.hosted.exlibrisgroup.com/primo-explore/search?tab=default_tab&amp;search_scope=EVERYTHING&amp;vid=01CRU&amp;lang=en_US&amp;offset=0&amp;query=any,contains,991004503999702656","Catalog Record")</f>
        <v>Catalog Record</v>
      </c>
      <c r="AV1023" s="5" t="str">
        <f>HYPERLINK("http://www.worldcat.org/oclc/44594117","WorldCat Record")</f>
        <v>WorldCat Record</v>
      </c>
      <c r="AW1023" s="2" t="s">
        <v>12668</v>
      </c>
      <c r="AX1023" s="2" t="s">
        <v>12669</v>
      </c>
      <c r="AY1023" s="2" t="s">
        <v>12670</v>
      </c>
      <c r="AZ1023" s="2" t="s">
        <v>12670</v>
      </c>
      <c r="BA1023" s="2" t="s">
        <v>12671</v>
      </c>
      <c r="BB1023" s="2" t="s">
        <v>20</v>
      </c>
      <c r="BD1023" s="2" t="s">
        <v>12672</v>
      </c>
      <c r="BE1023" s="2" t="s">
        <v>12673</v>
      </c>
      <c r="BF1023" s="2" t="s">
        <v>12674</v>
      </c>
    </row>
    <row r="1024" spans="1:58" ht="39.75" customHeight="1" x14ac:dyDescent="0.25">
      <c r="A1024" s="7" t="s">
        <v>5</v>
      </c>
      <c r="B1024" s="1" t="s">
        <v>0</v>
      </c>
      <c r="C1024" s="1" t="s">
        <v>1</v>
      </c>
      <c r="D1024" s="1" t="s">
        <v>12675</v>
      </c>
      <c r="E1024" s="1" t="s">
        <v>12676</v>
      </c>
      <c r="F1024" s="1" t="s">
        <v>12677</v>
      </c>
      <c r="H1024" s="2" t="s">
        <v>5</v>
      </c>
      <c r="I1024" s="2" t="s">
        <v>6</v>
      </c>
      <c r="J1024" s="2" t="s">
        <v>5</v>
      </c>
      <c r="K1024" s="2" t="s">
        <v>5</v>
      </c>
      <c r="L1024" s="2" t="s">
        <v>7</v>
      </c>
      <c r="M1024" s="1" t="s">
        <v>12665</v>
      </c>
      <c r="N1024" s="1" t="s">
        <v>12678</v>
      </c>
      <c r="O1024" s="2" t="s">
        <v>569</v>
      </c>
      <c r="P1024" s="1" t="s">
        <v>12679</v>
      </c>
      <c r="Q1024" s="2" t="s">
        <v>1151</v>
      </c>
      <c r="R1024" s="2" t="s">
        <v>3942</v>
      </c>
      <c r="S1024" s="1" t="s">
        <v>12680</v>
      </c>
      <c r="T1024" s="2" t="s">
        <v>13</v>
      </c>
      <c r="U1024" s="3">
        <v>1</v>
      </c>
      <c r="V1024" s="3">
        <v>1</v>
      </c>
      <c r="W1024" s="4" t="s">
        <v>12681</v>
      </c>
      <c r="X1024" s="4" t="s">
        <v>12681</v>
      </c>
      <c r="Y1024" s="4" t="s">
        <v>12681</v>
      </c>
      <c r="Z1024" s="4" t="s">
        <v>12681</v>
      </c>
      <c r="AA1024" s="3">
        <v>78</v>
      </c>
      <c r="AB1024" s="3">
        <v>70</v>
      </c>
      <c r="AC1024" s="3">
        <v>72</v>
      </c>
      <c r="AD1024" s="3">
        <v>1</v>
      </c>
      <c r="AE1024" s="9">
        <v>1</v>
      </c>
      <c r="AF1024" s="9">
        <v>2</v>
      </c>
      <c r="AG1024" s="9">
        <v>2</v>
      </c>
      <c r="AH1024" s="3">
        <v>0</v>
      </c>
      <c r="AI1024" s="3">
        <v>0</v>
      </c>
      <c r="AJ1024" s="3">
        <v>2</v>
      </c>
      <c r="AK1024" s="3">
        <v>2</v>
      </c>
      <c r="AL1024" s="3">
        <v>2</v>
      </c>
      <c r="AM1024" s="3">
        <v>2</v>
      </c>
      <c r="AN1024" s="3">
        <v>0</v>
      </c>
      <c r="AO1024" s="3">
        <v>0</v>
      </c>
      <c r="AP1024" s="3">
        <v>0</v>
      </c>
      <c r="AQ1024" s="3">
        <v>0</v>
      </c>
      <c r="AR1024" s="2" t="s">
        <v>5</v>
      </c>
      <c r="AS1024" s="2" t="s">
        <v>46</v>
      </c>
      <c r="AT1024" s="5" t="str">
        <f>HYPERLINK("http://catalog.hathitrust.org/Record/004341936","HathiTrust Record")</f>
        <v>HathiTrust Record</v>
      </c>
      <c r="AU1024" s="5" t="str">
        <f>HYPERLINK("https://creighton-primo.hosted.exlibrisgroup.com/primo-explore/search?tab=default_tab&amp;search_scope=EVERYTHING&amp;vid=01CRU&amp;lang=en_US&amp;offset=0&amp;query=any,contains,991004028709702656","Catalog Record")</f>
        <v>Catalog Record</v>
      </c>
      <c r="AV1024" s="5" t="str">
        <f>HYPERLINK("http://www.worldcat.org/oclc/39656529","WorldCat Record")</f>
        <v>WorldCat Record</v>
      </c>
      <c r="AW1024" s="2" t="s">
        <v>12682</v>
      </c>
      <c r="AX1024" s="2" t="s">
        <v>12683</v>
      </c>
      <c r="AY1024" s="2" t="s">
        <v>12684</v>
      </c>
      <c r="AZ1024" s="2" t="s">
        <v>12684</v>
      </c>
      <c r="BA1024" s="2" t="s">
        <v>12685</v>
      </c>
      <c r="BB1024" s="2" t="s">
        <v>20</v>
      </c>
      <c r="BD1024" s="2" t="s">
        <v>12686</v>
      </c>
      <c r="BE1024" s="2" t="s">
        <v>12687</v>
      </c>
      <c r="BF1024" s="2" t="s">
        <v>12688</v>
      </c>
    </row>
    <row r="1025" spans="1:58" ht="39.75" customHeight="1" x14ac:dyDescent="0.25">
      <c r="A1025" s="7" t="s">
        <v>5</v>
      </c>
      <c r="B1025" s="1" t="s">
        <v>0</v>
      </c>
      <c r="C1025" s="1" t="s">
        <v>1</v>
      </c>
      <c r="D1025" s="1" t="s">
        <v>12689</v>
      </c>
      <c r="E1025" s="1" t="s">
        <v>12690</v>
      </c>
      <c r="F1025" s="1" t="s">
        <v>12691</v>
      </c>
      <c r="H1025" s="2" t="s">
        <v>5</v>
      </c>
      <c r="I1025" s="2" t="s">
        <v>6</v>
      </c>
      <c r="J1025" s="2" t="s">
        <v>5</v>
      </c>
      <c r="K1025" s="2" t="s">
        <v>5</v>
      </c>
      <c r="L1025" s="2" t="s">
        <v>7</v>
      </c>
      <c r="M1025" s="1" t="s">
        <v>12692</v>
      </c>
      <c r="N1025" s="1" t="s">
        <v>12693</v>
      </c>
      <c r="O1025" s="2" t="s">
        <v>494</v>
      </c>
      <c r="Q1025" s="2" t="s">
        <v>1151</v>
      </c>
      <c r="R1025" s="2" t="s">
        <v>9502</v>
      </c>
      <c r="T1025" s="2" t="s">
        <v>13</v>
      </c>
      <c r="U1025" s="3">
        <v>1</v>
      </c>
      <c r="V1025" s="3">
        <v>1</v>
      </c>
      <c r="W1025" s="4" t="s">
        <v>6701</v>
      </c>
      <c r="X1025" s="4" t="s">
        <v>6701</v>
      </c>
      <c r="Y1025" s="4" t="s">
        <v>6702</v>
      </c>
      <c r="Z1025" s="4" t="s">
        <v>6702</v>
      </c>
      <c r="AA1025" s="3">
        <v>85</v>
      </c>
      <c r="AB1025" s="3">
        <v>59</v>
      </c>
      <c r="AC1025" s="3">
        <v>77</v>
      </c>
      <c r="AD1025" s="3">
        <v>1</v>
      </c>
      <c r="AE1025" s="9">
        <v>1</v>
      </c>
      <c r="AF1025" s="9">
        <v>1</v>
      </c>
      <c r="AG1025" s="9">
        <v>2</v>
      </c>
      <c r="AH1025" s="3">
        <v>0</v>
      </c>
      <c r="AI1025" s="3">
        <v>0</v>
      </c>
      <c r="AJ1025" s="3">
        <v>0</v>
      </c>
      <c r="AK1025" s="3">
        <v>1</v>
      </c>
      <c r="AL1025" s="3">
        <v>1</v>
      </c>
      <c r="AM1025" s="3">
        <v>1</v>
      </c>
      <c r="AN1025" s="3">
        <v>0</v>
      </c>
      <c r="AO1025" s="3">
        <v>0</v>
      </c>
      <c r="AP1025" s="3">
        <v>0</v>
      </c>
      <c r="AQ1025" s="3">
        <v>0</v>
      </c>
      <c r="AR1025" s="2" t="s">
        <v>5</v>
      </c>
      <c r="AS1025" s="2" t="s">
        <v>46</v>
      </c>
      <c r="AT1025" s="5" t="str">
        <f>HYPERLINK("http://catalog.hathitrust.org/Record/009509375","HathiTrust Record")</f>
        <v>HathiTrust Record</v>
      </c>
      <c r="AU1025" s="5" t="str">
        <f>HYPERLINK("https://creighton-primo.hosted.exlibrisgroup.com/primo-explore/search?tab=default_tab&amp;search_scope=EVERYTHING&amp;vid=01CRU&amp;lang=en_US&amp;offset=0&amp;query=any,contains,991003758809702656","Catalog Record")</f>
        <v>Catalog Record</v>
      </c>
      <c r="AV1025" s="5" t="str">
        <f>HYPERLINK("http://www.worldcat.org/oclc/4142367","WorldCat Record")</f>
        <v>WorldCat Record</v>
      </c>
      <c r="AW1025" s="2" t="s">
        <v>12694</v>
      </c>
      <c r="AX1025" s="2" t="s">
        <v>12695</v>
      </c>
      <c r="AY1025" s="2" t="s">
        <v>12696</v>
      </c>
      <c r="AZ1025" s="2" t="s">
        <v>12696</v>
      </c>
      <c r="BA1025" s="2" t="s">
        <v>12697</v>
      </c>
      <c r="BB1025" s="2" t="s">
        <v>20</v>
      </c>
      <c r="BE1025" s="2" t="s">
        <v>12698</v>
      </c>
      <c r="BF1025" s="2" t="s">
        <v>12699</v>
      </c>
    </row>
    <row r="1026" spans="1:58" ht="39.75" customHeight="1" x14ac:dyDescent="0.25">
      <c r="A1026" s="7" t="s">
        <v>5</v>
      </c>
      <c r="B1026" s="1" t="s">
        <v>0</v>
      </c>
      <c r="C1026" s="1" t="s">
        <v>1</v>
      </c>
      <c r="D1026" s="1" t="s">
        <v>12700</v>
      </c>
      <c r="E1026" s="1" t="s">
        <v>12701</v>
      </c>
      <c r="F1026" s="1" t="s">
        <v>12702</v>
      </c>
      <c r="H1026" s="2" t="s">
        <v>5</v>
      </c>
      <c r="I1026" s="2" t="s">
        <v>6</v>
      </c>
      <c r="J1026" s="2" t="s">
        <v>5</v>
      </c>
      <c r="K1026" s="2" t="s">
        <v>5</v>
      </c>
      <c r="L1026" s="2" t="s">
        <v>7</v>
      </c>
      <c r="M1026" s="1" t="s">
        <v>12703</v>
      </c>
      <c r="N1026" s="1" t="s">
        <v>12704</v>
      </c>
      <c r="O1026" s="2" t="s">
        <v>291</v>
      </c>
      <c r="Q1026" s="2" t="s">
        <v>1151</v>
      </c>
      <c r="R1026" s="2" t="s">
        <v>4146</v>
      </c>
      <c r="S1026" s="1" t="s">
        <v>12705</v>
      </c>
      <c r="T1026" s="2" t="s">
        <v>13</v>
      </c>
      <c r="U1026" s="3">
        <v>1</v>
      </c>
      <c r="V1026" s="3">
        <v>1</v>
      </c>
      <c r="W1026" s="4" t="s">
        <v>10532</v>
      </c>
      <c r="X1026" s="4" t="s">
        <v>10532</v>
      </c>
      <c r="Y1026" s="4" t="s">
        <v>10532</v>
      </c>
      <c r="Z1026" s="4" t="s">
        <v>10532</v>
      </c>
      <c r="AA1026" s="3">
        <v>101</v>
      </c>
      <c r="AB1026" s="3">
        <v>68</v>
      </c>
      <c r="AC1026" s="3">
        <v>120</v>
      </c>
      <c r="AD1026" s="3">
        <v>1</v>
      </c>
      <c r="AE1026" s="9">
        <v>2</v>
      </c>
      <c r="AF1026" s="9">
        <v>3</v>
      </c>
      <c r="AG1026" s="9">
        <v>6</v>
      </c>
      <c r="AH1026" s="3">
        <v>0</v>
      </c>
      <c r="AI1026" s="3">
        <v>0</v>
      </c>
      <c r="AJ1026" s="3">
        <v>3</v>
      </c>
      <c r="AK1026" s="3">
        <v>4</v>
      </c>
      <c r="AL1026" s="3">
        <v>1</v>
      </c>
      <c r="AM1026" s="3">
        <v>3</v>
      </c>
      <c r="AN1026" s="3">
        <v>0</v>
      </c>
      <c r="AO1026" s="3">
        <v>1</v>
      </c>
      <c r="AP1026" s="3">
        <v>0</v>
      </c>
      <c r="AQ1026" s="3">
        <v>0</v>
      </c>
      <c r="AR1026" s="2" t="s">
        <v>5</v>
      </c>
      <c r="AS1026" s="2" t="s">
        <v>46</v>
      </c>
      <c r="AT1026" s="5" t="str">
        <f>HYPERLINK("http://catalog.hathitrust.org/Record/000878255","HathiTrust Record")</f>
        <v>HathiTrust Record</v>
      </c>
      <c r="AU1026" s="5" t="str">
        <f>HYPERLINK("https://creighton-primo.hosted.exlibrisgroup.com/primo-explore/search?tab=default_tab&amp;search_scope=EVERYTHING&amp;vid=01CRU&amp;lang=en_US&amp;offset=0&amp;query=any,contains,991003682949702656","Catalog Record")</f>
        <v>Catalog Record</v>
      </c>
      <c r="AV1026" s="5" t="str">
        <f>HYPERLINK("http://www.worldcat.org/oclc/6486387","WorldCat Record")</f>
        <v>WorldCat Record</v>
      </c>
      <c r="AW1026" s="2" t="s">
        <v>12706</v>
      </c>
      <c r="AX1026" s="2" t="s">
        <v>12707</v>
      </c>
      <c r="AY1026" s="2" t="s">
        <v>12708</v>
      </c>
      <c r="AZ1026" s="2" t="s">
        <v>12708</v>
      </c>
      <c r="BA1026" s="2" t="s">
        <v>12709</v>
      </c>
      <c r="BB1026" s="2" t="s">
        <v>20</v>
      </c>
      <c r="BE1026" s="2" t="s">
        <v>12710</v>
      </c>
      <c r="BF1026" s="2" t="s">
        <v>12711</v>
      </c>
    </row>
    <row r="1027" spans="1:58" ht="39.75" customHeight="1" x14ac:dyDescent="0.25">
      <c r="A1027" s="7" t="s">
        <v>5</v>
      </c>
      <c r="B1027" s="1" t="s">
        <v>0</v>
      </c>
      <c r="C1027" s="1" t="s">
        <v>1</v>
      </c>
      <c r="D1027" s="1" t="s">
        <v>12712</v>
      </c>
      <c r="E1027" s="1" t="s">
        <v>12713</v>
      </c>
      <c r="F1027" s="1" t="s">
        <v>12714</v>
      </c>
      <c r="H1027" s="2" t="s">
        <v>5</v>
      </c>
      <c r="I1027" s="2" t="s">
        <v>6</v>
      </c>
      <c r="J1027" s="2" t="s">
        <v>5</v>
      </c>
      <c r="K1027" s="2" t="s">
        <v>5</v>
      </c>
      <c r="L1027" s="2" t="s">
        <v>7</v>
      </c>
      <c r="M1027" s="1" t="s">
        <v>12715</v>
      </c>
      <c r="N1027" s="1" t="s">
        <v>12716</v>
      </c>
      <c r="O1027" s="2" t="s">
        <v>2448</v>
      </c>
      <c r="P1027" s="1" t="s">
        <v>12717</v>
      </c>
      <c r="Q1027" s="2" t="s">
        <v>1151</v>
      </c>
      <c r="R1027" s="2" t="s">
        <v>12718</v>
      </c>
      <c r="T1027" s="2" t="s">
        <v>13</v>
      </c>
      <c r="U1027" s="3">
        <v>1</v>
      </c>
      <c r="V1027" s="3">
        <v>1</v>
      </c>
      <c r="W1027" s="4" t="s">
        <v>10422</v>
      </c>
      <c r="X1027" s="4" t="s">
        <v>10422</v>
      </c>
      <c r="Y1027" s="4" t="s">
        <v>10422</v>
      </c>
      <c r="Z1027" s="4" t="s">
        <v>10422</v>
      </c>
      <c r="AA1027" s="3">
        <v>14</v>
      </c>
      <c r="AB1027" s="3">
        <v>14</v>
      </c>
      <c r="AC1027" s="3">
        <v>79</v>
      </c>
      <c r="AD1027" s="3">
        <v>1</v>
      </c>
      <c r="AE1027" s="9">
        <v>2</v>
      </c>
      <c r="AF1027" s="9">
        <v>0</v>
      </c>
      <c r="AG1027" s="9">
        <v>2</v>
      </c>
      <c r="AH1027" s="3">
        <v>0</v>
      </c>
      <c r="AI1027" s="3">
        <v>1</v>
      </c>
      <c r="AJ1027" s="3">
        <v>0</v>
      </c>
      <c r="AK1027" s="3">
        <v>0</v>
      </c>
      <c r="AL1027" s="3">
        <v>0</v>
      </c>
      <c r="AM1027" s="3">
        <v>1</v>
      </c>
      <c r="AN1027" s="3">
        <v>0</v>
      </c>
      <c r="AO1027" s="3">
        <v>1</v>
      </c>
      <c r="AP1027" s="3">
        <v>0</v>
      </c>
      <c r="AQ1027" s="3">
        <v>0</v>
      </c>
      <c r="AR1027" s="2" t="s">
        <v>5</v>
      </c>
      <c r="AS1027" s="2" t="s">
        <v>46</v>
      </c>
      <c r="AT1027" s="5" t="str">
        <f>HYPERLINK("http://catalog.hathitrust.org/Record/101107587","HathiTrust Record")</f>
        <v>HathiTrust Record</v>
      </c>
      <c r="AU1027" s="5" t="str">
        <f>HYPERLINK("https://creighton-primo.hosted.exlibrisgroup.com/primo-explore/search?tab=default_tab&amp;search_scope=EVERYTHING&amp;vid=01CRU&amp;lang=en_US&amp;offset=0&amp;query=any,contains,991003254809702656","Catalog Record")</f>
        <v>Catalog Record</v>
      </c>
      <c r="AV1027" s="5" t="str">
        <f>HYPERLINK("http://www.worldcat.org/oclc/43780128","WorldCat Record")</f>
        <v>WorldCat Record</v>
      </c>
      <c r="AW1027" s="2" t="s">
        <v>12719</v>
      </c>
      <c r="AX1027" s="2" t="s">
        <v>12720</v>
      </c>
      <c r="AY1027" s="2" t="s">
        <v>12721</v>
      </c>
      <c r="AZ1027" s="2" t="s">
        <v>12721</v>
      </c>
      <c r="BA1027" s="2" t="s">
        <v>12722</v>
      </c>
      <c r="BB1027" s="2" t="s">
        <v>20</v>
      </c>
      <c r="BD1027" s="2" t="s">
        <v>12723</v>
      </c>
      <c r="BE1027" s="2" t="s">
        <v>12724</v>
      </c>
      <c r="BF1027" s="2" t="s">
        <v>12725</v>
      </c>
    </row>
    <row r="1028" spans="1:58" ht="39.75" customHeight="1" x14ac:dyDescent="0.25">
      <c r="A1028" s="7" t="s">
        <v>5</v>
      </c>
      <c r="B1028" s="1" t="s">
        <v>0</v>
      </c>
      <c r="C1028" s="1" t="s">
        <v>1</v>
      </c>
      <c r="D1028" s="1" t="s">
        <v>12726</v>
      </c>
      <c r="E1028" s="1" t="s">
        <v>12727</v>
      </c>
      <c r="F1028" s="1" t="s">
        <v>12728</v>
      </c>
      <c r="H1028" s="2" t="s">
        <v>5</v>
      </c>
      <c r="I1028" s="2" t="s">
        <v>6</v>
      </c>
      <c r="J1028" s="2" t="s">
        <v>5</v>
      </c>
      <c r="K1028" s="2" t="s">
        <v>5</v>
      </c>
      <c r="L1028" s="2" t="s">
        <v>7</v>
      </c>
      <c r="M1028" s="1" t="s">
        <v>12729</v>
      </c>
      <c r="N1028" s="1" t="s">
        <v>12730</v>
      </c>
      <c r="O1028" s="2" t="s">
        <v>108</v>
      </c>
      <c r="P1028" s="1" t="s">
        <v>2908</v>
      </c>
      <c r="Q1028" s="2" t="s">
        <v>1151</v>
      </c>
      <c r="R1028" s="2" t="s">
        <v>12731</v>
      </c>
      <c r="S1028" s="1" t="s">
        <v>12732</v>
      </c>
      <c r="T1028" s="2" t="s">
        <v>13</v>
      </c>
      <c r="U1028" s="3">
        <v>1</v>
      </c>
      <c r="V1028" s="3">
        <v>1</v>
      </c>
      <c r="W1028" s="4" t="s">
        <v>5137</v>
      </c>
      <c r="X1028" s="4" t="s">
        <v>5137</v>
      </c>
      <c r="Y1028" s="4" t="s">
        <v>5137</v>
      </c>
      <c r="Z1028" s="4" t="s">
        <v>5137</v>
      </c>
      <c r="AA1028" s="3">
        <v>100</v>
      </c>
      <c r="AB1028" s="3">
        <v>85</v>
      </c>
      <c r="AC1028" s="3">
        <v>157</v>
      </c>
      <c r="AD1028" s="3">
        <v>1</v>
      </c>
      <c r="AE1028" s="9">
        <v>1</v>
      </c>
      <c r="AF1028" s="9">
        <v>4</v>
      </c>
      <c r="AG1028" s="9">
        <v>8</v>
      </c>
      <c r="AH1028" s="3">
        <v>2</v>
      </c>
      <c r="AI1028" s="3">
        <v>3</v>
      </c>
      <c r="AJ1028" s="3">
        <v>1</v>
      </c>
      <c r="AK1028" s="3">
        <v>3</v>
      </c>
      <c r="AL1028" s="3">
        <v>2</v>
      </c>
      <c r="AM1028" s="3">
        <v>4</v>
      </c>
      <c r="AN1028" s="3">
        <v>0</v>
      </c>
      <c r="AO1028" s="3">
        <v>0</v>
      </c>
      <c r="AP1028" s="3">
        <v>0</v>
      </c>
      <c r="AQ1028" s="3">
        <v>0</v>
      </c>
      <c r="AR1028" s="2" t="s">
        <v>5</v>
      </c>
      <c r="AS1028" s="2" t="s">
        <v>5</v>
      </c>
      <c r="AU1028" s="5" t="str">
        <f>HYPERLINK("https://creighton-primo.hosted.exlibrisgroup.com/primo-explore/search?tab=default_tab&amp;search_scope=EVERYTHING&amp;vid=01CRU&amp;lang=en_US&amp;offset=0&amp;query=any,contains,991004510149702656","Catalog Record")</f>
        <v>Catalog Record</v>
      </c>
      <c r="AV1028" s="5" t="str">
        <f>HYPERLINK("http://www.worldcat.org/oclc/820086","WorldCat Record")</f>
        <v>WorldCat Record</v>
      </c>
      <c r="AW1028" s="2" t="s">
        <v>12733</v>
      </c>
      <c r="AX1028" s="2" t="s">
        <v>12734</v>
      </c>
      <c r="AY1028" s="2" t="s">
        <v>12735</v>
      </c>
      <c r="AZ1028" s="2" t="s">
        <v>12735</v>
      </c>
      <c r="BA1028" s="2" t="s">
        <v>12736</v>
      </c>
      <c r="BB1028" s="2" t="s">
        <v>20</v>
      </c>
      <c r="BE1028" s="2" t="s">
        <v>12737</v>
      </c>
      <c r="BF1028" s="2" t="s">
        <v>12738</v>
      </c>
    </row>
    <row r="1029" spans="1:58" ht="39.75" customHeight="1" x14ac:dyDescent="0.25">
      <c r="A1029" s="7" t="s">
        <v>5</v>
      </c>
      <c r="B1029" s="1" t="s">
        <v>0</v>
      </c>
      <c r="C1029" s="1" t="s">
        <v>1</v>
      </c>
      <c r="D1029" s="1" t="s">
        <v>12739</v>
      </c>
      <c r="E1029" s="1" t="s">
        <v>12740</v>
      </c>
      <c r="F1029" s="1" t="s">
        <v>12741</v>
      </c>
      <c r="H1029" s="2" t="s">
        <v>5</v>
      </c>
      <c r="I1029" s="2" t="s">
        <v>6</v>
      </c>
      <c r="J1029" s="2" t="s">
        <v>5</v>
      </c>
      <c r="K1029" s="2" t="s">
        <v>5</v>
      </c>
      <c r="L1029" s="2" t="s">
        <v>7</v>
      </c>
      <c r="M1029" s="1" t="s">
        <v>12742</v>
      </c>
      <c r="N1029" s="1" t="s">
        <v>12743</v>
      </c>
      <c r="O1029" s="2" t="s">
        <v>2859</v>
      </c>
      <c r="P1029" s="1" t="s">
        <v>12744</v>
      </c>
      <c r="Q1029" s="2" t="s">
        <v>60</v>
      </c>
      <c r="R1029" s="2" t="s">
        <v>5056</v>
      </c>
      <c r="T1029" s="2" t="s">
        <v>13</v>
      </c>
      <c r="U1029" s="3">
        <v>1</v>
      </c>
      <c r="V1029" s="3">
        <v>1</v>
      </c>
      <c r="W1029" s="4" t="s">
        <v>9883</v>
      </c>
      <c r="X1029" s="4" t="s">
        <v>9883</v>
      </c>
      <c r="Y1029" s="4" t="s">
        <v>9883</v>
      </c>
      <c r="Z1029" s="4" t="s">
        <v>9883</v>
      </c>
      <c r="AA1029" s="3">
        <v>98</v>
      </c>
      <c r="AB1029" s="3">
        <v>95</v>
      </c>
      <c r="AC1029" s="3">
        <v>97</v>
      </c>
      <c r="AD1029" s="3">
        <v>1</v>
      </c>
      <c r="AE1029" s="9">
        <v>1</v>
      </c>
      <c r="AF1029" s="9">
        <v>4</v>
      </c>
      <c r="AG1029" s="9">
        <v>4</v>
      </c>
      <c r="AH1029" s="3">
        <v>0</v>
      </c>
      <c r="AI1029" s="3">
        <v>0</v>
      </c>
      <c r="AJ1029" s="3">
        <v>2</v>
      </c>
      <c r="AK1029" s="3">
        <v>2</v>
      </c>
      <c r="AL1029" s="3">
        <v>3</v>
      </c>
      <c r="AM1029" s="3">
        <v>3</v>
      </c>
      <c r="AN1029" s="3">
        <v>0</v>
      </c>
      <c r="AO1029" s="3">
        <v>0</v>
      </c>
      <c r="AP1029" s="3">
        <v>0</v>
      </c>
      <c r="AQ1029" s="3">
        <v>0</v>
      </c>
      <c r="AR1029" s="2" t="s">
        <v>5</v>
      </c>
      <c r="AS1029" s="2" t="s">
        <v>46</v>
      </c>
      <c r="AT1029" s="5" t="str">
        <f>HYPERLINK("http://catalog.hathitrust.org/Record/003084146","HathiTrust Record")</f>
        <v>HathiTrust Record</v>
      </c>
      <c r="AU1029" s="5" t="str">
        <f>HYPERLINK("https://creighton-primo.hosted.exlibrisgroup.com/primo-explore/search?tab=default_tab&amp;search_scope=EVERYTHING&amp;vid=01CRU&amp;lang=en_US&amp;offset=0&amp;query=any,contains,991004027759702656","Catalog Record")</f>
        <v>Catalog Record</v>
      </c>
      <c r="AV1029" s="5" t="str">
        <f>HYPERLINK("http://www.worldcat.org/oclc/11768816","WorldCat Record")</f>
        <v>WorldCat Record</v>
      </c>
      <c r="AW1029" s="2" t="s">
        <v>12745</v>
      </c>
      <c r="AX1029" s="2" t="s">
        <v>12746</v>
      </c>
      <c r="AY1029" s="2" t="s">
        <v>12747</v>
      </c>
      <c r="AZ1029" s="2" t="s">
        <v>12747</v>
      </c>
      <c r="BA1029" s="2" t="s">
        <v>12748</v>
      </c>
      <c r="BB1029" s="2" t="s">
        <v>20</v>
      </c>
      <c r="BD1029" s="2" t="s">
        <v>12749</v>
      </c>
      <c r="BE1029" s="2" t="s">
        <v>12750</v>
      </c>
      <c r="BF1029" s="2" t="s">
        <v>12751</v>
      </c>
    </row>
    <row r="1030" spans="1:58" ht="39.75" customHeight="1" x14ac:dyDescent="0.25">
      <c r="A1030" s="7" t="s">
        <v>5</v>
      </c>
      <c r="B1030" s="1" t="s">
        <v>0</v>
      </c>
      <c r="C1030" s="1" t="s">
        <v>1</v>
      </c>
      <c r="D1030" s="1" t="s">
        <v>12752</v>
      </c>
      <c r="E1030" s="1" t="s">
        <v>12753</v>
      </c>
      <c r="F1030" s="1" t="s">
        <v>12754</v>
      </c>
      <c r="H1030" s="2" t="s">
        <v>5</v>
      </c>
      <c r="I1030" s="2" t="s">
        <v>6</v>
      </c>
      <c r="J1030" s="2" t="s">
        <v>5</v>
      </c>
      <c r="K1030" s="2" t="s">
        <v>5</v>
      </c>
      <c r="L1030" s="2" t="s">
        <v>7</v>
      </c>
      <c r="M1030" s="1" t="s">
        <v>12755</v>
      </c>
      <c r="N1030" s="1" t="s">
        <v>12756</v>
      </c>
      <c r="O1030" s="2" t="s">
        <v>2610</v>
      </c>
      <c r="P1030" s="1" t="s">
        <v>5911</v>
      </c>
      <c r="Q1030" s="2" t="s">
        <v>1151</v>
      </c>
      <c r="R1030" s="2" t="s">
        <v>5403</v>
      </c>
      <c r="S1030" s="1" t="s">
        <v>12757</v>
      </c>
      <c r="T1030" s="2" t="s">
        <v>13</v>
      </c>
      <c r="U1030" s="3">
        <v>1</v>
      </c>
      <c r="V1030" s="3">
        <v>1</v>
      </c>
      <c r="W1030" s="4" t="s">
        <v>3004</v>
      </c>
      <c r="X1030" s="4" t="s">
        <v>3004</v>
      </c>
      <c r="Y1030" s="4" t="s">
        <v>3004</v>
      </c>
      <c r="Z1030" s="4" t="s">
        <v>3004</v>
      </c>
      <c r="AA1030" s="3">
        <v>78</v>
      </c>
      <c r="AB1030" s="3">
        <v>60</v>
      </c>
      <c r="AC1030" s="3">
        <v>62</v>
      </c>
      <c r="AD1030" s="3">
        <v>1</v>
      </c>
      <c r="AE1030" s="9">
        <v>1</v>
      </c>
      <c r="AF1030" s="9">
        <v>4</v>
      </c>
      <c r="AG1030" s="9">
        <v>4</v>
      </c>
      <c r="AH1030" s="3">
        <v>2</v>
      </c>
      <c r="AI1030" s="3">
        <v>2</v>
      </c>
      <c r="AJ1030" s="3">
        <v>1</v>
      </c>
      <c r="AK1030" s="3">
        <v>1</v>
      </c>
      <c r="AL1030" s="3">
        <v>2</v>
      </c>
      <c r="AM1030" s="3">
        <v>2</v>
      </c>
      <c r="AN1030" s="3">
        <v>0</v>
      </c>
      <c r="AO1030" s="3">
        <v>0</v>
      </c>
      <c r="AP1030" s="3">
        <v>0</v>
      </c>
      <c r="AQ1030" s="3">
        <v>0</v>
      </c>
      <c r="AR1030" s="2" t="s">
        <v>5</v>
      </c>
      <c r="AS1030" s="2" t="s">
        <v>46</v>
      </c>
      <c r="AT1030" s="5" t="str">
        <f>HYPERLINK("http://catalog.hathitrust.org/Record/002962727","HathiTrust Record")</f>
        <v>HathiTrust Record</v>
      </c>
      <c r="AU1030" s="5" t="str">
        <f>HYPERLINK("https://creighton-primo.hosted.exlibrisgroup.com/primo-explore/search?tab=default_tab&amp;search_scope=EVERYTHING&amp;vid=01CRU&amp;lang=en_US&amp;offset=0&amp;query=any,contains,991003699499702656","Catalog Record")</f>
        <v>Catalog Record</v>
      </c>
      <c r="AV1030" s="5" t="str">
        <f>HYPERLINK("http://www.worldcat.org/oclc/20925182","WorldCat Record")</f>
        <v>WorldCat Record</v>
      </c>
      <c r="AW1030" s="2" t="s">
        <v>12758</v>
      </c>
      <c r="AX1030" s="2" t="s">
        <v>12759</v>
      </c>
      <c r="AY1030" s="2" t="s">
        <v>12760</v>
      </c>
      <c r="AZ1030" s="2" t="s">
        <v>12760</v>
      </c>
      <c r="BA1030" s="2" t="s">
        <v>12761</v>
      </c>
      <c r="BB1030" s="2" t="s">
        <v>20</v>
      </c>
      <c r="BD1030" s="2" t="s">
        <v>12762</v>
      </c>
      <c r="BE1030" s="2" t="s">
        <v>12763</v>
      </c>
      <c r="BF1030" s="2" t="s">
        <v>12764</v>
      </c>
    </row>
    <row r="1031" spans="1:58" ht="39.75" customHeight="1" x14ac:dyDescent="0.25">
      <c r="A1031" s="7" t="s">
        <v>5</v>
      </c>
      <c r="B1031" s="1" t="s">
        <v>0</v>
      </c>
      <c r="C1031" s="1" t="s">
        <v>1</v>
      </c>
      <c r="D1031" s="1" t="s">
        <v>12765</v>
      </c>
      <c r="E1031" s="1" t="s">
        <v>12766</v>
      </c>
      <c r="F1031" s="1" t="s">
        <v>12767</v>
      </c>
      <c r="H1031" s="2" t="s">
        <v>5</v>
      </c>
      <c r="I1031" s="2" t="s">
        <v>6</v>
      </c>
      <c r="J1031" s="2" t="s">
        <v>5</v>
      </c>
      <c r="K1031" s="2" t="s">
        <v>5</v>
      </c>
      <c r="L1031" s="2" t="s">
        <v>7</v>
      </c>
      <c r="M1031" s="1" t="s">
        <v>12768</v>
      </c>
      <c r="N1031" s="1" t="s">
        <v>12769</v>
      </c>
      <c r="O1031" s="2" t="s">
        <v>569</v>
      </c>
      <c r="Q1031" s="2" t="s">
        <v>1151</v>
      </c>
      <c r="R1031" s="2" t="s">
        <v>1152</v>
      </c>
      <c r="T1031" s="2" t="s">
        <v>13</v>
      </c>
      <c r="U1031" s="3">
        <v>1</v>
      </c>
      <c r="V1031" s="3">
        <v>1</v>
      </c>
      <c r="W1031" s="4" t="s">
        <v>10422</v>
      </c>
      <c r="X1031" s="4" t="s">
        <v>10422</v>
      </c>
      <c r="Y1031" s="4" t="s">
        <v>10422</v>
      </c>
      <c r="Z1031" s="4" t="s">
        <v>10422</v>
      </c>
      <c r="AA1031" s="3">
        <v>432</v>
      </c>
      <c r="AB1031" s="3">
        <v>391</v>
      </c>
      <c r="AC1031" s="3">
        <v>492</v>
      </c>
      <c r="AD1031" s="3">
        <v>2</v>
      </c>
      <c r="AE1031" s="9">
        <v>5</v>
      </c>
      <c r="AF1031" s="9">
        <v>9</v>
      </c>
      <c r="AG1031" s="9">
        <v>12</v>
      </c>
      <c r="AH1031" s="3">
        <v>3</v>
      </c>
      <c r="AI1031" s="3">
        <v>3</v>
      </c>
      <c r="AJ1031" s="3">
        <v>4</v>
      </c>
      <c r="AK1031" s="3">
        <v>4</v>
      </c>
      <c r="AL1031" s="3">
        <v>7</v>
      </c>
      <c r="AM1031" s="3">
        <v>7</v>
      </c>
      <c r="AN1031" s="3">
        <v>0</v>
      </c>
      <c r="AO1031" s="3">
        <v>3</v>
      </c>
      <c r="AP1031" s="3">
        <v>0</v>
      </c>
      <c r="AQ1031" s="3">
        <v>0</v>
      </c>
      <c r="AR1031" s="2" t="s">
        <v>5</v>
      </c>
      <c r="AS1031" s="2" t="s">
        <v>46</v>
      </c>
      <c r="AT1031" s="5" t="str">
        <f>HYPERLINK("http://catalog.hathitrust.org/Record/003978855","HathiTrust Record")</f>
        <v>HathiTrust Record</v>
      </c>
      <c r="AU1031" s="5" t="str">
        <f>HYPERLINK("https://creighton-primo.hosted.exlibrisgroup.com/primo-explore/search?tab=default_tab&amp;search_scope=EVERYTHING&amp;vid=01CRU&amp;lang=en_US&amp;offset=0&amp;query=any,contains,991003254719702656","Catalog Record")</f>
        <v>Catalog Record</v>
      </c>
      <c r="AV1031" s="5" t="str">
        <f>HYPERLINK("http://www.worldcat.org/oclc/39047525","WorldCat Record")</f>
        <v>WorldCat Record</v>
      </c>
      <c r="AW1031" s="2" t="s">
        <v>12770</v>
      </c>
      <c r="AX1031" s="2" t="s">
        <v>12771</v>
      </c>
      <c r="AY1031" s="2" t="s">
        <v>12772</v>
      </c>
      <c r="AZ1031" s="2" t="s">
        <v>12772</v>
      </c>
      <c r="BA1031" s="2" t="s">
        <v>12773</v>
      </c>
      <c r="BB1031" s="2" t="s">
        <v>20</v>
      </c>
      <c r="BD1031" s="2" t="s">
        <v>12774</v>
      </c>
      <c r="BE1031" s="2" t="s">
        <v>12775</v>
      </c>
      <c r="BF1031" s="2" t="s">
        <v>12776</v>
      </c>
    </row>
    <row r="1032" spans="1:58" ht="39.75" customHeight="1" x14ac:dyDescent="0.25">
      <c r="A1032" s="7" t="s">
        <v>5</v>
      </c>
      <c r="B1032" s="1" t="s">
        <v>0</v>
      </c>
      <c r="C1032" s="1" t="s">
        <v>1</v>
      </c>
      <c r="D1032" s="1" t="s">
        <v>12777</v>
      </c>
      <c r="E1032" s="1" t="s">
        <v>12778</v>
      </c>
      <c r="F1032" s="1" t="s">
        <v>12779</v>
      </c>
      <c r="H1032" s="2" t="s">
        <v>5</v>
      </c>
      <c r="I1032" s="2" t="s">
        <v>6</v>
      </c>
      <c r="J1032" s="2" t="s">
        <v>5</v>
      </c>
      <c r="K1032" s="2" t="s">
        <v>5</v>
      </c>
      <c r="L1032" s="2" t="s">
        <v>7</v>
      </c>
      <c r="M1032" s="1" t="s">
        <v>12780</v>
      </c>
      <c r="N1032" s="1" t="s">
        <v>12781</v>
      </c>
      <c r="O1032" s="2" t="s">
        <v>452</v>
      </c>
      <c r="P1032" s="1" t="s">
        <v>2908</v>
      </c>
      <c r="Q1032" s="2" t="s">
        <v>1151</v>
      </c>
      <c r="R1032" s="2" t="s">
        <v>5374</v>
      </c>
      <c r="S1032" s="1" t="s">
        <v>12782</v>
      </c>
      <c r="T1032" s="2" t="s">
        <v>13</v>
      </c>
      <c r="U1032" s="3">
        <v>1</v>
      </c>
      <c r="V1032" s="3">
        <v>1</v>
      </c>
      <c r="W1032" s="4" t="s">
        <v>5376</v>
      </c>
      <c r="X1032" s="4" t="s">
        <v>5376</v>
      </c>
      <c r="Y1032" s="4" t="s">
        <v>5377</v>
      </c>
      <c r="Z1032" s="4" t="s">
        <v>5377</v>
      </c>
      <c r="AA1032" s="3">
        <v>41</v>
      </c>
      <c r="AB1032" s="3">
        <v>36</v>
      </c>
      <c r="AC1032" s="3">
        <v>98</v>
      </c>
      <c r="AD1032" s="3">
        <v>1</v>
      </c>
      <c r="AE1032" s="9">
        <v>1</v>
      </c>
      <c r="AF1032" s="9">
        <v>1</v>
      </c>
      <c r="AG1032" s="9">
        <v>2</v>
      </c>
      <c r="AH1032" s="3">
        <v>0</v>
      </c>
      <c r="AI1032" s="3">
        <v>0</v>
      </c>
      <c r="AJ1032" s="3">
        <v>1</v>
      </c>
      <c r="AK1032" s="3">
        <v>2</v>
      </c>
      <c r="AL1032" s="3">
        <v>0</v>
      </c>
      <c r="AM1032" s="3">
        <v>1</v>
      </c>
      <c r="AN1032" s="3">
        <v>0</v>
      </c>
      <c r="AO1032" s="3">
        <v>0</v>
      </c>
      <c r="AP1032" s="3">
        <v>0</v>
      </c>
      <c r="AQ1032" s="3">
        <v>0</v>
      </c>
      <c r="AR1032" s="2" t="s">
        <v>5</v>
      </c>
      <c r="AS1032" s="2" t="s">
        <v>5</v>
      </c>
      <c r="AU1032" s="5" t="str">
        <f>HYPERLINK("https://creighton-primo.hosted.exlibrisgroup.com/primo-explore/search?tab=default_tab&amp;search_scope=EVERYTHING&amp;vid=01CRU&amp;lang=en_US&amp;offset=0&amp;query=any,contains,991003669829702656","Catalog Record")</f>
        <v>Catalog Record</v>
      </c>
      <c r="AV1032" s="5" t="str">
        <f>HYPERLINK("http://www.worldcat.org/oclc/37426768","WorldCat Record")</f>
        <v>WorldCat Record</v>
      </c>
      <c r="AW1032" s="2" t="s">
        <v>12783</v>
      </c>
      <c r="AX1032" s="2" t="s">
        <v>12784</v>
      </c>
      <c r="AY1032" s="2" t="s">
        <v>12785</v>
      </c>
      <c r="AZ1032" s="2" t="s">
        <v>12785</v>
      </c>
      <c r="BA1032" s="2" t="s">
        <v>12786</v>
      </c>
      <c r="BB1032" s="2" t="s">
        <v>20</v>
      </c>
      <c r="BE1032" s="2" t="s">
        <v>12787</v>
      </c>
      <c r="BF1032" s="2" t="s">
        <v>12788</v>
      </c>
    </row>
    <row r="1033" spans="1:58" ht="39.75" customHeight="1" x14ac:dyDescent="0.25">
      <c r="A1033" s="7" t="s">
        <v>5</v>
      </c>
      <c r="B1033" s="1" t="s">
        <v>0</v>
      </c>
      <c r="C1033" s="1" t="s">
        <v>1</v>
      </c>
      <c r="D1033" s="1" t="s">
        <v>12789</v>
      </c>
      <c r="E1033" s="1" t="s">
        <v>12790</v>
      </c>
      <c r="F1033" s="1" t="s">
        <v>12791</v>
      </c>
      <c r="H1033" s="2" t="s">
        <v>5</v>
      </c>
      <c r="I1033" s="2" t="s">
        <v>6</v>
      </c>
      <c r="J1033" s="2" t="s">
        <v>5</v>
      </c>
      <c r="K1033" s="2" t="s">
        <v>5</v>
      </c>
      <c r="L1033" s="2" t="s">
        <v>7</v>
      </c>
      <c r="M1033" s="1" t="s">
        <v>12792</v>
      </c>
      <c r="N1033" s="1" t="s">
        <v>10907</v>
      </c>
      <c r="O1033" s="2" t="s">
        <v>3817</v>
      </c>
      <c r="P1033" s="1" t="s">
        <v>2908</v>
      </c>
      <c r="Q1033" s="2" t="s">
        <v>1151</v>
      </c>
      <c r="R1033" s="2" t="s">
        <v>5374</v>
      </c>
      <c r="S1033" s="1" t="s">
        <v>12793</v>
      </c>
      <c r="T1033" s="2" t="s">
        <v>13</v>
      </c>
      <c r="U1033" s="3">
        <v>1</v>
      </c>
      <c r="V1033" s="3">
        <v>1</v>
      </c>
      <c r="W1033" s="4" t="s">
        <v>5376</v>
      </c>
      <c r="X1033" s="4" t="s">
        <v>5376</v>
      </c>
      <c r="Y1033" s="4" t="s">
        <v>5377</v>
      </c>
      <c r="Z1033" s="4" t="s">
        <v>5377</v>
      </c>
      <c r="AA1033" s="3">
        <v>39</v>
      </c>
      <c r="AB1033" s="3">
        <v>34</v>
      </c>
      <c r="AC1033" s="3">
        <v>34</v>
      </c>
      <c r="AD1033" s="3">
        <v>1</v>
      </c>
      <c r="AE1033" s="9">
        <v>1</v>
      </c>
      <c r="AF1033" s="9">
        <v>1</v>
      </c>
      <c r="AG1033" s="9">
        <v>1</v>
      </c>
      <c r="AH1033" s="3">
        <v>0</v>
      </c>
      <c r="AI1033" s="3">
        <v>0</v>
      </c>
      <c r="AJ1033" s="3">
        <v>1</v>
      </c>
      <c r="AK1033" s="3">
        <v>1</v>
      </c>
      <c r="AL1033" s="3">
        <v>0</v>
      </c>
      <c r="AM1033" s="3">
        <v>0</v>
      </c>
      <c r="AN1033" s="3">
        <v>0</v>
      </c>
      <c r="AO1033" s="3">
        <v>0</v>
      </c>
      <c r="AP1033" s="3">
        <v>0</v>
      </c>
      <c r="AQ1033" s="3">
        <v>0</v>
      </c>
      <c r="AR1033" s="2" t="s">
        <v>5</v>
      </c>
      <c r="AS1033" s="2" t="s">
        <v>5</v>
      </c>
      <c r="AU1033" s="5" t="str">
        <f>HYPERLINK("https://creighton-primo.hosted.exlibrisgroup.com/primo-explore/search?tab=default_tab&amp;search_scope=EVERYTHING&amp;vid=01CRU&amp;lang=en_US&amp;offset=0&amp;query=any,contains,991003670229702656","Catalog Record")</f>
        <v>Catalog Record</v>
      </c>
      <c r="AV1033" s="5" t="str">
        <f>HYPERLINK("http://www.worldcat.org/oclc/39212406","WorldCat Record")</f>
        <v>WorldCat Record</v>
      </c>
      <c r="AW1033" s="2" t="s">
        <v>12794</v>
      </c>
      <c r="AX1033" s="2" t="s">
        <v>12795</v>
      </c>
      <c r="AY1033" s="2" t="s">
        <v>12796</v>
      </c>
      <c r="AZ1033" s="2" t="s">
        <v>12796</v>
      </c>
      <c r="BA1033" s="2" t="s">
        <v>12797</v>
      </c>
      <c r="BB1033" s="2" t="s">
        <v>20</v>
      </c>
      <c r="BE1033" s="2" t="s">
        <v>12798</v>
      </c>
      <c r="BF1033" s="2" t="s">
        <v>12799</v>
      </c>
    </row>
    <row r="1034" spans="1:58" ht="39.75" customHeight="1" x14ac:dyDescent="0.25">
      <c r="A1034" s="7" t="s">
        <v>5</v>
      </c>
      <c r="B1034" s="1" t="s">
        <v>0</v>
      </c>
      <c r="C1034" s="1" t="s">
        <v>1</v>
      </c>
      <c r="D1034" s="1" t="s">
        <v>12800</v>
      </c>
      <c r="E1034" s="1" t="s">
        <v>12801</v>
      </c>
      <c r="F1034" s="1" t="s">
        <v>12802</v>
      </c>
      <c r="H1034" s="2" t="s">
        <v>5</v>
      </c>
      <c r="I1034" s="2" t="s">
        <v>6</v>
      </c>
      <c r="J1034" s="2" t="s">
        <v>5</v>
      </c>
      <c r="K1034" s="2" t="s">
        <v>46</v>
      </c>
      <c r="L1034" s="2" t="s">
        <v>7</v>
      </c>
      <c r="M1034" s="1" t="s">
        <v>12803</v>
      </c>
      <c r="N1034" s="1" t="s">
        <v>12804</v>
      </c>
      <c r="O1034" s="2" t="s">
        <v>3817</v>
      </c>
      <c r="P1034" s="1" t="s">
        <v>12679</v>
      </c>
      <c r="Q1034" s="2" t="s">
        <v>1151</v>
      </c>
      <c r="R1034" s="2" t="s">
        <v>5374</v>
      </c>
      <c r="S1034" s="1" t="s">
        <v>12805</v>
      </c>
      <c r="T1034" s="2" t="s">
        <v>13</v>
      </c>
      <c r="U1034" s="3">
        <v>1</v>
      </c>
      <c r="V1034" s="3">
        <v>1</v>
      </c>
      <c r="W1034" s="4" t="s">
        <v>5376</v>
      </c>
      <c r="X1034" s="4" t="s">
        <v>5376</v>
      </c>
      <c r="Y1034" s="4" t="s">
        <v>5377</v>
      </c>
      <c r="Z1034" s="4" t="s">
        <v>5377</v>
      </c>
      <c r="AA1034" s="3">
        <v>35</v>
      </c>
      <c r="AB1034" s="3">
        <v>32</v>
      </c>
      <c r="AC1034" s="3">
        <v>196</v>
      </c>
      <c r="AD1034" s="3">
        <v>1</v>
      </c>
      <c r="AE1034" s="9">
        <v>3</v>
      </c>
      <c r="AF1034" s="9">
        <v>1</v>
      </c>
      <c r="AG1034" s="9">
        <v>12</v>
      </c>
      <c r="AH1034" s="3">
        <v>0</v>
      </c>
      <c r="AI1034" s="3">
        <v>3</v>
      </c>
      <c r="AJ1034" s="3">
        <v>1</v>
      </c>
      <c r="AK1034" s="3">
        <v>4</v>
      </c>
      <c r="AL1034" s="3">
        <v>0</v>
      </c>
      <c r="AM1034" s="3">
        <v>6</v>
      </c>
      <c r="AN1034" s="3">
        <v>0</v>
      </c>
      <c r="AO1034" s="3">
        <v>2</v>
      </c>
      <c r="AP1034" s="3">
        <v>0</v>
      </c>
      <c r="AQ1034" s="3">
        <v>0</v>
      </c>
      <c r="AR1034" s="2" t="s">
        <v>5</v>
      </c>
      <c r="AS1034" s="2" t="s">
        <v>5</v>
      </c>
      <c r="AU1034" s="5" t="str">
        <f>HYPERLINK("https://creighton-primo.hosted.exlibrisgroup.com/primo-explore/search?tab=default_tab&amp;search_scope=EVERYTHING&amp;vid=01CRU&amp;lang=en_US&amp;offset=0&amp;query=any,contains,991003670309702656","Catalog Record")</f>
        <v>Catalog Record</v>
      </c>
      <c r="AV1034" s="5" t="str">
        <f>HYPERLINK("http://www.worldcat.org/oclc/39212170","WorldCat Record")</f>
        <v>WorldCat Record</v>
      </c>
      <c r="AW1034" s="2" t="s">
        <v>12806</v>
      </c>
      <c r="AX1034" s="2" t="s">
        <v>12807</v>
      </c>
      <c r="AY1034" s="2" t="s">
        <v>12808</v>
      </c>
      <c r="AZ1034" s="2" t="s">
        <v>12808</v>
      </c>
      <c r="BA1034" s="2" t="s">
        <v>12809</v>
      </c>
      <c r="BB1034" s="2" t="s">
        <v>20</v>
      </c>
      <c r="BE1034" s="2" t="s">
        <v>12810</v>
      </c>
      <c r="BF1034" s="2" t="s">
        <v>12811</v>
      </c>
    </row>
    <row r="1035" spans="1:58" ht="39.75" customHeight="1" x14ac:dyDescent="0.25">
      <c r="A1035" s="7" t="s">
        <v>5</v>
      </c>
      <c r="B1035" s="1" t="s">
        <v>0</v>
      </c>
      <c r="C1035" s="1" t="s">
        <v>1</v>
      </c>
      <c r="D1035" s="1" t="s">
        <v>12812</v>
      </c>
      <c r="E1035" s="1" t="s">
        <v>12813</v>
      </c>
      <c r="F1035" s="1" t="s">
        <v>12814</v>
      </c>
      <c r="H1035" s="2" t="s">
        <v>5</v>
      </c>
      <c r="I1035" s="2" t="s">
        <v>6</v>
      </c>
      <c r="J1035" s="2" t="s">
        <v>5</v>
      </c>
      <c r="K1035" s="2" t="s">
        <v>5</v>
      </c>
      <c r="L1035" s="2" t="s">
        <v>7</v>
      </c>
      <c r="M1035" s="1" t="s">
        <v>12815</v>
      </c>
      <c r="N1035" s="1" t="s">
        <v>12816</v>
      </c>
      <c r="O1035" s="2" t="s">
        <v>452</v>
      </c>
      <c r="P1035" s="1" t="s">
        <v>2908</v>
      </c>
      <c r="Q1035" s="2" t="s">
        <v>1151</v>
      </c>
      <c r="R1035" s="2" t="s">
        <v>5374</v>
      </c>
      <c r="S1035" s="1" t="s">
        <v>12817</v>
      </c>
      <c r="T1035" s="2" t="s">
        <v>13</v>
      </c>
      <c r="U1035" s="3">
        <v>1</v>
      </c>
      <c r="V1035" s="3">
        <v>1</v>
      </c>
      <c r="W1035" s="4" t="s">
        <v>5376</v>
      </c>
      <c r="X1035" s="4" t="s">
        <v>5376</v>
      </c>
      <c r="Y1035" s="4" t="s">
        <v>5377</v>
      </c>
      <c r="Z1035" s="4" t="s">
        <v>5377</v>
      </c>
      <c r="AA1035" s="3">
        <v>49</v>
      </c>
      <c r="AB1035" s="3">
        <v>41</v>
      </c>
      <c r="AC1035" s="3">
        <v>41</v>
      </c>
      <c r="AD1035" s="3">
        <v>1</v>
      </c>
      <c r="AE1035" s="9">
        <v>1</v>
      </c>
      <c r="AF1035" s="9">
        <v>1</v>
      </c>
      <c r="AG1035" s="9">
        <v>1</v>
      </c>
      <c r="AH1035" s="3">
        <v>0</v>
      </c>
      <c r="AI1035" s="3">
        <v>0</v>
      </c>
      <c r="AJ1035" s="3">
        <v>1</v>
      </c>
      <c r="AK1035" s="3">
        <v>1</v>
      </c>
      <c r="AL1035" s="3">
        <v>0</v>
      </c>
      <c r="AM1035" s="3">
        <v>0</v>
      </c>
      <c r="AN1035" s="3">
        <v>0</v>
      </c>
      <c r="AO1035" s="3">
        <v>0</v>
      </c>
      <c r="AP1035" s="3">
        <v>0</v>
      </c>
      <c r="AQ1035" s="3">
        <v>0</v>
      </c>
      <c r="AR1035" s="2" t="s">
        <v>5</v>
      </c>
      <c r="AS1035" s="2" t="s">
        <v>5</v>
      </c>
      <c r="AU1035" s="5" t="str">
        <f>HYPERLINK("https://creighton-primo.hosted.exlibrisgroup.com/primo-explore/search?tab=default_tab&amp;search_scope=EVERYTHING&amp;vid=01CRU&amp;lang=en_US&amp;offset=0&amp;query=any,contains,991003669579702656","Catalog Record")</f>
        <v>Catalog Record</v>
      </c>
      <c r="AV1035" s="5" t="str">
        <f>HYPERLINK("http://www.worldcat.org/oclc/39146652","WorldCat Record")</f>
        <v>WorldCat Record</v>
      </c>
      <c r="AW1035" s="2" t="s">
        <v>12818</v>
      </c>
      <c r="AX1035" s="2" t="s">
        <v>12819</v>
      </c>
      <c r="AY1035" s="2" t="s">
        <v>12820</v>
      </c>
      <c r="AZ1035" s="2" t="s">
        <v>12820</v>
      </c>
      <c r="BA1035" s="2" t="s">
        <v>12821</v>
      </c>
      <c r="BB1035" s="2" t="s">
        <v>20</v>
      </c>
      <c r="BE1035" s="2" t="s">
        <v>12822</v>
      </c>
      <c r="BF1035" s="2" t="s">
        <v>12823</v>
      </c>
    </row>
    <row r="1036" spans="1:58" ht="39.75" customHeight="1" x14ac:dyDescent="0.25">
      <c r="A1036" s="7" t="s">
        <v>5</v>
      </c>
      <c r="B1036" s="1" t="s">
        <v>0</v>
      </c>
      <c r="C1036" s="1" t="s">
        <v>1</v>
      </c>
      <c r="D1036" s="1" t="s">
        <v>12824</v>
      </c>
      <c r="E1036" s="1" t="s">
        <v>12825</v>
      </c>
      <c r="F1036" s="1" t="s">
        <v>12826</v>
      </c>
      <c r="H1036" s="2" t="s">
        <v>5</v>
      </c>
      <c r="I1036" s="2" t="s">
        <v>6</v>
      </c>
      <c r="J1036" s="2" t="s">
        <v>5</v>
      </c>
      <c r="K1036" s="2" t="s">
        <v>5</v>
      </c>
      <c r="L1036" s="2" t="s">
        <v>7</v>
      </c>
      <c r="M1036" s="1" t="s">
        <v>12827</v>
      </c>
      <c r="N1036" s="1" t="s">
        <v>12828</v>
      </c>
      <c r="O1036" s="2" t="s">
        <v>452</v>
      </c>
      <c r="P1036" s="1" t="s">
        <v>2908</v>
      </c>
      <c r="Q1036" s="2" t="s">
        <v>1151</v>
      </c>
      <c r="R1036" s="2" t="s">
        <v>5374</v>
      </c>
      <c r="S1036" s="1" t="s">
        <v>12829</v>
      </c>
      <c r="T1036" s="2" t="s">
        <v>13</v>
      </c>
      <c r="U1036" s="3">
        <v>1</v>
      </c>
      <c r="V1036" s="3">
        <v>1</v>
      </c>
      <c r="W1036" s="4" t="s">
        <v>5376</v>
      </c>
      <c r="X1036" s="4" t="s">
        <v>5376</v>
      </c>
      <c r="Y1036" s="4" t="s">
        <v>5377</v>
      </c>
      <c r="Z1036" s="4" t="s">
        <v>5377</v>
      </c>
      <c r="AA1036" s="3">
        <v>42</v>
      </c>
      <c r="AB1036" s="3">
        <v>36</v>
      </c>
      <c r="AC1036" s="3">
        <v>69</v>
      </c>
      <c r="AD1036" s="3">
        <v>1</v>
      </c>
      <c r="AE1036" s="9">
        <v>1</v>
      </c>
      <c r="AF1036" s="9">
        <v>1</v>
      </c>
      <c r="AG1036" s="9">
        <v>1</v>
      </c>
      <c r="AH1036" s="3">
        <v>0</v>
      </c>
      <c r="AI1036" s="3">
        <v>0</v>
      </c>
      <c r="AJ1036" s="3">
        <v>1</v>
      </c>
      <c r="AK1036" s="3">
        <v>1</v>
      </c>
      <c r="AL1036" s="3">
        <v>0</v>
      </c>
      <c r="AM1036" s="3">
        <v>0</v>
      </c>
      <c r="AN1036" s="3">
        <v>0</v>
      </c>
      <c r="AO1036" s="3">
        <v>0</v>
      </c>
      <c r="AP1036" s="3">
        <v>0</v>
      </c>
      <c r="AQ1036" s="3">
        <v>0</v>
      </c>
      <c r="AR1036" s="2" t="s">
        <v>5</v>
      </c>
      <c r="AS1036" s="2" t="s">
        <v>5</v>
      </c>
      <c r="AU1036" s="5" t="str">
        <f>HYPERLINK("https://creighton-primo.hosted.exlibrisgroup.com/primo-explore/search?tab=default_tab&amp;search_scope=EVERYTHING&amp;vid=01CRU&amp;lang=en_US&amp;offset=0&amp;query=any,contains,991003669619702656","Catalog Record")</f>
        <v>Catalog Record</v>
      </c>
      <c r="AV1036" s="5" t="str">
        <f>HYPERLINK("http://www.worldcat.org/oclc/37393065","WorldCat Record")</f>
        <v>WorldCat Record</v>
      </c>
      <c r="AW1036" s="2" t="s">
        <v>12830</v>
      </c>
      <c r="AX1036" s="2" t="s">
        <v>12831</v>
      </c>
      <c r="AY1036" s="2" t="s">
        <v>12832</v>
      </c>
      <c r="AZ1036" s="2" t="s">
        <v>12832</v>
      </c>
      <c r="BA1036" s="2" t="s">
        <v>12833</v>
      </c>
      <c r="BB1036" s="2" t="s">
        <v>20</v>
      </c>
      <c r="BE1036" s="2" t="s">
        <v>12834</v>
      </c>
      <c r="BF1036" s="2" t="s">
        <v>12835</v>
      </c>
    </row>
    <row r="1037" spans="1:58" ht="39.75" customHeight="1" x14ac:dyDescent="0.25">
      <c r="A1037" s="7" t="s">
        <v>5</v>
      </c>
      <c r="B1037" s="1" t="s">
        <v>0</v>
      </c>
      <c r="C1037" s="1" t="s">
        <v>1</v>
      </c>
      <c r="D1037" s="1" t="s">
        <v>12836</v>
      </c>
      <c r="E1037" s="1" t="s">
        <v>12837</v>
      </c>
      <c r="F1037" s="1" t="s">
        <v>12838</v>
      </c>
      <c r="H1037" s="2" t="s">
        <v>5</v>
      </c>
      <c r="I1037" s="2" t="s">
        <v>6</v>
      </c>
      <c r="J1037" s="2" t="s">
        <v>5</v>
      </c>
      <c r="K1037" s="2" t="s">
        <v>5</v>
      </c>
      <c r="L1037" s="2" t="s">
        <v>7</v>
      </c>
      <c r="M1037" s="1" t="s">
        <v>12839</v>
      </c>
      <c r="N1037" s="1" t="s">
        <v>12840</v>
      </c>
      <c r="O1037" s="2" t="s">
        <v>3817</v>
      </c>
      <c r="P1037" s="1" t="s">
        <v>2908</v>
      </c>
      <c r="Q1037" s="2" t="s">
        <v>1151</v>
      </c>
      <c r="R1037" s="2" t="s">
        <v>5374</v>
      </c>
      <c r="S1037" s="1" t="s">
        <v>12841</v>
      </c>
      <c r="T1037" s="2" t="s">
        <v>13</v>
      </c>
      <c r="U1037" s="3">
        <v>1</v>
      </c>
      <c r="V1037" s="3">
        <v>1</v>
      </c>
      <c r="W1037" s="4" t="s">
        <v>5376</v>
      </c>
      <c r="X1037" s="4" t="s">
        <v>5376</v>
      </c>
      <c r="Y1037" s="4" t="s">
        <v>5377</v>
      </c>
      <c r="Z1037" s="4" t="s">
        <v>5377</v>
      </c>
      <c r="AA1037" s="3">
        <v>35</v>
      </c>
      <c r="AB1037" s="3">
        <v>32</v>
      </c>
      <c r="AC1037" s="3">
        <v>35</v>
      </c>
      <c r="AD1037" s="3">
        <v>1</v>
      </c>
      <c r="AE1037" s="9">
        <v>1</v>
      </c>
      <c r="AF1037" s="9">
        <v>1</v>
      </c>
      <c r="AG1037" s="9">
        <v>1</v>
      </c>
      <c r="AH1037" s="3">
        <v>0</v>
      </c>
      <c r="AI1037" s="3">
        <v>0</v>
      </c>
      <c r="AJ1037" s="3">
        <v>1</v>
      </c>
      <c r="AK1037" s="3">
        <v>1</v>
      </c>
      <c r="AL1037" s="3">
        <v>0</v>
      </c>
      <c r="AM1037" s="3">
        <v>0</v>
      </c>
      <c r="AN1037" s="3">
        <v>0</v>
      </c>
      <c r="AO1037" s="3">
        <v>0</v>
      </c>
      <c r="AP1037" s="3">
        <v>0</v>
      </c>
      <c r="AQ1037" s="3">
        <v>0</v>
      </c>
      <c r="AR1037" s="2" t="s">
        <v>5</v>
      </c>
      <c r="AS1037" s="2" t="s">
        <v>46</v>
      </c>
      <c r="AT1037" s="5" t="str">
        <f>HYPERLINK("http://catalog.hathitrust.org/Record/101117954","HathiTrust Record")</f>
        <v>HathiTrust Record</v>
      </c>
      <c r="AU1037" s="5" t="str">
        <f>HYPERLINK("https://creighton-primo.hosted.exlibrisgroup.com/primo-explore/search?tab=default_tab&amp;search_scope=EVERYTHING&amp;vid=01CRU&amp;lang=en_US&amp;offset=0&amp;query=any,contains,991003670279702656","Catalog Record")</f>
        <v>Catalog Record</v>
      </c>
      <c r="AV1037" s="5" t="str">
        <f>HYPERLINK("http://www.worldcat.org/oclc/39212253","WorldCat Record")</f>
        <v>WorldCat Record</v>
      </c>
      <c r="AW1037" s="2" t="s">
        <v>12842</v>
      </c>
      <c r="AX1037" s="2" t="s">
        <v>12843</v>
      </c>
      <c r="AY1037" s="2" t="s">
        <v>12844</v>
      </c>
      <c r="AZ1037" s="2" t="s">
        <v>12844</v>
      </c>
      <c r="BA1037" s="2" t="s">
        <v>12845</v>
      </c>
      <c r="BB1037" s="2" t="s">
        <v>20</v>
      </c>
      <c r="BE1037" s="2" t="s">
        <v>12846</v>
      </c>
      <c r="BF1037" s="2" t="s">
        <v>12847</v>
      </c>
    </row>
    <row r="1038" spans="1:58" ht="39.75" customHeight="1" x14ac:dyDescent="0.25">
      <c r="A1038" s="7" t="s">
        <v>5</v>
      </c>
      <c r="B1038" s="1" t="s">
        <v>0</v>
      </c>
      <c r="C1038" s="1" t="s">
        <v>1</v>
      </c>
      <c r="D1038" s="1" t="s">
        <v>12848</v>
      </c>
      <c r="E1038" s="1" t="s">
        <v>12849</v>
      </c>
      <c r="F1038" s="1" t="s">
        <v>12850</v>
      </c>
      <c r="H1038" s="2" t="s">
        <v>5</v>
      </c>
      <c r="I1038" s="2" t="s">
        <v>6</v>
      </c>
      <c r="J1038" s="2" t="s">
        <v>5</v>
      </c>
      <c r="K1038" s="2" t="s">
        <v>5</v>
      </c>
      <c r="L1038" s="2" t="s">
        <v>7</v>
      </c>
      <c r="M1038" s="1" t="s">
        <v>12851</v>
      </c>
      <c r="N1038" s="1" t="s">
        <v>12852</v>
      </c>
      <c r="O1038" s="2" t="s">
        <v>452</v>
      </c>
      <c r="P1038" s="1" t="s">
        <v>2908</v>
      </c>
      <c r="Q1038" s="2" t="s">
        <v>1151</v>
      </c>
      <c r="R1038" s="2" t="s">
        <v>5374</v>
      </c>
      <c r="S1038" s="1" t="s">
        <v>12853</v>
      </c>
      <c r="T1038" s="2" t="s">
        <v>13</v>
      </c>
      <c r="U1038" s="3">
        <v>1</v>
      </c>
      <c r="V1038" s="3">
        <v>1</v>
      </c>
      <c r="W1038" s="4" t="s">
        <v>5376</v>
      </c>
      <c r="X1038" s="4" t="s">
        <v>5376</v>
      </c>
      <c r="Y1038" s="4" t="s">
        <v>5377</v>
      </c>
      <c r="Z1038" s="4" t="s">
        <v>5377</v>
      </c>
      <c r="AA1038" s="3">
        <v>39</v>
      </c>
      <c r="AB1038" s="3">
        <v>32</v>
      </c>
      <c r="AC1038" s="3">
        <v>96</v>
      </c>
      <c r="AD1038" s="3">
        <v>1</v>
      </c>
      <c r="AE1038" s="9">
        <v>1</v>
      </c>
      <c r="AF1038" s="9">
        <v>1</v>
      </c>
      <c r="AG1038" s="9">
        <v>2</v>
      </c>
      <c r="AH1038" s="3">
        <v>0</v>
      </c>
      <c r="AI1038" s="3">
        <v>0</v>
      </c>
      <c r="AJ1038" s="3">
        <v>1</v>
      </c>
      <c r="AK1038" s="3">
        <v>2</v>
      </c>
      <c r="AL1038" s="3">
        <v>0</v>
      </c>
      <c r="AM1038" s="3">
        <v>1</v>
      </c>
      <c r="AN1038" s="3">
        <v>0</v>
      </c>
      <c r="AO1038" s="3">
        <v>0</v>
      </c>
      <c r="AP1038" s="3">
        <v>0</v>
      </c>
      <c r="AQ1038" s="3">
        <v>0</v>
      </c>
      <c r="AR1038" s="2" t="s">
        <v>5</v>
      </c>
      <c r="AS1038" s="2" t="s">
        <v>5</v>
      </c>
      <c r="AU1038" s="5" t="str">
        <f>HYPERLINK("https://creighton-primo.hosted.exlibrisgroup.com/primo-explore/search?tab=default_tab&amp;search_scope=EVERYTHING&amp;vid=01CRU&amp;lang=en_US&amp;offset=0&amp;query=any,contains,991003669669702656","Catalog Record")</f>
        <v>Catalog Record</v>
      </c>
      <c r="AV1038" s="5" t="str">
        <f>HYPERLINK("http://www.worldcat.org/oclc/39146586","WorldCat Record")</f>
        <v>WorldCat Record</v>
      </c>
      <c r="AW1038" s="2" t="s">
        <v>12854</v>
      </c>
      <c r="AX1038" s="2" t="s">
        <v>12855</v>
      </c>
      <c r="AY1038" s="2" t="s">
        <v>12856</v>
      </c>
      <c r="AZ1038" s="2" t="s">
        <v>12856</v>
      </c>
      <c r="BA1038" s="2" t="s">
        <v>12857</v>
      </c>
      <c r="BB1038" s="2" t="s">
        <v>20</v>
      </c>
      <c r="BE1038" s="2" t="s">
        <v>12858</v>
      </c>
      <c r="BF1038" s="2" t="s">
        <v>12859</v>
      </c>
    </row>
    <row r="1039" spans="1:58" ht="39.75" customHeight="1" x14ac:dyDescent="0.25">
      <c r="A1039" s="7" t="s">
        <v>5</v>
      </c>
      <c r="B1039" s="1" t="s">
        <v>0</v>
      </c>
      <c r="C1039" s="1" t="s">
        <v>1</v>
      </c>
      <c r="D1039" s="1" t="s">
        <v>12860</v>
      </c>
      <c r="E1039" s="1" t="s">
        <v>12861</v>
      </c>
      <c r="F1039" s="1" t="s">
        <v>12862</v>
      </c>
      <c r="H1039" s="2" t="s">
        <v>5</v>
      </c>
      <c r="I1039" s="2" t="s">
        <v>6</v>
      </c>
      <c r="J1039" s="2" t="s">
        <v>5</v>
      </c>
      <c r="K1039" s="2" t="s">
        <v>5</v>
      </c>
      <c r="L1039" s="2" t="s">
        <v>7</v>
      </c>
      <c r="M1039" s="1" t="s">
        <v>12863</v>
      </c>
      <c r="N1039" s="1" t="s">
        <v>12781</v>
      </c>
      <c r="O1039" s="2" t="s">
        <v>452</v>
      </c>
      <c r="P1039" s="1" t="s">
        <v>2908</v>
      </c>
      <c r="Q1039" s="2" t="s">
        <v>1151</v>
      </c>
      <c r="R1039" s="2" t="s">
        <v>5374</v>
      </c>
      <c r="S1039" s="1" t="s">
        <v>12864</v>
      </c>
      <c r="T1039" s="2" t="s">
        <v>13</v>
      </c>
      <c r="U1039" s="3">
        <v>1</v>
      </c>
      <c r="V1039" s="3">
        <v>1</v>
      </c>
      <c r="W1039" s="4" t="s">
        <v>5376</v>
      </c>
      <c r="X1039" s="4" t="s">
        <v>5376</v>
      </c>
      <c r="Y1039" s="4" t="s">
        <v>5377</v>
      </c>
      <c r="Z1039" s="4" t="s">
        <v>5377</v>
      </c>
      <c r="AA1039" s="3">
        <v>43</v>
      </c>
      <c r="AB1039" s="3">
        <v>40</v>
      </c>
      <c r="AC1039" s="3">
        <v>51</v>
      </c>
      <c r="AD1039" s="3">
        <v>1</v>
      </c>
      <c r="AE1039" s="9">
        <v>1</v>
      </c>
      <c r="AF1039" s="9">
        <v>1</v>
      </c>
      <c r="AG1039" s="9">
        <v>1</v>
      </c>
      <c r="AH1039" s="3">
        <v>0</v>
      </c>
      <c r="AI1039" s="3">
        <v>0</v>
      </c>
      <c r="AJ1039" s="3">
        <v>1</v>
      </c>
      <c r="AK1039" s="3">
        <v>1</v>
      </c>
      <c r="AL1039" s="3">
        <v>0</v>
      </c>
      <c r="AM1039" s="3">
        <v>0</v>
      </c>
      <c r="AN1039" s="3">
        <v>0</v>
      </c>
      <c r="AO1039" s="3">
        <v>0</v>
      </c>
      <c r="AP1039" s="3">
        <v>0</v>
      </c>
      <c r="AQ1039" s="3">
        <v>0</v>
      </c>
      <c r="AR1039" s="2" t="s">
        <v>5</v>
      </c>
      <c r="AS1039" s="2" t="s">
        <v>5</v>
      </c>
      <c r="AU1039" s="5" t="str">
        <f>HYPERLINK("https://creighton-primo.hosted.exlibrisgroup.com/primo-explore/search?tab=default_tab&amp;search_scope=EVERYTHING&amp;vid=01CRU&amp;lang=en_US&amp;offset=0&amp;query=any,contains,991003669739702656","Catalog Record")</f>
        <v>Catalog Record</v>
      </c>
      <c r="AV1039" s="5" t="str">
        <f>HYPERLINK("http://www.worldcat.org/oclc/37393064","WorldCat Record")</f>
        <v>WorldCat Record</v>
      </c>
      <c r="AW1039" s="2" t="s">
        <v>12865</v>
      </c>
      <c r="AX1039" s="2" t="s">
        <v>12866</v>
      </c>
      <c r="AY1039" s="2" t="s">
        <v>12867</v>
      </c>
      <c r="AZ1039" s="2" t="s">
        <v>12867</v>
      </c>
      <c r="BA1039" s="2" t="s">
        <v>12868</v>
      </c>
      <c r="BB1039" s="2" t="s">
        <v>20</v>
      </c>
      <c r="BE1039" s="2" t="s">
        <v>12869</v>
      </c>
      <c r="BF1039" s="2" t="s">
        <v>12870</v>
      </c>
    </row>
    <row r="1040" spans="1:58" ht="39.75" customHeight="1" x14ac:dyDescent="0.25">
      <c r="A1040" s="7" t="s">
        <v>5</v>
      </c>
      <c r="B1040" s="1" t="s">
        <v>0</v>
      </c>
      <c r="C1040" s="1" t="s">
        <v>1</v>
      </c>
      <c r="D1040" s="1" t="s">
        <v>12871</v>
      </c>
      <c r="E1040" s="1" t="s">
        <v>12872</v>
      </c>
      <c r="F1040" s="1" t="s">
        <v>12873</v>
      </c>
      <c r="H1040" s="2" t="s">
        <v>5</v>
      </c>
      <c r="I1040" s="2" t="s">
        <v>6</v>
      </c>
      <c r="J1040" s="2" t="s">
        <v>5</v>
      </c>
      <c r="K1040" s="2" t="s">
        <v>5</v>
      </c>
      <c r="L1040" s="2" t="s">
        <v>7</v>
      </c>
      <c r="M1040" s="1" t="s">
        <v>12874</v>
      </c>
      <c r="N1040" s="1" t="s">
        <v>12852</v>
      </c>
      <c r="O1040" s="2" t="s">
        <v>452</v>
      </c>
      <c r="P1040" s="1" t="s">
        <v>2908</v>
      </c>
      <c r="Q1040" s="2" t="s">
        <v>1151</v>
      </c>
      <c r="R1040" s="2" t="s">
        <v>5374</v>
      </c>
      <c r="S1040" s="1" t="s">
        <v>12875</v>
      </c>
      <c r="T1040" s="2" t="s">
        <v>13</v>
      </c>
      <c r="U1040" s="3">
        <v>1</v>
      </c>
      <c r="V1040" s="3">
        <v>1</v>
      </c>
      <c r="W1040" s="4" t="s">
        <v>5376</v>
      </c>
      <c r="X1040" s="4" t="s">
        <v>5376</v>
      </c>
      <c r="Y1040" s="4" t="s">
        <v>5377</v>
      </c>
      <c r="Z1040" s="4" t="s">
        <v>5377</v>
      </c>
      <c r="AA1040" s="3">
        <v>45</v>
      </c>
      <c r="AB1040" s="3">
        <v>40</v>
      </c>
      <c r="AC1040" s="3">
        <v>82</v>
      </c>
      <c r="AD1040" s="3">
        <v>1</v>
      </c>
      <c r="AE1040" s="9">
        <v>1</v>
      </c>
      <c r="AF1040" s="9">
        <v>1</v>
      </c>
      <c r="AG1040" s="9">
        <v>1</v>
      </c>
      <c r="AH1040" s="3">
        <v>0</v>
      </c>
      <c r="AI1040" s="3">
        <v>0</v>
      </c>
      <c r="AJ1040" s="3">
        <v>1</v>
      </c>
      <c r="AK1040" s="3">
        <v>1</v>
      </c>
      <c r="AL1040" s="3">
        <v>0</v>
      </c>
      <c r="AM1040" s="3">
        <v>0</v>
      </c>
      <c r="AN1040" s="3">
        <v>0</v>
      </c>
      <c r="AO1040" s="3">
        <v>0</v>
      </c>
      <c r="AP1040" s="3">
        <v>0</v>
      </c>
      <c r="AQ1040" s="3">
        <v>0</v>
      </c>
      <c r="AR1040" s="2" t="s">
        <v>5</v>
      </c>
      <c r="AS1040" s="2" t="s">
        <v>5</v>
      </c>
      <c r="AU1040" s="5" t="str">
        <f>HYPERLINK("https://creighton-primo.hosted.exlibrisgroup.com/primo-explore/search?tab=default_tab&amp;search_scope=EVERYTHING&amp;vid=01CRU&amp;lang=en_US&amp;offset=0&amp;query=any,contains,991003669789702656","Catalog Record")</f>
        <v>Catalog Record</v>
      </c>
      <c r="AV1040" s="5" t="str">
        <f>HYPERLINK("http://www.worldcat.org/oclc/37426770","WorldCat Record")</f>
        <v>WorldCat Record</v>
      </c>
      <c r="AW1040" s="2" t="s">
        <v>12876</v>
      </c>
      <c r="AX1040" s="2" t="s">
        <v>12877</v>
      </c>
      <c r="AY1040" s="2" t="s">
        <v>12878</v>
      </c>
      <c r="AZ1040" s="2" t="s">
        <v>12878</v>
      </c>
      <c r="BA1040" s="2" t="s">
        <v>12879</v>
      </c>
      <c r="BB1040" s="2" t="s">
        <v>20</v>
      </c>
      <c r="BE1040" s="2" t="s">
        <v>12880</v>
      </c>
      <c r="BF1040" s="2" t="s">
        <v>12881</v>
      </c>
    </row>
    <row r="1041" spans="1:58" ht="39.75" customHeight="1" x14ac:dyDescent="0.25">
      <c r="A1041" s="7" t="s">
        <v>5</v>
      </c>
      <c r="B1041" s="1" t="s">
        <v>0</v>
      </c>
      <c r="C1041" s="1" t="s">
        <v>1</v>
      </c>
      <c r="D1041" s="1" t="s">
        <v>12882</v>
      </c>
      <c r="E1041" s="1" t="s">
        <v>12883</v>
      </c>
      <c r="F1041" s="1" t="s">
        <v>12884</v>
      </c>
      <c r="H1041" s="2" t="s">
        <v>5</v>
      </c>
      <c r="I1041" s="2" t="s">
        <v>6</v>
      </c>
      <c r="J1041" s="2" t="s">
        <v>5</v>
      </c>
      <c r="K1041" s="2" t="s">
        <v>5</v>
      </c>
      <c r="L1041" s="2" t="s">
        <v>7</v>
      </c>
      <c r="M1041" s="1" t="s">
        <v>12885</v>
      </c>
      <c r="N1041" s="1" t="s">
        <v>12781</v>
      </c>
      <c r="O1041" s="2" t="s">
        <v>452</v>
      </c>
      <c r="P1041" s="1" t="s">
        <v>2908</v>
      </c>
      <c r="Q1041" s="2" t="s">
        <v>1151</v>
      </c>
      <c r="R1041" s="2" t="s">
        <v>5374</v>
      </c>
      <c r="S1041" s="1" t="s">
        <v>12886</v>
      </c>
      <c r="T1041" s="2" t="s">
        <v>13</v>
      </c>
      <c r="U1041" s="3">
        <v>1</v>
      </c>
      <c r="V1041" s="3">
        <v>1</v>
      </c>
      <c r="W1041" s="4" t="s">
        <v>5376</v>
      </c>
      <c r="X1041" s="4" t="s">
        <v>5376</v>
      </c>
      <c r="Y1041" s="4" t="s">
        <v>5377</v>
      </c>
      <c r="Z1041" s="4" t="s">
        <v>5377</v>
      </c>
      <c r="AA1041" s="3">
        <v>46</v>
      </c>
      <c r="AB1041" s="3">
        <v>41</v>
      </c>
      <c r="AC1041" s="3">
        <v>41</v>
      </c>
      <c r="AD1041" s="3">
        <v>1</v>
      </c>
      <c r="AE1041" s="9">
        <v>1</v>
      </c>
      <c r="AF1041" s="9">
        <v>1</v>
      </c>
      <c r="AG1041" s="9">
        <v>1</v>
      </c>
      <c r="AH1041" s="3">
        <v>0</v>
      </c>
      <c r="AI1041" s="3">
        <v>0</v>
      </c>
      <c r="AJ1041" s="3">
        <v>1</v>
      </c>
      <c r="AK1041" s="3">
        <v>1</v>
      </c>
      <c r="AL1041" s="3">
        <v>0</v>
      </c>
      <c r="AM1041" s="3">
        <v>0</v>
      </c>
      <c r="AN1041" s="3">
        <v>0</v>
      </c>
      <c r="AO1041" s="3">
        <v>0</v>
      </c>
      <c r="AP1041" s="3">
        <v>0</v>
      </c>
      <c r="AQ1041" s="3">
        <v>0</v>
      </c>
      <c r="AR1041" s="2" t="s">
        <v>5</v>
      </c>
      <c r="AS1041" s="2" t="s">
        <v>5</v>
      </c>
      <c r="AU1041" s="5" t="str">
        <f>HYPERLINK("https://creighton-primo.hosted.exlibrisgroup.com/primo-explore/search?tab=default_tab&amp;search_scope=EVERYTHING&amp;vid=01CRU&amp;lang=en_US&amp;offset=0&amp;query=any,contains,991003669519702656","Catalog Record")</f>
        <v>Catalog Record</v>
      </c>
      <c r="AV1041" s="5" t="str">
        <f>HYPERLINK("http://www.worldcat.org/oclc/38439166","WorldCat Record")</f>
        <v>WorldCat Record</v>
      </c>
      <c r="AW1041" s="2" t="s">
        <v>12887</v>
      </c>
      <c r="AX1041" s="2" t="s">
        <v>12888</v>
      </c>
      <c r="AY1041" s="2" t="s">
        <v>12889</v>
      </c>
      <c r="AZ1041" s="2" t="s">
        <v>12889</v>
      </c>
      <c r="BA1041" s="2" t="s">
        <v>12890</v>
      </c>
      <c r="BB1041" s="2" t="s">
        <v>20</v>
      </c>
      <c r="BE1041" s="2" t="s">
        <v>12891</v>
      </c>
      <c r="BF1041" s="2" t="s">
        <v>12892</v>
      </c>
    </row>
    <row r="1042" spans="1:58" ht="39.75" customHeight="1" x14ac:dyDescent="0.25">
      <c r="A1042" s="7" t="s">
        <v>5</v>
      </c>
      <c r="B1042" s="1" t="s">
        <v>0</v>
      </c>
      <c r="C1042" s="1" t="s">
        <v>1</v>
      </c>
      <c r="D1042" s="1" t="s">
        <v>12893</v>
      </c>
      <c r="E1042" s="1" t="s">
        <v>12894</v>
      </c>
      <c r="F1042" s="1" t="s">
        <v>12895</v>
      </c>
      <c r="H1042" s="2" t="s">
        <v>5</v>
      </c>
      <c r="I1042" s="2" t="s">
        <v>6</v>
      </c>
      <c r="J1042" s="2" t="s">
        <v>5</v>
      </c>
      <c r="K1042" s="2" t="s">
        <v>5</v>
      </c>
      <c r="L1042" s="2" t="s">
        <v>7</v>
      </c>
      <c r="M1042" s="1" t="s">
        <v>12896</v>
      </c>
      <c r="N1042" s="1" t="s">
        <v>5372</v>
      </c>
      <c r="O1042" s="2" t="s">
        <v>3817</v>
      </c>
      <c r="P1042" s="1" t="s">
        <v>2908</v>
      </c>
      <c r="Q1042" s="2" t="s">
        <v>1151</v>
      </c>
      <c r="R1042" s="2" t="s">
        <v>5374</v>
      </c>
      <c r="S1042" s="1" t="s">
        <v>12897</v>
      </c>
      <c r="T1042" s="2" t="s">
        <v>13</v>
      </c>
      <c r="U1042" s="3">
        <v>1</v>
      </c>
      <c r="V1042" s="3">
        <v>1</v>
      </c>
      <c r="W1042" s="4" t="s">
        <v>5376</v>
      </c>
      <c r="X1042" s="4" t="s">
        <v>5376</v>
      </c>
      <c r="Y1042" s="4" t="s">
        <v>5377</v>
      </c>
      <c r="Z1042" s="4" t="s">
        <v>5377</v>
      </c>
      <c r="AA1042" s="3">
        <v>38</v>
      </c>
      <c r="AB1042" s="3">
        <v>33</v>
      </c>
      <c r="AC1042" s="3">
        <v>40</v>
      </c>
      <c r="AD1042" s="3">
        <v>1</v>
      </c>
      <c r="AE1042" s="9">
        <v>1</v>
      </c>
      <c r="AF1042" s="9">
        <v>1</v>
      </c>
      <c r="AG1042" s="9">
        <v>1</v>
      </c>
      <c r="AH1042" s="3">
        <v>0</v>
      </c>
      <c r="AI1042" s="3">
        <v>0</v>
      </c>
      <c r="AJ1042" s="3">
        <v>1</v>
      </c>
      <c r="AK1042" s="3">
        <v>1</v>
      </c>
      <c r="AL1042" s="3">
        <v>0</v>
      </c>
      <c r="AM1042" s="3">
        <v>0</v>
      </c>
      <c r="AN1042" s="3">
        <v>0</v>
      </c>
      <c r="AO1042" s="3">
        <v>0</v>
      </c>
      <c r="AP1042" s="3">
        <v>0</v>
      </c>
      <c r="AQ1042" s="3">
        <v>0</v>
      </c>
      <c r="AR1042" s="2" t="s">
        <v>5</v>
      </c>
      <c r="AS1042" s="2" t="s">
        <v>5</v>
      </c>
      <c r="AU1042" s="5" t="str">
        <f>HYPERLINK("https://creighton-primo.hosted.exlibrisgroup.com/primo-explore/search?tab=default_tab&amp;search_scope=EVERYTHING&amp;vid=01CRU&amp;lang=en_US&amp;offset=0&amp;query=any,contains,991003670179702656","Catalog Record")</f>
        <v>Catalog Record</v>
      </c>
      <c r="AV1042" s="5" t="str">
        <f>HYPERLINK("http://www.worldcat.org/oclc/39212483","WorldCat Record")</f>
        <v>WorldCat Record</v>
      </c>
      <c r="AW1042" s="2" t="s">
        <v>12898</v>
      </c>
      <c r="AX1042" s="2" t="s">
        <v>12899</v>
      </c>
      <c r="AY1042" s="2" t="s">
        <v>12900</v>
      </c>
      <c r="AZ1042" s="2" t="s">
        <v>12900</v>
      </c>
      <c r="BA1042" s="2" t="s">
        <v>12901</v>
      </c>
      <c r="BB1042" s="2" t="s">
        <v>20</v>
      </c>
      <c r="BE1042" s="2" t="s">
        <v>12902</v>
      </c>
      <c r="BF1042" s="2" t="s">
        <v>12903</v>
      </c>
    </row>
    <row r="1043" spans="1:58" ht="39.75" customHeight="1" x14ac:dyDescent="0.25">
      <c r="A1043" s="7" t="s">
        <v>5</v>
      </c>
      <c r="B1043" s="1" t="s">
        <v>0</v>
      </c>
      <c r="C1043" s="1" t="s">
        <v>1</v>
      </c>
      <c r="D1043" s="1" t="s">
        <v>12904</v>
      </c>
      <c r="E1043" s="1" t="s">
        <v>12905</v>
      </c>
      <c r="F1043" s="1" t="s">
        <v>12906</v>
      </c>
      <c r="H1043" s="2" t="s">
        <v>5</v>
      </c>
      <c r="I1043" s="2" t="s">
        <v>6</v>
      </c>
      <c r="J1043" s="2" t="s">
        <v>5</v>
      </c>
      <c r="K1043" s="2" t="s">
        <v>5</v>
      </c>
      <c r="L1043" s="2" t="s">
        <v>7</v>
      </c>
      <c r="M1043" s="1" t="s">
        <v>12907</v>
      </c>
      <c r="N1043" s="1" t="s">
        <v>5372</v>
      </c>
      <c r="O1043" s="2" t="s">
        <v>3817</v>
      </c>
      <c r="P1043" s="1" t="s">
        <v>12908</v>
      </c>
      <c r="Q1043" s="2" t="s">
        <v>1151</v>
      </c>
      <c r="R1043" s="2" t="s">
        <v>5374</v>
      </c>
      <c r="S1043" s="1" t="s">
        <v>12909</v>
      </c>
      <c r="T1043" s="2" t="s">
        <v>13</v>
      </c>
      <c r="U1043" s="3">
        <v>1</v>
      </c>
      <c r="V1043" s="3">
        <v>1</v>
      </c>
      <c r="W1043" s="4" t="s">
        <v>5376</v>
      </c>
      <c r="X1043" s="4" t="s">
        <v>5376</v>
      </c>
      <c r="Y1043" s="4" t="s">
        <v>5377</v>
      </c>
      <c r="Z1043" s="4" t="s">
        <v>5377</v>
      </c>
      <c r="AA1043" s="3">
        <v>29</v>
      </c>
      <c r="AB1043" s="3">
        <v>27</v>
      </c>
      <c r="AC1043" s="3">
        <v>70</v>
      </c>
      <c r="AD1043" s="3">
        <v>1</v>
      </c>
      <c r="AE1043" s="9">
        <v>1</v>
      </c>
      <c r="AF1043" s="9">
        <v>1</v>
      </c>
      <c r="AG1043" s="9">
        <v>2</v>
      </c>
      <c r="AH1043" s="3">
        <v>0</v>
      </c>
      <c r="AI1043" s="3">
        <v>0</v>
      </c>
      <c r="AJ1043" s="3">
        <v>1</v>
      </c>
      <c r="AK1043" s="3">
        <v>1</v>
      </c>
      <c r="AL1043" s="3">
        <v>0</v>
      </c>
      <c r="AM1043" s="3">
        <v>1</v>
      </c>
      <c r="AN1043" s="3">
        <v>0</v>
      </c>
      <c r="AO1043" s="3">
        <v>0</v>
      </c>
      <c r="AP1043" s="3">
        <v>0</v>
      </c>
      <c r="AQ1043" s="3">
        <v>0</v>
      </c>
      <c r="AR1043" s="2" t="s">
        <v>5</v>
      </c>
      <c r="AS1043" s="2" t="s">
        <v>46</v>
      </c>
      <c r="AT1043" s="5" t="str">
        <f>HYPERLINK("http://catalog.hathitrust.org/Record/004008589","HathiTrust Record")</f>
        <v>HathiTrust Record</v>
      </c>
      <c r="AU1043" s="5" t="str">
        <f>HYPERLINK("https://creighton-primo.hosted.exlibrisgroup.com/primo-explore/search?tab=default_tab&amp;search_scope=EVERYTHING&amp;vid=01CRU&amp;lang=en_US&amp;offset=0&amp;query=any,contains,991003670049702656","Catalog Record")</f>
        <v>Catalog Record</v>
      </c>
      <c r="AV1043" s="5" t="str">
        <f>HYPERLINK("http://www.worldcat.org/oclc/39212592","WorldCat Record")</f>
        <v>WorldCat Record</v>
      </c>
      <c r="AW1043" s="2" t="s">
        <v>12910</v>
      </c>
      <c r="AX1043" s="2" t="s">
        <v>12911</v>
      </c>
      <c r="AY1043" s="2" t="s">
        <v>12912</v>
      </c>
      <c r="AZ1043" s="2" t="s">
        <v>12912</v>
      </c>
      <c r="BA1043" s="2" t="s">
        <v>12913</v>
      </c>
      <c r="BB1043" s="2" t="s">
        <v>20</v>
      </c>
      <c r="BE1043" s="2" t="s">
        <v>12914</v>
      </c>
      <c r="BF1043" s="2" t="s">
        <v>12915</v>
      </c>
    </row>
    <row r="1044" spans="1:58" ht="39.75" customHeight="1" x14ac:dyDescent="0.25">
      <c r="A1044" s="7" t="s">
        <v>5</v>
      </c>
      <c r="B1044" s="1" t="s">
        <v>0</v>
      </c>
      <c r="C1044" s="1" t="s">
        <v>1</v>
      </c>
      <c r="D1044" s="1" t="s">
        <v>12916</v>
      </c>
      <c r="E1044" s="1" t="s">
        <v>12917</v>
      </c>
      <c r="F1044" s="1" t="s">
        <v>12918</v>
      </c>
      <c r="H1044" s="2" t="s">
        <v>5</v>
      </c>
      <c r="I1044" s="2" t="s">
        <v>6</v>
      </c>
      <c r="J1044" s="2" t="s">
        <v>5</v>
      </c>
      <c r="K1044" s="2" t="s">
        <v>5</v>
      </c>
      <c r="L1044" s="2" t="s">
        <v>7</v>
      </c>
      <c r="M1044" s="1" t="s">
        <v>12919</v>
      </c>
      <c r="N1044" s="1" t="s">
        <v>12840</v>
      </c>
      <c r="O1044" s="2" t="s">
        <v>3817</v>
      </c>
      <c r="P1044" s="1" t="s">
        <v>2908</v>
      </c>
      <c r="Q1044" s="2" t="s">
        <v>1151</v>
      </c>
      <c r="R1044" s="2" t="s">
        <v>5374</v>
      </c>
      <c r="S1044" s="1" t="s">
        <v>12920</v>
      </c>
      <c r="T1044" s="2" t="s">
        <v>13</v>
      </c>
      <c r="U1044" s="3">
        <v>1</v>
      </c>
      <c r="V1044" s="3">
        <v>1</v>
      </c>
      <c r="W1044" s="4" t="s">
        <v>5376</v>
      </c>
      <c r="X1044" s="4" t="s">
        <v>5376</v>
      </c>
      <c r="Y1044" s="4" t="s">
        <v>5377</v>
      </c>
      <c r="Z1044" s="4" t="s">
        <v>5377</v>
      </c>
      <c r="AA1044" s="3">
        <v>35</v>
      </c>
      <c r="AB1044" s="3">
        <v>32</v>
      </c>
      <c r="AC1044" s="3">
        <v>34</v>
      </c>
      <c r="AD1044" s="3">
        <v>1</v>
      </c>
      <c r="AE1044" s="9">
        <v>1</v>
      </c>
      <c r="AF1044" s="9">
        <v>1</v>
      </c>
      <c r="AG1044" s="9">
        <v>1</v>
      </c>
      <c r="AH1044" s="3">
        <v>0</v>
      </c>
      <c r="AI1044" s="3">
        <v>0</v>
      </c>
      <c r="AJ1044" s="3">
        <v>1</v>
      </c>
      <c r="AK1044" s="3">
        <v>1</v>
      </c>
      <c r="AL1044" s="3">
        <v>0</v>
      </c>
      <c r="AM1044" s="3">
        <v>0</v>
      </c>
      <c r="AN1044" s="3">
        <v>0</v>
      </c>
      <c r="AO1044" s="3">
        <v>0</v>
      </c>
      <c r="AP1044" s="3">
        <v>0</v>
      </c>
      <c r="AQ1044" s="3">
        <v>0</v>
      </c>
      <c r="AR1044" s="2" t="s">
        <v>5</v>
      </c>
      <c r="AS1044" s="2" t="s">
        <v>46</v>
      </c>
      <c r="AT1044" s="5" t="str">
        <f>HYPERLINK("http://catalog.hathitrust.org/Record/004008590","HathiTrust Record")</f>
        <v>HathiTrust Record</v>
      </c>
      <c r="AU1044" s="5" t="str">
        <f>HYPERLINK("https://creighton-primo.hosted.exlibrisgroup.com/primo-explore/search?tab=default_tab&amp;search_scope=EVERYTHING&amp;vid=01CRU&amp;lang=en_US&amp;offset=0&amp;query=any,contains,991003670249702656","Catalog Record")</f>
        <v>Catalog Record</v>
      </c>
      <c r="AV1044" s="5" t="str">
        <f>HYPERLINK("http://www.worldcat.org/oclc/39212324","WorldCat Record")</f>
        <v>WorldCat Record</v>
      </c>
      <c r="AW1044" s="2" t="s">
        <v>12921</v>
      </c>
      <c r="AX1044" s="2" t="s">
        <v>12922</v>
      </c>
      <c r="AY1044" s="2" t="s">
        <v>12923</v>
      </c>
      <c r="AZ1044" s="2" t="s">
        <v>12923</v>
      </c>
      <c r="BA1044" s="2" t="s">
        <v>12924</v>
      </c>
      <c r="BB1044" s="2" t="s">
        <v>20</v>
      </c>
      <c r="BE1044" s="2" t="s">
        <v>12925</v>
      </c>
      <c r="BF1044" s="2" t="s">
        <v>12926</v>
      </c>
    </row>
    <row r="1045" spans="1:58" ht="39.75" customHeight="1" x14ac:dyDescent="0.25">
      <c r="A1045" s="7" t="s">
        <v>5</v>
      </c>
      <c r="B1045" s="1" t="s">
        <v>0</v>
      </c>
      <c r="C1045" s="1" t="s">
        <v>1</v>
      </c>
      <c r="D1045" s="1" t="s">
        <v>12927</v>
      </c>
      <c r="E1045" s="1" t="s">
        <v>12928</v>
      </c>
      <c r="F1045" s="1" t="s">
        <v>12929</v>
      </c>
      <c r="H1045" s="2" t="s">
        <v>5</v>
      </c>
      <c r="I1045" s="2" t="s">
        <v>6</v>
      </c>
      <c r="J1045" s="2" t="s">
        <v>5</v>
      </c>
      <c r="K1045" s="2" t="s">
        <v>5</v>
      </c>
      <c r="L1045" s="2" t="s">
        <v>7</v>
      </c>
      <c r="M1045" s="1" t="s">
        <v>12930</v>
      </c>
      <c r="N1045" s="1" t="s">
        <v>12704</v>
      </c>
      <c r="O1045" s="2" t="s">
        <v>291</v>
      </c>
      <c r="Q1045" s="2" t="s">
        <v>1151</v>
      </c>
      <c r="R1045" s="2" t="s">
        <v>4146</v>
      </c>
      <c r="S1045" s="1" t="s">
        <v>12931</v>
      </c>
      <c r="T1045" s="2" t="s">
        <v>13</v>
      </c>
      <c r="U1045" s="3">
        <v>1</v>
      </c>
      <c r="V1045" s="3">
        <v>1</v>
      </c>
      <c r="W1045" s="4" t="s">
        <v>10532</v>
      </c>
      <c r="X1045" s="4" t="s">
        <v>10532</v>
      </c>
      <c r="Y1045" s="4" t="s">
        <v>10532</v>
      </c>
      <c r="Z1045" s="4" t="s">
        <v>10532</v>
      </c>
      <c r="AA1045" s="3">
        <v>140</v>
      </c>
      <c r="AB1045" s="3">
        <v>106</v>
      </c>
      <c r="AC1045" s="3">
        <v>137</v>
      </c>
      <c r="AD1045" s="3">
        <v>1</v>
      </c>
      <c r="AE1045" s="9">
        <v>2</v>
      </c>
      <c r="AF1045" s="9">
        <v>4</v>
      </c>
      <c r="AG1045" s="9">
        <v>7</v>
      </c>
      <c r="AH1045" s="3">
        <v>0</v>
      </c>
      <c r="AI1045" s="3">
        <v>0</v>
      </c>
      <c r="AJ1045" s="3">
        <v>4</v>
      </c>
      <c r="AK1045" s="3">
        <v>5</v>
      </c>
      <c r="AL1045" s="3">
        <v>1</v>
      </c>
      <c r="AM1045" s="3">
        <v>3</v>
      </c>
      <c r="AN1045" s="3">
        <v>0</v>
      </c>
      <c r="AO1045" s="3">
        <v>1</v>
      </c>
      <c r="AP1045" s="3">
        <v>0</v>
      </c>
      <c r="AQ1045" s="3">
        <v>0</v>
      </c>
      <c r="AR1045" s="2" t="s">
        <v>5</v>
      </c>
      <c r="AS1045" s="2" t="s">
        <v>46</v>
      </c>
      <c r="AT1045" s="5" t="str">
        <f>HYPERLINK("http://catalog.hathitrust.org/Record/000877034","HathiTrust Record")</f>
        <v>HathiTrust Record</v>
      </c>
      <c r="AU1045" s="5" t="str">
        <f>HYPERLINK("https://creighton-primo.hosted.exlibrisgroup.com/primo-explore/search?tab=default_tab&amp;search_scope=EVERYTHING&amp;vid=01CRU&amp;lang=en_US&amp;offset=0&amp;query=any,contains,991003682999702656","Catalog Record")</f>
        <v>Catalog Record</v>
      </c>
      <c r="AV1045" s="5" t="str">
        <f>HYPERLINK("http://www.worldcat.org/oclc/3888228","WorldCat Record")</f>
        <v>WorldCat Record</v>
      </c>
      <c r="AW1045" s="2" t="s">
        <v>12932</v>
      </c>
      <c r="AX1045" s="2" t="s">
        <v>12933</v>
      </c>
      <c r="AY1045" s="2" t="s">
        <v>12934</v>
      </c>
      <c r="AZ1045" s="2" t="s">
        <v>12934</v>
      </c>
      <c r="BA1045" s="2" t="s">
        <v>12935</v>
      </c>
      <c r="BB1045" s="2" t="s">
        <v>20</v>
      </c>
      <c r="BE1045" s="2" t="s">
        <v>12936</v>
      </c>
      <c r="BF1045" s="2" t="s">
        <v>12937</v>
      </c>
    </row>
    <row r="1046" spans="1:58" ht="39.75" customHeight="1" x14ac:dyDescent="0.25">
      <c r="A1046" s="7" t="s">
        <v>5</v>
      </c>
      <c r="B1046" s="1" t="s">
        <v>0</v>
      </c>
      <c r="C1046" s="1" t="s">
        <v>1</v>
      </c>
      <c r="D1046" s="1" t="s">
        <v>12938</v>
      </c>
      <c r="E1046" s="1" t="s">
        <v>12939</v>
      </c>
      <c r="F1046" s="1" t="s">
        <v>12940</v>
      </c>
      <c r="H1046" s="2" t="s">
        <v>5</v>
      </c>
      <c r="I1046" s="2" t="s">
        <v>6</v>
      </c>
      <c r="J1046" s="2" t="s">
        <v>5</v>
      </c>
      <c r="K1046" s="2" t="s">
        <v>5</v>
      </c>
      <c r="L1046" s="2" t="s">
        <v>7</v>
      </c>
      <c r="M1046" s="1" t="s">
        <v>9630</v>
      </c>
      <c r="N1046" s="1" t="s">
        <v>12941</v>
      </c>
      <c r="O1046" s="2" t="s">
        <v>261</v>
      </c>
      <c r="P1046" s="1" t="s">
        <v>12942</v>
      </c>
      <c r="Q1046" s="2" t="s">
        <v>1151</v>
      </c>
      <c r="R1046" s="2" t="s">
        <v>5403</v>
      </c>
      <c r="S1046" s="1" t="s">
        <v>12943</v>
      </c>
      <c r="T1046" s="2" t="s">
        <v>13</v>
      </c>
      <c r="U1046" s="3">
        <v>2</v>
      </c>
      <c r="V1046" s="3">
        <v>2</v>
      </c>
      <c r="W1046" s="4" t="s">
        <v>3793</v>
      </c>
      <c r="X1046" s="4" t="s">
        <v>3793</v>
      </c>
      <c r="Y1046" s="4" t="s">
        <v>5361</v>
      </c>
      <c r="Z1046" s="4" t="s">
        <v>5361</v>
      </c>
      <c r="AA1046" s="3">
        <v>34</v>
      </c>
      <c r="AB1046" s="3">
        <v>28</v>
      </c>
      <c r="AC1046" s="3">
        <v>219</v>
      </c>
      <c r="AD1046" s="3">
        <v>1</v>
      </c>
      <c r="AE1046" s="9">
        <v>2</v>
      </c>
      <c r="AF1046" s="9">
        <v>1</v>
      </c>
      <c r="AG1046" s="9">
        <v>10</v>
      </c>
      <c r="AH1046" s="3">
        <v>0</v>
      </c>
      <c r="AI1046" s="3">
        <v>1</v>
      </c>
      <c r="AJ1046" s="3">
        <v>1</v>
      </c>
      <c r="AK1046" s="3">
        <v>4</v>
      </c>
      <c r="AL1046" s="3">
        <v>0</v>
      </c>
      <c r="AM1046" s="3">
        <v>6</v>
      </c>
      <c r="AN1046" s="3">
        <v>0</v>
      </c>
      <c r="AO1046" s="3">
        <v>1</v>
      </c>
      <c r="AP1046" s="3">
        <v>0</v>
      </c>
      <c r="AQ1046" s="3">
        <v>0</v>
      </c>
      <c r="AR1046" s="2" t="s">
        <v>5</v>
      </c>
      <c r="AS1046" s="2" t="s">
        <v>46</v>
      </c>
      <c r="AT1046" s="5" t="str">
        <f>HYPERLINK("http://catalog.hathitrust.org/Record/009497333","HathiTrust Record")</f>
        <v>HathiTrust Record</v>
      </c>
      <c r="AU1046" s="5" t="str">
        <f>HYPERLINK("https://creighton-primo.hosted.exlibrisgroup.com/primo-explore/search?tab=default_tab&amp;search_scope=EVERYTHING&amp;vid=01CRU&amp;lang=en_US&amp;offset=0&amp;query=any,contains,991000406269702656","Catalog Record")</f>
        <v>Catalog Record</v>
      </c>
      <c r="AV1046" s="5" t="str">
        <f>HYPERLINK("http://www.worldcat.org/oclc/10687534","WorldCat Record")</f>
        <v>WorldCat Record</v>
      </c>
      <c r="AW1046" s="2" t="s">
        <v>12944</v>
      </c>
      <c r="AX1046" s="2" t="s">
        <v>12945</v>
      </c>
      <c r="AY1046" s="2" t="s">
        <v>12946</v>
      </c>
      <c r="AZ1046" s="2" t="s">
        <v>12946</v>
      </c>
      <c r="BA1046" s="2" t="s">
        <v>12947</v>
      </c>
      <c r="BB1046" s="2" t="s">
        <v>20</v>
      </c>
      <c r="BD1046" s="2" t="s">
        <v>12948</v>
      </c>
      <c r="BE1046" s="2" t="s">
        <v>12949</v>
      </c>
      <c r="BF1046" s="2" t="s">
        <v>12950</v>
      </c>
    </row>
    <row r="1047" spans="1:58" ht="39.75" customHeight="1" x14ac:dyDescent="0.25">
      <c r="A1047" s="7" t="s">
        <v>5</v>
      </c>
      <c r="B1047" s="1" t="s">
        <v>0</v>
      </c>
      <c r="C1047" s="1" t="s">
        <v>1</v>
      </c>
      <c r="D1047" s="1" t="s">
        <v>12951</v>
      </c>
      <c r="E1047" s="1" t="s">
        <v>12952</v>
      </c>
      <c r="F1047" s="1" t="s">
        <v>12953</v>
      </c>
      <c r="H1047" s="2" t="s">
        <v>5</v>
      </c>
      <c r="I1047" s="2" t="s">
        <v>6</v>
      </c>
      <c r="J1047" s="2" t="s">
        <v>5</v>
      </c>
      <c r="K1047" s="2" t="s">
        <v>5</v>
      </c>
      <c r="L1047" s="2" t="s">
        <v>7</v>
      </c>
      <c r="M1047" s="1" t="s">
        <v>12954</v>
      </c>
      <c r="N1047" s="1" t="s">
        <v>12955</v>
      </c>
      <c r="O1047" s="2" t="s">
        <v>162</v>
      </c>
      <c r="Q1047" s="2" t="s">
        <v>1151</v>
      </c>
      <c r="R1047" s="2" t="s">
        <v>3002</v>
      </c>
      <c r="T1047" s="2" t="s">
        <v>13</v>
      </c>
      <c r="U1047" s="3">
        <v>1</v>
      </c>
      <c r="V1047" s="3">
        <v>1</v>
      </c>
      <c r="W1047" s="4" t="s">
        <v>5137</v>
      </c>
      <c r="X1047" s="4" t="s">
        <v>5137</v>
      </c>
      <c r="Y1047" s="4" t="s">
        <v>5137</v>
      </c>
      <c r="Z1047" s="4" t="s">
        <v>5137</v>
      </c>
      <c r="AA1047" s="3">
        <v>205</v>
      </c>
      <c r="AB1047" s="3">
        <v>151</v>
      </c>
      <c r="AC1047" s="3">
        <v>153</v>
      </c>
      <c r="AD1047" s="3">
        <v>2</v>
      </c>
      <c r="AE1047" s="9">
        <v>2</v>
      </c>
      <c r="AF1047" s="9">
        <v>4</v>
      </c>
      <c r="AG1047" s="9">
        <v>4</v>
      </c>
      <c r="AH1047" s="3">
        <v>0</v>
      </c>
      <c r="AI1047" s="3">
        <v>0</v>
      </c>
      <c r="AJ1047" s="3">
        <v>2</v>
      </c>
      <c r="AK1047" s="3">
        <v>2</v>
      </c>
      <c r="AL1047" s="3">
        <v>2</v>
      </c>
      <c r="AM1047" s="3">
        <v>2</v>
      </c>
      <c r="AN1047" s="3">
        <v>1</v>
      </c>
      <c r="AO1047" s="3">
        <v>1</v>
      </c>
      <c r="AP1047" s="3">
        <v>0</v>
      </c>
      <c r="AQ1047" s="3">
        <v>0</v>
      </c>
      <c r="AR1047" s="2" t="s">
        <v>5</v>
      </c>
      <c r="AS1047" s="2" t="s">
        <v>5</v>
      </c>
      <c r="AU1047" s="5" t="str">
        <f>HYPERLINK("https://creighton-primo.hosted.exlibrisgroup.com/primo-explore/search?tab=default_tab&amp;search_scope=EVERYTHING&amp;vid=01CRU&amp;lang=en_US&amp;offset=0&amp;query=any,contains,991004509619702656","Catalog Record")</f>
        <v>Catalog Record</v>
      </c>
      <c r="AV1047" s="5" t="str">
        <f>HYPERLINK("http://www.worldcat.org/oclc/704509","WorldCat Record")</f>
        <v>WorldCat Record</v>
      </c>
      <c r="AW1047" s="2" t="s">
        <v>12956</v>
      </c>
      <c r="AX1047" s="2" t="s">
        <v>12957</v>
      </c>
      <c r="AY1047" s="2" t="s">
        <v>12958</v>
      </c>
      <c r="AZ1047" s="2" t="s">
        <v>12958</v>
      </c>
      <c r="BA1047" s="2" t="s">
        <v>12959</v>
      </c>
      <c r="BB1047" s="2" t="s">
        <v>20</v>
      </c>
      <c r="BE1047" s="2" t="s">
        <v>12960</v>
      </c>
      <c r="BF1047" s="2" t="s">
        <v>12961</v>
      </c>
    </row>
    <row r="1048" spans="1:58" ht="39.75" customHeight="1" x14ac:dyDescent="0.25">
      <c r="A1048" s="7" t="s">
        <v>5</v>
      </c>
      <c r="B1048" s="1" t="s">
        <v>0</v>
      </c>
      <c r="C1048" s="1" t="s">
        <v>1</v>
      </c>
      <c r="D1048" s="1" t="s">
        <v>12962</v>
      </c>
      <c r="E1048" s="1" t="s">
        <v>12963</v>
      </c>
      <c r="F1048" s="1" t="s">
        <v>12964</v>
      </c>
      <c r="H1048" s="2" t="s">
        <v>5</v>
      </c>
      <c r="I1048" s="2" t="s">
        <v>6</v>
      </c>
      <c r="J1048" s="2" t="s">
        <v>5</v>
      </c>
      <c r="K1048" s="2" t="s">
        <v>5</v>
      </c>
      <c r="L1048" s="2" t="s">
        <v>7</v>
      </c>
      <c r="M1048" s="1" t="s">
        <v>12965</v>
      </c>
      <c r="N1048" s="1" t="s">
        <v>12966</v>
      </c>
      <c r="O1048" s="2" t="s">
        <v>27</v>
      </c>
      <c r="P1048" s="1" t="s">
        <v>2908</v>
      </c>
      <c r="Q1048" s="2" t="s">
        <v>1151</v>
      </c>
      <c r="R1048" s="2" t="s">
        <v>9921</v>
      </c>
      <c r="S1048" s="1" t="s">
        <v>12967</v>
      </c>
      <c r="T1048" s="2" t="s">
        <v>13</v>
      </c>
      <c r="U1048" s="3">
        <v>1</v>
      </c>
      <c r="V1048" s="3">
        <v>1</v>
      </c>
      <c r="W1048" s="4" t="s">
        <v>9923</v>
      </c>
      <c r="X1048" s="4" t="s">
        <v>9923</v>
      </c>
      <c r="Y1048" s="4" t="s">
        <v>9923</v>
      </c>
      <c r="Z1048" s="4" t="s">
        <v>9923</v>
      </c>
      <c r="AA1048" s="3">
        <v>60</v>
      </c>
      <c r="AB1048" s="3">
        <v>48</v>
      </c>
      <c r="AC1048" s="3">
        <v>49</v>
      </c>
      <c r="AD1048" s="3">
        <v>1</v>
      </c>
      <c r="AE1048" s="9">
        <v>1</v>
      </c>
      <c r="AF1048" s="9">
        <v>2</v>
      </c>
      <c r="AG1048" s="9">
        <v>2</v>
      </c>
      <c r="AH1048" s="3">
        <v>0</v>
      </c>
      <c r="AI1048" s="3">
        <v>0</v>
      </c>
      <c r="AJ1048" s="3">
        <v>1</v>
      </c>
      <c r="AK1048" s="3">
        <v>1</v>
      </c>
      <c r="AL1048" s="3">
        <v>1</v>
      </c>
      <c r="AM1048" s="3">
        <v>1</v>
      </c>
      <c r="AN1048" s="3">
        <v>0</v>
      </c>
      <c r="AO1048" s="3">
        <v>0</v>
      </c>
      <c r="AP1048" s="3">
        <v>0</v>
      </c>
      <c r="AQ1048" s="3">
        <v>0</v>
      </c>
      <c r="AR1048" s="2" t="s">
        <v>5</v>
      </c>
      <c r="AS1048" s="2" t="s">
        <v>46</v>
      </c>
      <c r="AT1048" s="5" t="str">
        <f>HYPERLINK("http://catalog.hathitrust.org/Record/007564049","HathiTrust Record")</f>
        <v>HathiTrust Record</v>
      </c>
      <c r="AU1048" s="5" t="str">
        <f>HYPERLINK("https://creighton-primo.hosted.exlibrisgroup.com/primo-explore/search?tab=default_tab&amp;search_scope=EVERYTHING&amp;vid=01CRU&amp;lang=en_US&amp;offset=0&amp;query=any,contains,991004264449702656","Catalog Record")</f>
        <v>Catalog Record</v>
      </c>
      <c r="AV1048" s="5" t="str">
        <f>HYPERLINK("http://www.worldcat.org/oclc/28372540","WorldCat Record")</f>
        <v>WorldCat Record</v>
      </c>
      <c r="AW1048" s="2" t="s">
        <v>12968</v>
      </c>
      <c r="AX1048" s="2" t="s">
        <v>12969</v>
      </c>
      <c r="AY1048" s="2" t="s">
        <v>12970</v>
      </c>
      <c r="AZ1048" s="2" t="s">
        <v>12970</v>
      </c>
      <c r="BA1048" s="2" t="s">
        <v>12971</v>
      </c>
      <c r="BB1048" s="2" t="s">
        <v>20</v>
      </c>
      <c r="BD1048" s="2" t="s">
        <v>12972</v>
      </c>
      <c r="BE1048" s="2" t="s">
        <v>12973</v>
      </c>
      <c r="BF1048" s="2" t="s">
        <v>12974</v>
      </c>
    </row>
    <row r="1049" spans="1:58" ht="39.75" customHeight="1" x14ac:dyDescent="0.25">
      <c r="A1049" s="7" t="s">
        <v>5</v>
      </c>
      <c r="B1049" s="1" t="s">
        <v>0</v>
      </c>
      <c r="C1049" s="1" t="s">
        <v>1</v>
      </c>
      <c r="D1049" s="1" t="s">
        <v>12975</v>
      </c>
      <c r="E1049" s="1" t="s">
        <v>12976</v>
      </c>
      <c r="F1049" s="1" t="s">
        <v>12977</v>
      </c>
      <c r="H1049" s="2" t="s">
        <v>5</v>
      </c>
      <c r="I1049" s="2" t="s">
        <v>6</v>
      </c>
      <c r="J1049" s="2" t="s">
        <v>5</v>
      </c>
      <c r="K1049" s="2" t="s">
        <v>5</v>
      </c>
      <c r="L1049" s="2" t="s">
        <v>7</v>
      </c>
      <c r="M1049" s="1" t="s">
        <v>12978</v>
      </c>
      <c r="N1049" s="1" t="s">
        <v>12979</v>
      </c>
      <c r="O1049" s="2" t="s">
        <v>1273</v>
      </c>
      <c r="Q1049" s="2" t="s">
        <v>60</v>
      </c>
      <c r="R1049" s="2" t="s">
        <v>5056</v>
      </c>
      <c r="T1049" s="2" t="s">
        <v>13</v>
      </c>
      <c r="U1049" s="3">
        <v>1</v>
      </c>
      <c r="V1049" s="3">
        <v>1</v>
      </c>
      <c r="W1049" s="4" t="s">
        <v>9883</v>
      </c>
      <c r="X1049" s="4" t="s">
        <v>9883</v>
      </c>
      <c r="Y1049" s="4" t="s">
        <v>9883</v>
      </c>
      <c r="Z1049" s="4" t="s">
        <v>9883</v>
      </c>
      <c r="AA1049" s="3">
        <v>163</v>
      </c>
      <c r="AB1049" s="3">
        <v>129</v>
      </c>
      <c r="AC1049" s="3">
        <v>131</v>
      </c>
      <c r="AD1049" s="3">
        <v>1</v>
      </c>
      <c r="AE1049" s="9">
        <v>1</v>
      </c>
      <c r="AF1049" s="9">
        <v>5</v>
      </c>
      <c r="AG1049" s="9">
        <v>5</v>
      </c>
      <c r="AH1049" s="3">
        <v>1</v>
      </c>
      <c r="AI1049" s="3">
        <v>1</v>
      </c>
      <c r="AJ1049" s="3">
        <v>2</v>
      </c>
      <c r="AK1049" s="3">
        <v>2</v>
      </c>
      <c r="AL1049" s="3">
        <v>3</v>
      </c>
      <c r="AM1049" s="3">
        <v>3</v>
      </c>
      <c r="AN1049" s="3">
        <v>0</v>
      </c>
      <c r="AO1049" s="3">
        <v>0</v>
      </c>
      <c r="AP1049" s="3">
        <v>0</v>
      </c>
      <c r="AQ1049" s="3">
        <v>0</v>
      </c>
      <c r="AR1049" s="2" t="s">
        <v>5</v>
      </c>
      <c r="AS1049" s="2" t="s">
        <v>46</v>
      </c>
      <c r="AT1049" s="5" t="str">
        <f>HYPERLINK("http://catalog.hathitrust.org/Record/003084162","HathiTrust Record")</f>
        <v>HathiTrust Record</v>
      </c>
      <c r="AU1049" s="5" t="str">
        <f>HYPERLINK("https://creighton-primo.hosted.exlibrisgroup.com/primo-explore/search?tab=default_tab&amp;search_scope=EVERYTHING&amp;vid=01CRU&amp;lang=en_US&amp;offset=0&amp;query=any,contains,991004027739702656","Catalog Record")</f>
        <v>Catalog Record</v>
      </c>
      <c r="AV1049" s="5" t="str">
        <f>HYPERLINK("http://www.worldcat.org/oclc/13832097","WorldCat Record")</f>
        <v>WorldCat Record</v>
      </c>
      <c r="AW1049" s="2" t="s">
        <v>12980</v>
      </c>
      <c r="AX1049" s="2" t="s">
        <v>12981</v>
      </c>
      <c r="AY1049" s="2" t="s">
        <v>12982</v>
      </c>
      <c r="AZ1049" s="2" t="s">
        <v>12982</v>
      </c>
      <c r="BA1049" s="2" t="s">
        <v>12983</v>
      </c>
      <c r="BB1049" s="2" t="s">
        <v>20</v>
      </c>
      <c r="BD1049" s="2" t="s">
        <v>12984</v>
      </c>
      <c r="BE1049" s="2" t="s">
        <v>12985</v>
      </c>
      <c r="BF1049" s="2" t="s">
        <v>12986</v>
      </c>
    </row>
    <row r="1050" spans="1:58" ht="39.75" customHeight="1" x14ac:dyDescent="0.25">
      <c r="A1050" s="7" t="s">
        <v>5</v>
      </c>
      <c r="B1050" s="1" t="s">
        <v>0</v>
      </c>
      <c r="C1050" s="1" t="s">
        <v>1</v>
      </c>
      <c r="D1050" s="1" t="s">
        <v>12987</v>
      </c>
      <c r="E1050" s="1" t="s">
        <v>12988</v>
      </c>
      <c r="F1050" s="1" t="s">
        <v>12989</v>
      </c>
      <c r="H1050" s="2" t="s">
        <v>5</v>
      </c>
      <c r="I1050" s="2" t="s">
        <v>6</v>
      </c>
      <c r="J1050" s="2" t="s">
        <v>5</v>
      </c>
      <c r="K1050" s="2" t="s">
        <v>5</v>
      </c>
      <c r="L1050" s="2" t="s">
        <v>7</v>
      </c>
      <c r="M1050" s="1" t="s">
        <v>12990</v>
      </c>
      <c r="N1050" s="1" t="s">
        <v>12991</v>
      </c>
      <c r="O1050" s="2" t="s">
        <v>708</v>
      </c>
      <c r="P1050" s="1" t="s">
        <v>2170</v>
      </c>
      <c r="Q1050" s="2" t="s">
        <v>60</v>
      </c>
      <c r="R1050" s="2" t="s">
        <v>12992</v>
      </c>
      <c r="T1050" s="2" t="s">
        <v>13</v>
      </c>
      <c r="U1050" s="3">
        <v>1</v>
      </c>
      <c r="V1050" s="3">
        <v>1</v>
      </c>
      <c r="W1050" s="4" t="s">
        <v>4857</v>
      </c>
      <c r="X1050" s="4" t="s">
        <v>4857</v>
      </c>
      <c r="Y1050" s="4" t="s">
        <v>4857</v>
      </c>
      <c r="Z1050" s="4" t="s">
        <v>4857</v>
      </c>
      <c r="AA1050" s="3">
        <v>333</v>
      </c>
      <c r="AB1050" s="3">
        <v>292</v>
      </c>
      <c r="AC1050" s="3">
        <v>352</v>
      </c>
      <c r="AD1050" s="3">
        <v>3</v>
      </c>
      <c r="AE1050" s="9">
        <v>4</v>
      </c>
      <c r="AF1050" s="9">
        <v>16</v>
      </c>
      <c r="AG1050" s="9">
        <v>19</v>
      </c>
      <c r="AH1050" s="3">
        <v>7</v>
      </c>
      <c r="AI1050" s="3">
        <v>7</v>
      </c>
      <c r="AJ1050" s="3">
        <v>3</v>
      </c>
      <c r="AK1050" s="3">
        <v>4</v>
      </c>
      <c r="AL1050" s="3">
        <v>10</v>
      </c>
      <c r="AM1050" s="3">
        <v>12</v>
      </c>
      <c r="AN1050" s="3">
        <v>2</v>
      </c>
      <c r="AO1050" s="3">
        <v>3</v>
      </c>
      <c r="AP1050" s="3">
        <v>0</v>
      </c>
      <c r="AQ1050" s="3">
        <v>0</v>
      </c>
      <c r="AR1050" s="2" t="s">
        <v>5</v>
      </c>
      <c r="AS1050" s="2" t="s">
        <v>46</v>
      </c>
      <c r="AT1050" s="5" t="str">
        <f>HYPERLINK("http://catalog.hathitrust.org/Record/000913019","HathiTrust Record")</f>
        <v>HathiTrust Record</v>
      </c>
      <c r="AU1050" s="5" t="str">
        <f>HYPERLINK("https://creighton-primo.hosted.exlibrisgroup.com/primo-explore/search?tab=default_tab&amp;search_scope=EVERYTHING&amp;vid=01CRU&amp;lang=en_US&amp;offset=0&amp;query=any,contains,991004549989702656","Catalog Record")</f>
        <v>Catalog Record</v>
      </c>
      <c r="AV1050" s="5" t="str">
        <f>HYPERLINK("http://www.worldcat.org/oclc/17598211","WorldCat Record")</f>
        <v>WorldCat Record</v>
      </c>
      <c r="AW1050" s="2" t="s">
        <v>12993</v>
      </c>
      <c r="AX1050" s="2" t="s">
        <v>12994</v>
      </c>
      <c r="AY1050" s="2" t="s">
        <v>12995</v>
      </c>
      <c r="AZ1050" s="2" t="s">
        <v>12995</v>
      </c>
      <c r="BA1050" s="2" t="s">
        <v>12996</v>
      </c>
      <c r="BB1050" s="2" t="s">
        <v>20</v>
      </c>
      <c r="BD1050" s="2" t="s">
        <v>12997</v>
      </c>
      <c r="BE1050" s="2" t="s">
        <v>12998</v>
      </c>
      <c r="BF1050" s="2" t="s">
        <v>12999</v>
      </c>
    </row>
    <row r="1051" spans="1:58" ht="39.75" customHeight="1" x14ac:dyDescent="0.25">
      <c r="A1051" s="7" t="s">
        <v>5</v>
      </c>
      <c r="B1051" s="1" t="s">
        <v>0</v>
      </c>
      <c r="C1051" s="1" t="s">
        <v>1</v>
      </c>
      <c r="D1051" s="1" t="s">
        <v>13000</v>
      </c>
      <c r="E1051" s="1" t="s">
        <v>13001</v>
      </c>
      <c r="F1051" s="1" t="s">
        <v>13002</v>
      </c>
      <c r="H1051" s="2" t="s">
        <v>5</v>
      </c>
      <c r="I1051" s="2" t="s">
        <v>6</v>
      </c>
      <c r="J1051" s="2" t="s">
        <v>5</v>
      </c>
      <c r="K1051" s="2" t="s">
        <v>5</v>
      </c>
      <c r="L1051" s="2" t="s">
        <v>7</v>
      </c>
      <c r="N1051" s="1" t="s">
        <v>13003</v>
      </c>
      <c r="O1051" s="2" t="s">
        <v>291</v>
      </c>
      <c r="Q1051" s="2" t="s">
        <v>1151</v>
      </c>
      <c r="R1051" s="2" t="s">
        <v>4146</v>
      </c>
      <c r="S1051" s="1" t="s">
        <v>13004</v>
      </c>
      <c r="T1051" s="2" t="s">
        <v>13</v>
      </c>
      <c r="U1051" s="3">
        <v>1</v>
      </c>
      <c r="V1051" s="3">
        <v>1</v>
      </c>
      <c r="W1051" s="4" t="s">
        <v>10532</v>
      </c>
      <c r="X1051" s="4" t="s">
        <v>10532</v>
      </c>
      <c r="Y1051" s="4" t="s">
        <v>10532</v>
      </c>
      <c r="Z1051" s="4" t="s">
        <v>10532</v>
      </c>
      <c r="AA1051" s="3">
        <v>138</v>
      </c>
      <c r="AB1051" s="3">
        <v>91</v>
      </c>
      <c r="AC1051" s="3">
        <v>158</v>
      </c>
      <c r="AD1051" s="3">
        <v>1</v>
      </c>
      <c r="AE1051" s="9">
        <v>1</v>
      </c>
      <c r="AF1051" s="9">
        <v>2</v>
      </c>
      <c r="AG1051" s="9">
        <v>8</v>
      </c>
      <c r="AH1051" s="3">
        <v>0</v>
      </c>
      <c r="AI1051" s="3">
        <v>1</v>
      </c>
      <c r="AJ1051" s="3">
        <v>1</v>
      </c>
      <c r="AK1051" s="3">
        <v>4</v>
      </c>
      <c r="AL1051" s="3">
        <v>1</v>
      </c>
      <c r="AM1051" s="3">
        <v>6</v>
      </c>
      <c r="AN1051" s="3">
        <v>0</v>
      </c>
      <c r="AO1051" s="3">
        <v>0</v>
      </c>
      <c r="AP1051" s="3">
        <v>0</v>
      </c>
      <c r="AQ1051" s="3">
        <v>0</v>
      </c>
      <c r="AR1051" s="2" t="s">
        <v>5</v>
      </c>
      <c r="AS1051" s="2" t="s">
        <v>46</v>
      </c>
      <c r="AT1051" s="5" t="str">
        <f>HYPERLINK("http://catalog.hathitrust.org/Record/006714147","HathiTrust Record")</f>
        <v>HathiTrust Record</v>
      </c>
      <c r="AU1051" s="5" t="str">
        <f>HYPERLINK("https://creighton-primo.hosted.exlibrisgroup.com/primo-explore/search?tab=default_tab&amp;search_scope=EVERYTHING&amp;vid=01CRU&amp;lang=en_US&amp;offset=0&amp;query=any,contains,991003683169702656","Catalog Record")</f>
        <v>Catalog Record</v>
      </c>
      <c r="AV1051" s="5" t="str">
        <f>HYPERLINK("http://www.worldcat.org/oclc/4230905","WorldCat Record")</f>
        <v>WorldCat Record</v>
      </c>
      <c r="AW1051" s="2" t="s">
        <v>13005</v>
      </c>
      <c r="AX1051" s="2" t="s">
        <v>13006</v>
      </c>
      <c r="AY1051" s="2" t="s">
        <v>13007</v>
      </c>
      <c r="AZ1051" s="2" t="s">
        <v>13007</v>
      </c>
      <c r="BA1051" s="2" t="s">
        <v>13008</v>
      </c>
      <c r="BB1051" s="2" t="s">
        <v>20</v>
      </c>
      <c r="BE1051" s="2" t="s">
        <v>13009</v>
      </c>
      <c r="BF1051" s="2" t="s">
        <v>13010</v>
      </c>
    </row>
    <row r="1052" spans="1:58" ht="39.75" customHeight="1" x14ac:dyDescent="0.25">
      <c r="A1052" s="7" t="s">
        <v>5</v>
      </c>
      <c r="B1052" s="1" t="s">
        <v>0</v>
      </c>
      <c r="C1052" s="1" t="s">
        <v>1</v>
      </c>
      <c r="D1052" s="1" t="s">
        <v>13011</v>
      </c>
      <c r="E1052" s="1" t="s">
        <v>13012</v>
      </c>
      <c r="F1052" s="1" t="s">
        <v>13013</v>
      </c>
      <c r="G1052" s="2" t="s">
        <v>73</v>
      </c>
      <c r="H1052" s="2" t="s">
        <v>46</v>
      </c>
      <c r="I1052" s="2" t="s">
        <v>6</v>
      </c>
      <c r="J1052" s="2" t="s">
        <v>5</v>
      </c>
      <c r="K1052" s="2" t="s">
        <v>5</v>
      </c>
      <c r="L1052" s="2" t="s">
        <v>7</v>
      </c>
      <c r="M1052" s="1" t="s">
        <v>13014</v>
      </c>
      <c r="N1052" s="1" t="s">
        <v>13015</v>
      </c>
      <c r="O1052" s="2" t="s">
        <v>2610</v>
      </c>
      <c r="Q1052" s="2" t="s">
        <v>1151</v>
      </c>
      <c r="R1052" s="2" t="s">
        <v>1152</v>
      </c>
      <c r="T1052" s="2" t="s">
        <v>13</v>
      </c>
      <c r="U1052" s="3">
        <v>3</v>
      </c>
      <c r="V1052" s="3">
        <v>14</v>
      </c>
      <c r="W1052" s="4" t="s">
        <v>4493</v>
      </c>
      <c r="X1052" s="4" t="s">
        <v>4493</v>
      </c>
      <c r="Y1052" s="4" t="s">
        <v>6597</v>
      </c>
      <c r="Z1052" s="4" t="s">
        <v>6597</v>
      </c>
      <c r="AA1052" s="3">
        <v>108</v>
      </c>
      <c r="AB1052" s="3">
        <v>76</v>
      </c>
      <c r="AC1052" s="3">
        <v>619</v>
      </c>
      <c r="AD1052" s="3">
        <v>1</v>
      </c>
      <c r="AE1052" s="9">
        <v>5</v>
      </c>
      <c r="AF1052" s="9">
        <v>4</v>
      </c>
      <c r="AG1052" s="9">
        <v>34</v>
      </c>
      <c r="AH1052" s="3">
        <v>0</v>
      </c>
      <c r="AI1052" s="3">
        <v>15</v>
      </c>
      <c r="AJ1052" s="3">
        <v>4</v>
      </c>
      <c r="AK1052" s="3">
        <v>8</v>
      </c>
      <c r="AL1052" s="3">
        <v>1</v>
      </c>
      <c r="AM1052" s="3">
        <v>14</v>
      </c>
      <c r="AN1052" s="3">
        <v>0</v>
      </c>
      <c r="AO1052" s="3">
        <v>4</v>
      </c>
      <c r="AP1052" s="3">
        <v>0</v>
      </c>
      <c r="AQ1052" s="3">
        <v>0</v>
      </c>
      <c r="AR1052" s="2" t="s">
        <v>5</v>
      </c>
      <c r="AS1052" s="2" t="s">
        <v>46</v>
      </c>
      <c r="AT1052" s="5" t="str">
        <f>HYPERLINK("http://catalog.hathitrust.org/Record/011241587","HathiTrust Record")</f>
        <v>HathiTrust Record</v>
      </c>
      <c r="AU1052" s="5" t="str">
        <f>HYPERLINK("https://creighton-primo.hosted.exlibrisgroup.com/primo-explore/search?tab=default_tab&amp;search_scope=EVERYTHING&amp;vid=01CRU&amp;lang=en_US&amp;offset=0&amp;query=any,contains,991001782179702656","Catalog Record")</f>
        <v>Catalog Record</v>
      </c>
      <c r="AV1052" s="5" t="str">
        <f>HYPERLINK("http://www.worldcat.org/oclc/22482215","WorldCat Record")</f>
        <v>WorldCat Record</v>
      </c>
      <c r="AW1052" s="2" t="s">
        <v>13016</v>
      </c>
      <c r="AX1052" s="2" t="s">
        <v>13017</v>
      </c>
      <c r="AY1052" s="2" t="s">
        <v>13018</v>
      </c>
      <c r="AZ1052" s="2" t="s">
        <v>13018</v>
      </c>
      <c r="BA1052" s="2" t="s">
        <v>13019</v>
      </c>
      <c r="BB1052" s="2" t="s">
        <v>20</v>
      </c>
      <c r="BD1052" s="2" t="s">
        <v>13020</v>
      </c>
      <c r="BE1052" s="2" t="s">
        <v>13021</v>
      </c>
      <c r="BF1052" s="2" t="s">
        <v>13022</v>
      </c>
    </row>
    <row r="1053" spans="1:58" ht="39.75" customHeight="1" x14ac:dyDescent="0.25">
      <c r="A1053" s="7" t="s">
        <v>5</v>
      </c>
      <c r="B1053" s="1" t="s">
        <v>0</v>
      </c>
      <c r="C1053" s="1" t="s">
        <v>1</v>
      </c>
      <c r="D1053" s="1" t="s">
        <v>13011</v>
      </c>
      <c r="E1053" s="1" t="s">
        <v>13012</v>
      </c>
      <c r="F1053" s="1" t="s">
        <v>13013</v>
      </c>
      <c r="G1053" s="2" t="s">
        <v>101</v>
      </c>
      <c r="H1053" s="2" t="s">
        <v>46</v>
      </c>
      <c r="I1053" s="2" t="s">
        <v>6</v>
      </c>
      <c r="J1053" s="2" t="s">
        <v>5</v>
      </c>
      <c r="K1053" s="2" t="s">
        <v>5</v>
      </c>
      <c r="L1053" s="2" t="s">
        <v>7</v>
      </c>
      <c r="M1053" s="1" t="s">
        <v>13014</v>
      </c>
      <c r="N1053" s="1" t="s">
        <v>13015</v>
      </c>
      <c r="O1053" s="2" t="s">
        <v>2610</v>
      </c>
      <c r="Q1053" s="2" t="s">
        <v>1151</v>
      </c>
      <c r="R1053" s="2" t="s">
        <v>1152</v>
      </c>
      <c r="T1053" s="2" t="s">
        <v>13</v>
      </c>
      <c r="U1053" s="3">
        <v>10</v>
      </c>
      <c r="V1053" s="3">
        <v>14</v>
      </c>
      <c r="W1053" s="4" t="s">
        <v>4493</v>
      </c>
      <c r="X1053" s="4" t="s">
        <v>4493</v>
      </c>
      <c r="Y1053" s="4" t="s">
        <v>6597</v>
      </c>
      <c r="Z1053" s="4" t="s">
        <v>6597</v>
      </c>
      <c r="AA1053" s="3">
        <v>108</v>
      </c>
      <c r="AB1053" s="3">
        <v>76</v>
      </c>
      <c r="AC1053" s="3">
        <v>619</v>
      </c>
      <c r="AD1053" s="3">
        <v>1</v>
      </c>
      <c r="AE1053" s="9">
        <v>5</v>
      </c>
      <c r="AF1053" s="9">
        <v>4</v>
      </c>
      <c r="AG1053" s="9">
        <v>34</v>
      </c>
      <c r="AH1053" s="3">
        <v>0</v>
      </c>
      <c r="AI1053" s="3">
        <v>15</v>
      </c>
      <c r="AJ1053" s="3">
        <v>4</v>
      </c>
      <c r="AK1053" s="3">
        <v>8</v>
      </c>
      <c r="AL1053" s="3">
        <v>1</v>
      </c>
      <c r="AM1053" s="3">
        <v>14</v>
      </c>
      <c r="AN1053" s="3">
        <v>0</v>
      </c>
      <c r="AO1053" s="3">
        <v>4</v>
      </c>
      <c r="AP1053" s="3">
        <v>0</v>
      </c>
      <c r="AQ1053" s="3">
        <v>0</v>
      </c>
      <c r="AR1053" s="2" t="s">
        <v>5</v>
      </c>
      <c r="AS1053" s="2" t="s">
        <v>46</v>
      </c>
      <c r="AT1053" s="5" t="str">
        <f>HYPERLINK("http://catalog.hathitrust.org/Record/011241587","HathiTrust Record")</f>
        <v>HathiTrust Record</v>
      </c>
      <c r="AU1053" s="5" t="str">
        <f>HYPERLINK("https://creighton-primo.hosted.exlibrisgroup.com/primo-explore/search?tab=default_tab&amp;search_scope=EVERYTHING&amp;vid=01CRU&amp;lang=en_US&amp;offset=0&amp;query=any,contains,991001782179702656","Catalog Record")</f>
        <v>Catalog Record</v>
      </c>
      <c r="AV1053" s="5" t="str">
        <f>HYPERLINK("http://www.worldcat.org/oclc/22482215","WorldCat Record")</f>
        <v>WorldCat Record</v>
      </c>
      <c r="AW1053" s="2" t="s">
        <v>13016</v>
      </c>
      <c r="AX1053" s="2" t="s">
        <v>13017</v>
      </c>
      <c r="AY1053" s="2" t="s">
        <v>13018</v>
      </c>
      <c r="AZ1053" s="2" t="s">
        <v>13018</v>
      </c>
      <c r="BA1053" s="2" t="s">
        <v>13019</v>
      </c>
      <c r="BB1053" s="2" t="s">
        <v>20</v>
      </c>
      <c r="BD1053" s="2" t="s">
        <v>13020</v>
      </c>
      <c r="BE1053" s="2" t="s">
        <v>13023</v>
      </c>
      <c r="BF1053" s="2" t="s">
        <v>13024</v>
      </c>
    </row>
    <row r="1054" spans="1:58" ht="39.75" customHeight="1" x14ac:dyDescent="0.25">
      <c r="A1054" s="7" t="s">
        <v>5</v>
      </c>
      <c r="B1054" s="1" t="s">
        <v>0</v>
      </c>
      <c r="C1054" s="1" t="s">
        <v>1</v>
      </c>
      <c r="D1054" s="1" t="s">
        <v>13011</v>
      </c>
      <c r="E1054" s="1" t="s">
        <v>13012</v>
      </c>
      <c r="F1054" s="1" t="s">
        <v>13013</v>
      </c>
      <c r="G1054" s="2" t="s">
        <v>4021</v>
      </c>
      <c r="H1054" s="2" t="s">
        <v>46</v>
      </c>
      <c r="I1054" s="2" t="s">
        <v>6</v>
      </c>
      <c r="J1054" s="2" t="s">
        <v>5</v>
      </c>
      <c r="K1054" s="2" t="s">
        <v>5</v>
      </c>
      <c r="L1054" s="2" t="s">
        <v>7</v>
      </c>
      <c r="M1054" s="1" t="s">
        <v>13014</v>
      </c>
      <c r="N1054" s="1" t="s">
        <v>13015</v>
      </c>
      <c r="O1054" s="2" t="s">
        <v>2610</v>
      </c>
      <c r="Q1054" s="2" t="s">
        <v>1151</v>
      </c>
      <c r="R1054" s="2" t="s">
        <v>1152</v>
      </c>
      <c r="T1054" s="2" t="s">
        <v>13</v>
      </c>
      <c r="U1054" s="3">
        <v>1</v>
      </c>
      <c r="V1054" s="3">
        <v>14</v>
      </c>
      <c r="X1054" s="4" t="s">
        <v>4493</v>
      </c>
      <c r="Y1054" s="4" t="s">
        <v>6597</v>
      </c>
      <c r="Z1054" s="4" t="s">
        <v>6597</v>
      </c>
      <c r="AA1054" s="3">
        <v>108</v>
      </c>
      <c r="AB1054" s="3">
        <v>76</v>
      </c>
      <c r="AC1054" s="3">
        <v>619</v>
      </c>
      <c r="AD1054" s="3">
        <v>1</v>
      </c>
      <c r="AE1054" s="9">
        <v>5</v>
      </c>
      <c r="AF1054" s="9">
        <v>4</v>
      </c>
      <c r="AG1054" s="9">
        <v>34</v>
      </c>
      <c r="AH1054" s="3">
        <v>0</v>
      </c>
      <c r="AI1054" s="3">
        <v>15</v>
      </c>
      <c r="AJ1054" s="3">
        <v>4</v>
      </c>
      <c r="AK1054" s="3">
        <v>8</v>
      </c>
      <c r="AL1054" s="3">
        <v>1</v>
      </c>
      <c r="AM1054" s="3">
        <v>14</v>
      </c>
      <c r="AN1054" s="3">
        <v>0</v>
      </c>
      <c r="AO1054" s="3">
        <v>4</v>
      </c>
      <c r="AP1054" s="3">
        <v>0</v>
      </c>
      <c r="AQ1054" s="3">
        <v>0</v>
      </c>
      <c r="AR1054" s="2" t="s">
        <v>5</v>
      </c>
      <c r="AS1054" s="2" t="s">
        <v>46</v>
      </c>
      <c r="AT1054" s="5" t="str">
        <f>HYPERLINK("http://catalog.hathitrust.org/Record/011241587","HathiTrust Record")</f>
        <v>HathiTrust Record</v>
      </c>
      <c r="AU1054" s="5" t="str">
        <f>HYPERLINK("https://creighton-primo.hosted.exlibrisgroup.com/primo-explore/search?tab=default_tab&amp;search_scope=EVERYTHING&amp;vid=01CRU&amp;lang=en_US&amp;offset=0&amp;query=any,contains,991001782179702656","Catalog Record")</f>
        <v>Catalog Record</v>
      </c>
      <c r="AV1054" s="5" t="str">
        <f>HYPERLINK("http://www.worldcat.org/oclc/22482215","WorldCat Record")</f>
        <v>WorldCat Record</v>
      </c>
      <c r="AW1054" s="2" t="s">
        <v>13016</v>
      </c>
      <c r="AX1054" s="2" t="s">
        <v>13017</v>
      </c>
      <c r="AY1054" s="2" t="s">
        <v>13018</v>
      </c>
      <c r="AZ1054" s="2" t="s">
        <v>13018</v>
      </c>
      <c r="BA1054" s="2" t="s">
        <v>13019</v>
      </c>
      <c r="BB1054" s="2" t="s">
        <v>20</v>
      </c>
      <c r="BD1054" s="2" t="s">
        <v>13020</v>
      </c>
      <c r="BE1054" s="2" t="s">
        <v>13025</v>
      </c>
      <c r="BF1054" s="2" t="s">
        <v>13026</v>
      </c>
    </row>
    <row r="1055" spans="1:58" ht="39.75" customHeight="1" x14ac:dyDescent="0.25">
      <c r="A1055" s="7" t="s">
        <v>5</v>
      </c>
      <c r="B1055" s="1" t="s">
        <v>0</v>
      </c>
      <c r="C1055" s="1" t="s">
        <v>1</v>
      </c>
      <c r="D1055" s="1" t="s">
        <v>13027</v>
      </c>
      <c r="E1055" s="1" t="s">
        <v>13028</v>
      </c>
      <c r="F1055" s="1" t="s">
        <v>13029</v>
      </c>
      <c r="H1055" s="2" t="s">
        <v>5</v>
      </c>
      <c r="I1055" s="2" t="s">
        <v>6</v>
      </c>
      <c r="J1055" s="2" t="s">
        <v>5</v>
      </c>
      <c r="K1055" s="2" t="s">
        <v>5</v>
      </c>
      <c r="L1055" s="2" t="s">
        <v>7</v>
      </c>
      <c r="M1055" s="1" t="s">
        <v>13030</v>
      </c>
      <c r="N1055" s="1" t="s">
        <v>13031</v>
      </c>
      <c r="O1055" s="2" t="s">
        <v>1515</v>
      </c>
      <c r="Q1055" s="2" t="s">
        <v>1151</v>
      </c>
      <c r="R1055" s="2" t="s">
        <v>43</v>
      </c>
      <c r="T1055" s="2" t="s">
        <v>13</v>
      </c>
      <c r="U1055" s="3">
        <v>1</v>
      </c>
      <c r="V1055" s="3">
        <v>1</v>
      </c>
      <c r="W1055" s="4" t="s">
        <v>13032</v>
      </c>
      <c r="X1055" s="4" t="s">
        <v>13032</v>
      </c>
      <c r="Y1055" s="4" t="s">
        <v>13033</v>
      </c>
      <c r="Z1055" s="4" t="s">
        <v>13033</v>
      </c>
      <c r="AA1055" s="3">
        <v>192</v>
      </c>
      <c r="AB1055" s="3">
        <v>155</v>
      </c>
      <c r="AC1055" s="3">
        <v>162</v>
      </c>
      <c r="AD1055" s="3">
        <v>1</v>
      </c>
      <c r="AE1055" s="9">
        <v>1</v>
      </c>
      <c r="AF1055" s="9">
        <v>6</v>
      </c>
      <c r="AG1055" s="9">
        <v>6</v>
      </c>
      <c r="AH1055" s="3">
        <v>2</v>
      </c>
      <c r="AI1055" s="3">
        <v>2</v>
      </c>
      <c r="AJ1055" s="3">
        <v>3</v>
      </c>
      <c r="AK1055" s="3">
        <v>3</v>
      </c>
      <c r="AL1055" s="3">
        <v>3</v>
      </c>
      <c r="AM1055" s="3">
        <v>3</v>
      </c>
      <c r="AN1055" s="3">
        <v>0</v>
      </c>
      <c r="AO1055" s="3">
        <v>0</v>
      </c>
      <c r="AP1055" s="3">
        <v>0</v>
      </c>
      <c r="AQ1055" s="3">
        <v>0</v>
      </c>
      <c r="AR1055" s="2" t="s">
        <v>5</v>
      </c>
      <c r="AS1055" s="2" t="s">
        <v>46</v>
      </c>
      <c r="AT1055" s="5" t="str">
        <f>HYPERLINK("http://catalog.hathitrust.org/Record/000448441","HathiTrust Record")</f>
        <v>HathiTrust Record</v>
      </c>
      <c r="AU1055" s="5" t="str">
        <f>HYPERLINK("https://creighton-primo.hosted.exlibrisgroup.com/primo-explore/search?tab=default_tab&amp;search_scope=EVERYTHING&amp;vid=01CRU&amp;lang=en_US&amp;offset=0&amp;query=any,contains,991005246569702656","Catalog Record")</f>
        <v>Catalog Record</v>
      </c>
      <c r="AV1055" s="5" t="str">
        <f>HYPERLINK("http://www.worldcat.org/oclc/8467613","WorldCat Record")</f>
        <v>WorldCat Record</v>
      </c>
      <c r="AW1055" s="2" t="s">
        <v>13034</v>
      </c>
      <c r="AX1055" s="2" t="s">
        <v>13035</v>
      </c>
      <c r="AY1055" s="2" t="s">
        <v>13036</v>
      </c>
      <c r="AZ1055" s="2" t="s">
        <v>13036</v>
      </c>
      <c r="BA1055" s="2" t="s">
        <v>13037</v>
      </c>
      <c r="BB1055" s="2" t="s">
        <v>20</v>
      </c>
      <c r="BD1055" s="2" t="s">
        <v>13038</v>
      </c>
      <c r="BE1055" s="2" t="s">
        <v>13039</v>
      </c>
      <c r="BF1055" s="2" t="s">
        <v>13040</v>
      </c>
    </row>
    <row r="1056" spans="1:58" ht="39.75" customHeight="1" x14ac:dyDescent="0.25">
      <c r="A1056" s="7" t="s">
        <v>5</v>
      </c>
      <c r="B1056" s="1" t="s">
        <v>0</v>
      </c>
      <c r="C1056" s="1" t="s">
        <v>1</v>
      </c>
      <c r="D1056" s="1" t="s">
        <v>13041</v>
      </c>
      <c r="E1056" s="1" t="s">
        <v>13042</v>
      </c>
      <c r="F1056" s="1" t="s">
        <v>13043</v>
      </c>
      <c r="H1056" s="2" t="s">
        <v>5</v>
      </c>
      <c r="I1056" s="2" t="s">
        <v>6</v>
      </c>
      <c r="J1056" s="2" t="s">
        <v>46</v>
      </c>
      <c r="K1056" s="2" t="s">
        <v>5</v>
      </c>
      <c r="L1056" s="2" t="s">
        <v>7</v>
      </c>
      <c r="M1056" s="1" t="s">
        <v>13044</v>
      </c>
      <c r="N1056" s="1" t="s">
        <v>13045</v>
      </c>
      <c r="O1056" s="2" t="s">
        <v>248</v>
      </c>
      <c r="Q1056" s="2" t="s">
        <v>60</v>
      </c>
      <c r="R1056" s="2" t="s">
        <v>61</v>
      </c>
      <c r="S1056" s="1" t="s">
        <v>13046</v>
      </c>
      <c r="T1056" s="2" t="s">
        <v>13</v>
      </c>
      <c r="U1056" s="3">
        <v>4</v>
      </c>
      <c r="V1056" s="3">
        <v>11</v>
      </c>
      <c r="W1056" s="4" t="s">
        <v>13047</v>
      </c>
      <c r="X1056" s="4" t="s">
        <v>13048</v>
      </c>
      <c r="Y1056" s="4" t="s">
        <v>12606</v>
      </c>
      <c r="Z1056" s="4" t="s">
        <v>12606</v>
      </c>
      <c r="AA1056" s="3">
        <v>732</v>
      </c>
      <c r="AB1056" s="3">
        <v>642</v>
      </c>
      <c r="AC1056" s="3">
        <v>646</v>
      </c>
      <c r="AD1056" s="3">
        <v>5</v>
      </c>
      <c r="AE1056" s="9">
        <v>5</v>
      </c>
      <c r="AF1056" s="9">
        <v>29</v>
      </c>
      <c r="AG1056" s="9">
        <v>29</v>
      </c>
      <c r="AH1056" s="3">
        <v>13</v>
      </c>
      <c r="AI1056" s="3">
        <v>13</v>
      </c>
      <c r="AJ1056" s="3">
        <v>6</v>
      </c>
      <c r="AK1056" s="3">
        <v>6</v>
      </c>
      <c r="AL1056" s="3">
        <v>13</v>
      </c>
      <c r="AM1056" s="3">
        <v>13</v>
      </c>
      <c r="AN1056" s="3">
        <v>4</v>
      </c>
      <c r="AO1056" s="3">
        <v>4</v>
      </c>
      <c r="AP1056" s="3">
        <v>0</v>
      </c>
      <c r="AQ1056" s="3">
        <v>0</v>
      </c>
      <c r="AR1056" s="2" t="s">
        <v>5</v>
      </c>
      <c r="AS1056" s="2" t="s">
        <v>5</v>
      </c>
      <c r="AU1056" s="5" t="str">
        <f>HYPERLINK("https://creighton-primo.hosted.exlibrisgroup.com/primo-explore/search?tab=default_tab&amp;search_scope=EVERYTHING&amp;vid=01CRU&amp;lang=en_US&amp;offset=0&amp;query=any,contains,991000928979702656","Catalog Record")</f>
        <v>Catalog Record</v>
      </c>
      <c r="AV1056" s="5" t="str">
        <f>HYPERLINK("http://www.worldcat.org/oclc/163790","WorldCat Record")</f>
        <v>WorldCat Record</v>
      </c>
      <c r="AW1056" s="2" t="s">
        <v>13049</v>
      </c>
      <c r="AX1056" s="2" t="s">
        <v>13050</v>
      </c>
      <c r="AY1056" s="2" t="s">
        <v>13051</v>
      </c>
      <c r="AZ1056" s="2" t="s">
        <v>13051</v>
      </c>
      <c r="BA1056" s="2" t="s">
        <v>13052</v>
      </c>
      <c r="BB1056" s="2" t="s">
        <v>20</v>
      </c>
      <c r="BD1056" s="2" t="s">
        <v>13053</v>
      </c>
      <c r="BE1056" s="2" t="s">
        <v>13054</v>
      </c>
      <c r="BF1056" s="2" t="s">
        <v>13055</v>
      </c>
    </row>
    <row r="1057" spans="1:58" ht="39.75" customHeight="1" x14ac:dyDescent="0.25">
      <c r="A1057" s="7" t="s">
        <v>5</v>
      </c>
      <c r="B1057" s="1" t="s">
        <v>0</v>
      </c>
      <c r="C1057" s="1" t="s">
        <v>1</v>
      </c>
      <c r="D1057" s="1" t="s">
        <v>13041</v>
      </c>
      <c r="E1057" s="1" t="s">
        <v>13042</v>
      </c>
      <c r="F1057" s="1" t="s">
        <v>13043</v>
      </c>
      <c r="H1057" s="2" t="s">
        <v>5</v>
      </c>
      <c r="I1057" s="2" t="s">
        <v>6</v>
      </c>
      <c r="J1057" s="2" t="s">
        <v>46</v>
      </c>
      <c r="K1057" s="2" t="s">
        <v>5</v>
      </c>
      <c r="L1057" s="2" t="s">
        <v>7</v>
      </c>
      <c r="M1057" s="1" t="s">
        <v>13044</v>
      </c>
      <c r="N1057" s="1" t="s">
        <v>13045</v>
      </c>
      <c r="O1057" s="2" t="s">
        <v>248</v>
      </c>
      <c r="Q1057" s="2" t="s">
        <v>60</v>
      </c>
      <c r="R1057" s="2" t="s">
        <v>61</v>
      </c>
      <c r="S1057" s="1" t="s">
        <v>13046</v>
      </c>
      <c r="T1057" s="2" t="s">
        <v>13</v>
      </c>
      <c r="U1057" s="3">
        <v>7</v>
      </c>
      <c r="V1057" s="3">
        <v>11</v>
      </c>
      <c r="W1057" s="4" t="s">
        <v>13048</v>
      </c>
      <c r="X1057" s="4" t="s">
        <v>13048</v>
      </c>
      <c r="Y1057" s="4" t="s">
        <v>12606</v>
      </c>
      <c r="Z1057" s="4" t="s">
        <v>12606</v>
      </c>
      <c r="AA1057" s="3">
        <v>732</v>
      </c>
      <c r="AB1057" s="3">
        <v>642</v>
      </c>
      <c r="AC1057" s="3">
        <v>646</v>
      </c>
      <c r="AD1057" s="3">
        <v>5</v>
      </c>
      <c r="AE1057" s="9">
        <v>5</v>
      </c>
      <c r="AF1057" s="9">
        <v>29</v>
      </c>
      <c r="AG1057" s="9">
        <v>29</v>
      </c>
      <c r="AH1057" s="3">
        <v>13</v>
      </c>
      <c r="AI1057" s="3">
        <v>13</v>
      </c>
      <c r="AJ1057" s="3">
        <v>6</v>
      </c>
      <c r="AK1057" s="3">
        <v>6</v>
      </c>
      <c r="AL1057" s="3">
        <v>13</v>
      </c>
      <c r="AM1057" s="3">
        <v>13</v>
      </c>
      <c r="AN1057" s="3">
        <v>4</v>
      </c>
      <c r="AO1057" s="3">
        <v>4</v>
      </c>
      <c r="AP1057" s="3">
        <v>0</v>
      </c>
      <c r="AQ1057" s="3">
        <v>0</v>
      </c>
      <c r="AR1057" s="2" t="s">
        <v>5</v>
      </c>
      <c r="AS1057" s="2" t="s">
        <v>5</v>
      </c>
      <c r="AU1057" s="5" t="str">
        <f>HYPERLINK("https://creighton-primo.hosted.exlibrisgroup.com/primo-explore/search?tab=default_tab&amp;search_scope=EVERYTHING&amp;vid=01CRU&amp;lang=en_US&amp;offset=0&amp;query=any,contains,991000928979702656","Catalog Record")</f>
        <v>Catalog Record</v>
      </c>
      <c r="AV1057" s="5" t="str">
        <f>HYPERLINK("http://www.worldcat.org/oclc/163790","WorldCat Record")</f>
        <v>WorldCat Record</v>
      </c>
      <c r="AW1057" s="2" t="s">
        <v>13049</v>
      </c>
      <c r="AX1057" s="2" t="s">
        <v>13050</v>
      </c>
      <c r="AY1057" s="2" t="s">
        <v>13051</v>
      </c>
      <c r="AZ1057" s="2" t="s">
        <v>13051</v>
      </c>
      <c r="BA1057" s="2" t="s">
        <v>13052</v>
      </c>
      <c r="BB1057" s="2" t="s">
        <v>20</v>
      </c>
      <c r="BD1057" s="2" t="s">
        <v>13053</v>
      </c>
      <c r="BE1057" s="2" t="s">
        <v>13056</v>
      </c>
      <c r="BF1057" s="2" t="s">
        <v>13057</v>
      </c>
    </row>
    <row r="1058" spans="1:58" ht="39.75" customHeight="1" x14ac:dyDescent="0.25">
      <c r="A1058" s="7" t="s">
        <v>5</v>
      </c>
      <c r="B1058" s="1" t="s">
        <v>0</v>
      </c>
      <c r="C1058" s="1" t="s">
        <v>1</v>
      </c>
      <c r="D1058" s="1" t="s">
        <v>13058</v>
      </c>
      <c r="E1058" s="1" t="s">
        <v>13059</v>
      </c>
      <c r="F1058" s="1" t="s">
        <v>13060</v>
      </c>
      <c r="H1058" s="2" t="s">
        <v>5</v>
      </c>
      <c r="I1058" s="2" t="s">
        <v>6</v>
      </c>
      <c r="J1058" s="2" t="s">
        <v>5</v>
      </c>
      <c r="K1058" s="2" t="s">
        <v>5</v>
      </c>
      <c r="L1058" s="2" t="s">
        <v>7</v>
      </c>
      <c r="M1058" s="1" t="s">
        <v>13044</v>
      </c>
      <c r="N1058" s="1" t="s">
        <v>13061</v>
      </c>
      <c r="O1058" s="2" t="s">
        <v>1418</v>
      </c>
      <c r="Q1058" s="2" t="s">
        <v>1151</v>
      </c>
      <c r="R1058" s="2" t="s">
        <v>1152</v>
      </c>
      <c r="S1058" s="1" t="s">
        <v>13062</v>
      </c>
      <c r="T1058" s="2" t="s">
        <v>13</v>
      </c>
      <c r="U1058" s="3">
        <v>2</v>
      </c>
      <c r="V1058" s="3">
        <v>2</v>
      </c>
      <c r="W1058" s="4" t="s">
        <v>13063</v>
      </c>
      <c r="X1058" s="4" t="s">
        <v>13063</v>
      </c>
      <c r="Y1058" s="4" t="s">
        <v>13064</v>
      </c>
      <c r="Z1058" s="4" t="s">
        <v>13064</v>
      </c>
      <c r="AA1058" s="3">
        <v>452</v>
      </c>
      <c r="AB1058" s="3">
        <v>380</v>
      </c>
      <c r="AC1058" s="3">
        <v>586</v>
      </c>
      <c r="AD1058" s="3">
        <v>2</v>
      </c>
      <c r="AE1058" s="9">
        <v>4</v>
      </c>
      <c r="AF1058" s="9">
        <v>21</v>
      </c>
      <c r="AG1058" s="9">
        <v>33</v>
      </c>
      <c r="AH1058" s="3">
        <v>7</v>
      </c>
      <c r="AI1058" s="3">
        <v>14</v>
      </c>
      <c r="AJ1058" s="3">
        <v>8</v>
      </c>
      <c r="AK1058" s="3">
        <v>9</v>
      </c>
      <c r="AL1058" s="3">
        <v>10</v>
      </c>
      <c r="AM1058" s="3">
        <v>15</v>
      </c>
      <c r="AN1058" s="3">
        <v>1</v>
      </c>
      <c r="AO1058" s="3">
        <v>3</v>
      </c>
      <c r="AP1058" s="3">
        <v>0</v>
      </c>
      <c r="AQ1058" s="3">
        <v>0</v>
      </c>
      <c r="AR1058" s="2" t="s">
        <v>5</v>
      </c>
      <c r="AS1058" s="2" t="s">
        <v>46</v>
      </c>
      <c r="AT1058" s="5" t="str">
        <f>HYPERLINK("http://catalog.hathitrust.org/Record/001037221","HathiTrust Record")</f>
        <v>HathiTrust Record</v>
      </c>
      <c r="AU1058" s="5" t="str">
        <f>HYPERLINK("https://creighton-primo.hosted.exlibrisgroup.com/primo-explore/search?tab=default_tab&amp;search_scope=EVERYTHING&amp;vid=01CRU&amp;lang=en_US&amp;offset=0&amp;query=any,contains,991002308549702656","Catalog Record")</f>
        <v>Catalog Record</v>
      </c>
      <c r="AV1058" s="5" t="str">
        <f>HYPERLINK("http://www.worldcat.org/oclc/319179","WorldCat Record")</f>
        <v>WorldCat Record</v>
      </c>
      <c r="AW1058" s="2" t="s">
        <v>13065</v>
      </c>
      <c r="AX1058" s="2" t="s">
        <v>13066</v>
      </c>
      <c r="AY1058" s="2" t="s">
        <v>13067</v>
      </c>
      <c r="AZ1058" s="2" t="s">
        <v>13067</v>
      </c>
      <c r="BA1058" s="2" t="s">
        <v>13068</v>
      </c>
      <c r="BB1058" s="2" t="s">
        <v>20</v>
      </c>
      <c r="BE1058" s="2" t="s">
        <v>13069</v>
      </c>
      <c r="BF1058" s="2" t="s">
        <v>13070</v>
      </c>
    </row>
    <row r="1059" spans="1:58" ht="39.75" customHeight="1" x14ac:dyDescent="0.25">
      <c r="A1059" s="7" t="s">
        <v>5</v>
      </c>
      <c r="B1059" s="1" t="s">
        <v>0</v>
      </c>
      <c r="C1059" s="1" t="s">
        <v>1</v>
      </c>
      <c r="D1059" s="1" t="s">
        <v>13071</v>
      </c>
      <c r="E1059" s="1" t="s">
        <v>13072</v>
      </c>
      <c r="F1059" s="1" t="s">
        <v>13073</v>
      </c>
      <c r="H1059" s="2" t="s">
        <v>5</v>
      </c>
      <c r="I1059" s="2" t="s">
        <v>6</v>
      </c>
      <c r="J1059" s="2" t="s">
        <v>5</v>
      </c>
      <c r="K1059" s="2" t="s">
        <v>5</v>
      </c>
      <c r="L1059" s="2" t="s">
        <v>7</v>
      </c>
      <c r="M1059" s="1" t="s">
        <v>13074</v>
      </c>
      <c r="N1059" s="1" t="s">
        <v>13075</v>
      </c>
      <c r="O1059" s="2" t="s">
        <v>480</v>
      </c>
      <c r="Q1059" s="2" t="s">
        <v>1151</v>
      </c>
      <c r="R1059" s="2" t="s">
        <v>3002</v>
      </c>
      <c r="S1059" s="1" t="s">
        <v>13076</v>
      </c>
      <c r="T1059" s="2" t="s">
        <v>13</v>
      </c>
      <c r="U1059" s="3">
        <v>1</v>
      </c>
      <c r="V1059" s="3">
        <v>1</v>
      </c>
      <c r="W1059" s="4" t="s">
        <v>5137</v>
      </c>
      <c r="X1059" s="4" t="s">
        <v>5137</v>
      </c>
      <c r="Y1059" s="4" t="s">
        <v>5137</v>
      </c>
      <c r="Z1059" s="4" t="s">
        <v>5137</v>
      </c>
      <c r="AA1059" s="3">
        <v>259</v>
      </c>
      <c r="AB1059" s="3">
        <v>209</v>
      </c>
      <c r="AC1059" s="3">
        <v>218</v>
      </c>
      <c r="AD1059" s="3">
        <v>3</v>
      </c>
      <c r="AE1059" s="9">
        <v>3</v>
      </c>
      <c r="AF1059" s="9">
        <v>12</v>
      </c>
      <c r="AG1059" s="9">
        <v>12</v>
      </c>
      <c r="AH1059" s="3">
        <v>5</v>
      </c>
      <c r="AI1059" s="3">
        <v>5</v>
      </c>
      <c r="AJ1059" s="3">
        <v>2</v>
      </c>
      <c r="AK1059" s="3">
        <v>2</v>
      </c>
      <c r="AL1059" s="3">
        <v>8</v>
      </c>
      <c r="AM1059" s="3">
        <v>8</v>
      </c>
      <c r="AN1059" s="3">
        <v>2</v>
      </c>
      <c r="AO1059" s="3">
        <v>2</v>
      </c>
      <c r="AP1059" s="3">
        <v>0</v>
      </c>
      <c r="AQ1059" s="3">
        <v>0</v>
      </c>
      <c r="AR1059" s="2" t="s">
        <v>5</v>
      </c>
      <c r="AS1059" s="2" t="s">
        <v>46</v>
      </c>
      <c r="AT1059" s="5" t="str">
        <f>HYPERLINK("http://catalog.hathitrust.org/Record/001522621","HathiTrust Record")</f>
        <v>HathiTrust Record</v>
      </c>
      <c r="AU1059" s="5" t="str">
        <f>HYPERLINK("https://creighton-primo.hosted.exlibrisgroup.com/primo-explore/search?tab=default_tab&amp;search_scope=EVERYTHING&amp;vid=01CRU&amp;lang=en_US&amp;offset=0&amp;query=any,contains,991004509759702656","Catalog Record")</f>
        <v>Catalog Record</v>
      </c>
      <c r="AV1059" s="5" t="str">
        <f>HYPERLINK("http://www.worldcat.org/oclc/568367","WorldCat Record")</f>
        <v>WorldCat Record</v>
      </c>
      <c r="AW1059" s="2" t="s">
        <v>13077</v>
      </c>
      <c r="AX1059" s="2" t="s">
        <v>13078</v>
      </c>
      <c r="AY1059" s="2" t="s">
        <v>13079</v>
      </c>
      <c r="AZ1059" s="2" t="s">
        <v>13079</v>
      </c>
      <c r="BA1059" s="2" t="s">
        <v>13080</v>
      </c>
      <c r="BB1059" s="2" t="s">
        <v>20</v>
      </c>
      <c r="BE1059" s="2" t="s">
        <v>13081</v>
      </c>
      <c r="BF1059" s="2" t="s">
        <v>13082</v>
      </c>
    </row>
    <row r="1060" spans="1:58" ht="39.75" customHeight="1" x14ac:dyDescent="0.25">
      <c r="A1060" s="7" t="s">
        <v>5</v>
      </c>
      <c r="B1060" s="1" t="s">
        <v>0</v>
      </c>
      <c r="C1060" s="1" t="s">
        <v>1</v>
      </c>
      <c r="D1060" s="1" t="s">
        <v>13083</v>
      </c>
      <c r="E1060" s="1" t="s">
        <v>13084</v>
      </c>
      <c r="F1060" s="1" t="s">
        <v>13085</v>
      </c>
      <c r="H1060" s="2" t="s">
        <v>5</v>
      </c>
      <c r="I1060" s="2" t="s">
        <v>6</v>
      </c>
      <c r="J1060" s="2" t="s">
        <v>5</v>
      </c>
      <c r="K1060" s="2" t="s">
        <v>5</v>
      </c>
      <c r="L1060" s="2" t="s">
        <v>7</v>
      </c>
      <c r="N1060" s="1" t="s">
        <v>13086</v>
      </c>
      <c r="O1060" s="2" t="s">
        <v>569</v>
      </c>
      <c r="P1060" s="1" t="s">
        <v>5939</v>
      </c>
      <c r="Q1060" s="2" t="s">
        <v>1151</v>
      </c>
      <c r="R1060" s="2" t="s">
        <v>5403</v>
      </c>
      <c r="S1060" s="1" t="s">
        <v>13087</v>
      </c>
      <c r="T1060" s="2" t="s">
        <v>13</v>
      </c>
      <c r="U1060" s="3">
        <v>2</v>
      </c>
      <c r="V1060" s="3">
        <v>2</v>
      </c>
      <c r="W1060" s="4" t="s">
        <v>13088</v>
      </c>
      <c r="X1060" s="4" t="s">
        <v>13088</v>
      </c>
      <c r="Y1060" s="4" t="s">
        <v>13089</v>
      </c>
      <c r="Z1060" s="4" t="s">
        <v>13089</v>
      </c>
      <c r="AA1060" s="3">
        <v>6</v>
      </c>
      <c r="AB1060" s="3">
        <v>3</v>
      </c>
      <c r="AC1060" s="3">
        <v>118</v>
      </c>
      <c r="AD1060" s="3">
        <v>1</v>
      </c>
      <c r="AE1060" s="9">
        <v>1</v>
      </c>
      <c r="AF1060" s="9">
        <v>0</v>
      </c>
      <c r="AG1060" s="9">
        <v>5</v>
      </c>
      <c r="AH1060" s="3">
        <v>0</v>
      </c>
      <c r="AI1060" s="3">
        <v>0</v>
      </c>
      <c r="AJ1060" s="3">
        <v>0</v>
      </c>
      <c r="AK1060" s="3">
        <v>3</v>
      </c>
      <c r="AL1060" s="3">
        <v>0</v>
      </c>
      <c r="AM1060" s="3">
        <v>3</v>
      </c>
      <c r="AN1060" s="3">
        <v>0</v>
      </c>
      <c r="AO1060" s="3">
        <v>0</v>
      </c>
      <c r="AP1060" s="3">
        <v>0</v>
      </c>
      <c r="AQ1060" s="3">
        <v>0</v>
      </c>
      <c r="AR1060" s="2" t="s">
        <v>5</v>
      </c>
      <c r="AS1060" s="2" t="s">
        <v>5</v>
      </c>
      <c r="AU1060" s="5" t="str">
        <f>HYPERLINK("https://creighton-primo.hosted.exlibrisgroup.com/primo-explore/search?tab=default_tab&amp;search_scope=EVERYTHING&amp;vid=01CRU&amp;lang=en_US&amp;offset=0&amp;query=any,contains,991003817429702656","Catalog Record")</f>
        <v>Catalog Record</v>
      </c>
      <c r="AV1060" s="5" t="str">
        <f>HYPERLINK("http://www.worldcat.org/oclc/43599316","WorldCat Record")</f>
        <v>WorldCat Record</v>
      </c>
      <c r="AW1060" s="2" t="s">
        <v>13090</v>
      </c>
      <c r="AX1060" s="2" t="s">
        <v>13091</v>
      </c>
      <c r="AY1060" s="2" t="s">
        <v>13092</v>
      </c>
      <c r="AZ1060" s="2" t="s">
        <v>13092</v>
      </c>
      <c r="BA1060" s="2" t="s">
        <v>13093</v>
      </c>
      <c r="BB1060" s="2" t="s">
        <v>20</v>
      </c>
      <c r="BD1060" s="2" t="s">
        <v>13094</v>
      </c>
      <c r="BE1060" s="2" t="s">
        <v>13095</v>
      </c>
      <c r="BF1060" s="2" t="s">
        <v>13096</v>
      </c>
    </row>
    <row r="1061" spans="1:58" ht="39.75" customHeight="1" x14ac:dyDescent="0.25">
      <c r="A1061" s="7" t="s">
        <v>5</v>
      </c>
      <c r="B1061" s="1" t="s">
        <v>0</v>
      </c>
      <c r="C1061" s="1" t="s">
        <v>1</v>
      </c>
      <c r="D1061" s="1" t="s">
        <v>13097</v>
      </c>
      <c r="E1061" s="1" t="s">
        <v>13098</v>
      </c>
      <c r="F1061" s="1" t="s">
        <v>13099</v>
      </c>
      <c r="H1061" s="2" t="s">
        <v>5</v>
      </c>
      <c r="I1061" s="2" t="s">
        <v>6</v>
      </c>
      <c r="J1061" s="2" t="s">
        <v>5</v>
      </c>
      <c r="K1061" s="2" t="s">
        <v>5</v>
      </c>
      <c r="L1061" s="2" t="s">
        <v>7</v>
      </c>
      <c r="M1061" s="1" t="s">
        <v>13100</v>
      </c>
      <c r="N1061" s="1" t="s">
        <v>13101</v>
      </c>
      <c r="O1061" s="2" t="s">
        <v>452</v>
      </c>
      <c r="Q1061" s="2" t="s">
        <v>60</v>
      </c>
      <c r="R1061" s="2" t="s">
        <v>61</v>
      </c>
      <c r="S1061" s="1" t="s">
        <v>13102</v>
      </c>
      <c r="T1061" s="2" t="s">
        <v>13</v>
      </c>
      <c r="U1061" s="3">
        <v>6</v>
      </c>
      <c r="V1061" s="3">
        <v>6</v>
      </c>
      <c r="W1061" s="4" t="s">
        <v>9720</v>
      </c>
      <c r="X1061" s="4" t="s">
        <v>9720</v>
      </c>
      <c r="Y1061" s="4" t="s">
        <v>13103</v>
      </c>
      <c r="Z1061" s="4" t="s">
        <v>13103</v>
      </c>
      <c r="AA1061" s="3">
        <v>180</v>
      </c>
      <c r="AB1061" s="3">
        <v>142</v>
      </c>
      <c r="AC1061" s="3">
        <v>143</v>
      </c>
      <c r="AD1061" s="3">
        <v>2</v>
      </c>
      <c r="AE1061" s="9">
        <v>2</v>
      </c>
      <c r="AF1061" s="9">
        <v>9</v>
      </c>
      <c r="AG1061" s="9">
        <v>9</v>
      </c>
      <c r="AH1061" s="3">
        <v>0</v>
      </c>
      <c r="AI1061" s="3">
        <v>0</v>
      </c>
      <c r="AJ1061" s="3">
        <v>4</v>
      </c>
      <c r="AK1061" s="3">
        <v>4</v>
      </c>
      <c r="AL1061" s="3">
        <v>6</v>
      </c>
      <c r="AM1061" s="3">
        <v>6</v>
      </c>
      <c r="AN1061" s="3">
        <v>1</v>
      </c>
      <c r="AO1061" s="3">
        <v>1</v>
      </c>
      <c r="AP1061" s="3">
        <v>0</v>
      </c>
      <c r="AQ1061" s="3">
        <v>0</v>
      </c>
      <c r="AR1061" s="2" t="s">
        <v>5</v>
      </c>
      <c r="AS1061" s="2" t="s">
        <v>5</v>
      </c>
      <c r="AU1061" s="5" t="str">
        <f>HYPERLINK("https://creighton-primo.hosted.exlibrisgroup.com/primo-explore/search?tab=default_tab&amp;search_scope=EVERYTHING&amp;vid=01CRU&amp;lang=en_US&amp;offset=0&amp;query=any,contains,991001930939702656","Catalog Record")</f>
        <v>Catalog Record</v>
      </c>
      <c r="AV1061" s="5" t="str">
        <f>HYPERLINK("http://www.worldcat.org/oclc/24377828","WorldCat Record")</f>
        <v>WorldCat Record</v>
      </c>
      <c r="AW1061" s="2" t="s">
        <v>13104</v>
      </c>
      <c r="AX1061" s="2" t="s">
        <v>13105</v>
      </c>
      <c r="AY1061" s="2" t="s">
        <v>13106</v>
      </c>
      <c r="AZ1061" s="2" t="s">
        <v>13106</v>
      </c>
      <c r="BA1061" s="2" t="s">
        <v>13107</v>
      </c>
      <c r="BB1061" s="2" t="s">
        <v>20</v>
      </c>
      <c r="BD1061" s="2" t="s">
        <v>13108</v>
      </c>
      <c r="BE1061" s="2" t="s">
        <v>13109</v>
      </c>
      <c r="BF1061" s="2" t="s">
        <v>13110</v>
      </c>
    </row>
    <row r="1062" spans="1:58" ht="39.75" customHeight="1" x14ac:dyDescent="0.25">
      <c r="A1062" s="7" t="s">
        <v>5</v>
      </c>
      <c r="B1062" s="1" t="s">
        <v>0</v>
      </c>
      <c r="C1062" s="1" t="s">
        <v>1</v>
      </c>
      <c r="D1062" s="1" t="s">
        <v>13111</v>
      </c>
      <c r="E1062" s="1" t="s">
        <v>13112</v>
      </c>
      <c r="F1062" s="1" t="s">
        <v>13113</v>
      </c>
      <c r="H1062" s="2" t="s">
        <v>5</v>
      </c>
      <c r="I1062" s="2" t="s">
        <v>6</v>
      </c>
      <c r="J1062" s="2" t="s">
        <v>5</v>
      </c>
      <c r="K1062" s="2" t="s">
        <v>5</v>
      </c>
      <c r="L1062" s="2" t="s">
        <v>7</v>
      </c>
      <c r="M1062" s="1" t="s">
        <v>13114</v>
      </c>
      <c r="N1062" s="1" t="s">
        <v>13115</v>
      </c>
      <c r="O1062" s="2" t="s">
        <v>322</v>
      </c>
      <c r="P1062" s="1" t="s">
        <v>2908</v>
      </c>
      <c r="Q1062" s="2" t="s">
        <v>1151</v>
      </c>
      <c r="R1062" s="2" t="s">
        <v>5403</v>
      </c>
      <c r="S1062" s="1" t="s">
        <v>10033</v>
      </c>
      <c r="T1062" s="2" t="s">
        <v>13</v>
      </c>
      <c r="U1062" s="3">
        <v>4</v>
      </c>
      <c r="V1062" s="3">
        <v>4</v>
      </c>
      <c r="W1062" s="4" t="s">
        <v>13116</v>
      </c>
      <c r="X1062" s="4" t="s">
        <v>13116</v>
      </c>
      <c r="Y1062" s="4" t="s">
        <v>93</v>
      </c>
      <c r="Z1062" s="4" t="s">
        <v>93</v>
      </c>
      <c r="AA1062" s="3">
        <v>161</v>
      </c>
      <c r="AB1062" s="3">
        <v>120</v>
      </c>
      <c r="AC1062" s="3">
        <v>122</v>
      </c>
      <c r="AD1062" s="3">
        <v>1</v>
      </c>
      <c r="AE1062" s="9">
        <v>1</v>
      </c>
      <c r="AF1062" s="9">
        <v>5</v>
      </c>
      <c r="AG1062" s="9">
        <v>5</v>
      </c>
      <c r="AH1062" s="3">
        <v>1</v>
      </c>
      <c r="AI1062" s="3">
        <v>1</v>
      </c>
      <c r="AJ1062" s="3">
        <v>3</v>
      </c>
      <c r="AK1062" s="3">
        <v>3</v>
      </c>
      <c r="AL1062" s="3">
        <v>4</v>
      </c>
      <c r="AM1062" s="3">
        <v>4</v>
      </c>
      <c r="AN1062" s="3">
        <v>0</v>
      </c>
      <c r="AO1062" s="3">
        <v>0</v>
      </c>
      <c r="AP1062" s="3">
        <v>0</v>
      </c>
      <c r="AQ1062" s="3">
        <v>0</v>
      </c>
      <c r="AR1062" s="2" t="s">
        <v>5</v>
      </c>
      <c r="AS1062" s="2" t="s">
        <v>46</v>
      </c>
      <c r="AT1062" s="5" t="str">
        <f>HYPERLINK("http://catalog.hathitrust.org/Record/002860435","HathiTrust Record")</f>
        <v>HathiTrust Record</v>
      </c>
      <c r="AU1062" s="5" t="str">
        <f>HYPERLINK("https://creighton-primo.hosted.exlibrisgroup.com/primo-explore/search?tab=default_tab&amp;search_scope=EVERYTHING&amp;vid=01CRU&amp;lang=en_US&amp;offset=0&amp;query=any,contains,991002432739702656","Catalog Record")</f>
        <v>Catalog Record</v>
      </c>
      <c r="AV1062" s="5" t="str">
        <f>HYPERLINK("http://www.worldcat.org/oclc/31712140","WorldCat Record")</f>
        <v>WorldCat Record</v>
      </c>
      <c r="AW1062" s="2" t="s">
        <v>13117</v>
      </c>
      <c r="AX1062" s="2" t="s">
        <v>13118</v>
      </c>
      <c r="AY1062" s="2" t="s">
        <v>13119</v>
      </c>
      <c r="AZ1062" s="2" t="s">
        <v>13119</v>
      </c>
      <c r="BA1062" s="2" t="s">
        <v>13120</v>
      </c>
      <c r="BB1062" s="2" t="s">
        <v>20</v>
      </c>
      <c r="BD1062" s="2" t="s">
        <v>13121</v>
      </c>
      <c r="BE1062" s="2" t="s">
        <v>13122</v>
      </c>
      <c r="BF1062" s="2" t="s">
        <v>13123</v>
      </c>
    </row>
    <row r="1063" spans="1:58" ht="39.75" customHeight="1" x14ac:dyDescent="0.25">
      <c r="A1063" s="7" t="s">
        <v>5</v>
      </c>
      <c r="B1063" s="1" t="s">
        <v>0</v>
      </c>
      <c r="C1063" s="1" t="s">
        <v>1</v>
      </c>
      <c r="D1063" s="1" t="s">
        <v>13124</v>
      </c>
      <c r="E1063" s="1" t="s">
        <v>13125</v>
      </c>
      <c r="F1063" s="1" t="s">
        <v>13126</v>
      </c>
      <c r="H1063" s="2" t="s">
        <v>5</v>
      </c>
      <c r="I1063" s="2" t="s">
        <v>6</v>
      </c>
      <c r="J1063" s="2" t="s">
        <v>5</v>
      </c>
      <c r="K1063" s="2" t="s">
        <v>5</v>
      </c>
      <c r="L1063" s="2" t="s">
        <v>7</v>
      </c>
      <c r="M1063" s="1" t="s">
        <v>13127</v>
      </c>
      <c r="N1063" s="1" t="s">
        <v>13128</v>
      </c>
      <c r="O1063" s="2" t="s">
        <v>1273</v>
      </c>
      <c r="Q1063" s="2" t="s">
        <v>1151</v>
      </c>
      <c r="R1063" s="2" t="s">
        <v>1152</v>
      </c>
      <c r="S1063" s="1" t="s">
        <v>13129</v>
      </c>
      <c r="T1063" s="2" t="s">
        <v>13</v>
      </c>
      <c r="U1063" s="3">
        <v>13</v>
      </c>
      <c r="V1063" s="3">
        <v>13</v>
      </c>
      <c r="W1063" s="4" t="s">
        <v>13048</v>
      </c>
      <c r="X1063" s="4" t="s">
        <v>13048</v>
      </c>
      <c r="Y1063" s="4" t="s">
        <v>13130</v>
      </c>
      <c r="Z1063" s="4" t="s">
        <v>13130</v>
      </c>
      <c r="AA1063" s="3">
        <v>219</v>
      </c>
      <c r="AB1063" s="3">
        <v>155</v>
      </c>
      <c r="AC1063" s="3">
        <v>163</v>
      </c>
      <c r="AD1063" s="3">
        <v>2</v>
      </c>
      <c r="AE1063" s="9">
        <v>2</v>
      </c>
      <c r="AF1063" s="9">
        <v>6</v>
      </c>
      <c r="AG1063" s="9">
        <v>6</v>
      </c>
      <c r="AH1063" s="3">
        <v>1</v>
      </c>
      <c r="AI1063" s="3">
        <v>1</v>
      </c>
      <c r="AJ1063" s="3">
        <v>2</v>
      </c>
      <c r="AK1063" s="3">
        <v>2</v>
      </c>
      <c r="AL1063" s="3">
        <v>3</v>
      </c>
      <c r="AM1063" s="3">
        <v>3</v>
      </c>
      <c r="AN1063" s="3">
        <v>1</v>
      </c>
      <c r="AO1063" s="3">
        <v>1</v>
      </c>
      <c r="AP1063" s="3">
        <v>0</v>
      </c>
      <c r="AQ1063" s="3">
        <v>0</v>
      </c>
      <c r="AR1063" s="2" t="s">
        <v>5</v>
      </c>
      <c r="AS1063" s="2" t="s">
        <v>46</v>
      </c>
      <c r="AT1063" s="5" t="str">
        <f>HYPERLINK("http://catalog.hathitrust.org/Record/000839431","HathiTrust Record")</f>
        <v>HathiTrust Record</v>
      </c>
      <c r="AU1063" s="5" t="str">
        <f>HYPERLINK("https://creighton-primo.hosted.exlibrisgroup.com/primo-explore/search?tab=default_tab&amp;search_scope=EVERYTHING&amp;vid=01CRU&amp;lang=en_US&amp;offset=0&amp;query=any,contains,991001071159702656","Catalog Record")</f>
        <v>Catalog Record</v>
      </c>
      <c r="AV1063" s="5" t="str">
        <f>HYPERLINK("http://www.worldcat.org/oclc/15866288","WorldCat Record")</f>
        <v>WorldCat Record</v>
      </c>
      <c r="AW1063" s="2" t="s">
        <v>13131</v>
      </c>
      <c r="AX1063" s="2" t="s">
        <v>13132</v>
      </c>
      <c r="AY1063" s="2" t="s">
        <v>13133</v>
      </c>
      <c r="AZ1063" s="2" t="s">
        <v>13133</v>
      </c>
      <c r="BA1063" s="2" t="s">
        <v>13134</v>
      </c>
      <c r="BB1063" s="2" t="s">
        <v>20</v>
      </c>
      <c r="BD1063" s="2" t="s">
        <v>13135</v>
      </c>
      <c r="BE1063" s="2" t="s">
        <v>13136</v>
      </c>
      <c r="BF1063" s="2" t="s">
        <v>13137</v>
      </c>
    </row>
    <row r="1064" spans="1:58" ht="39.75" customHeight="1" x14ac:dyDescent="0.25">
      <c r="A1064" s="7" t="s">
        <v>5</v>
      </c>
      <c r="B1064" s="1" t="s">
        <v>0</v>
      </c>
      <c r="C1064" s="1" t="s">
        <v>1</v>
      </c>
      <c r="D1064" s="1" t="s">
        <v>13138</v>
      </c>
      <c r="E1064" s="1" t="s">
        <v>13139</v>
      </c>
      <c r="F1064" s="1" t="s">
        <v>13140</v>
      </c>
      <c r="H1064" s="2" t="s">
        <v>5</v>
      </c>
      <c r="I1064" s="2" t="s">
        <v>6</v>
      </c>
      <c r="J1064" s="2" t="s">
        <v>5</v>
      </c>
      <c r="K1064" s="2" t="s">
        <v>46</v>
      </c>
      <c r="L1064" s="2" t="s">
        <v>7</v>
      </c>
      <c r="M1064" s="1" t="s">
        <v>13141</v>
      </c>
      <c r="N1064" s="1" t="s">
        <v>3073</v>
      </c>
      <c r="O1064" s="2" t="s">
        <v>162</v>
      </c>
      <c r="Q1064" s="2" t="s">
        <v>60</v>
      </c>
      <c r="R1064" s="2" t="s">
        <v>61</v>
      </c>
      <c r="S1064" s="1" t="s">
        <v>13142</v>
      </c>
      <c r="T1064" s="2" t="s">
        <v>13</v>
      </c>
      <c r="U1064" s="3">
        <v>11</v>
      </c>
      <c r="V1064" s="3">
        <v>11</v>
      </c>
      <c r="W1064" s="4" t="s">
        <v>9720</v>
      </c>
      <c r="X1064" s="4" t="s">
        <v>9720</v>
      </c>
      <c r="Y1064" s="4" t="s">
        <v>12606</v>
      </c>
      <c r="Z1064" s="4" t="s">
        <v>12606</v>
      </c>
      <c r="AA1064" s="3">
        <v>1138</v>
      </c>
      <c r="AB1064" s="3">
        <v>1029</v>
      </c>
      <c r="AC1064" s="3">
        <v>1328</v>
      </c>
      <c r="AD1064" s="3">
        <v>6</v>
      </c>
      <c r="AE1064" s="9">
        <v>7</v>
      </c>
      <c r="AF1064" s="9">
        <v>35</v>
      </c>
      <c r="AG1064" s="9">
        <v>46</v>
      </c>
      <c r="AH1064" s="3">
        <v>16</v>
      </c>
      <c r="AI1064" s="3">
        <v>21</v>
      </c>
      <c r="AJ1064" s="3">
        <v>6</v>
      </c>
      <c r="AK1064" s="3">
        <v>9</v>
      </c>
      <c r="AL1064" s="3">
        <v>19</v>
      </c>
      <c r="AM1064" s="3">
        <v>23</v>
      </c>
      <c r="AN1064" s="3">
        <v>4</v>
      </c>
      <c r="AO1064" s="3">
        <v>5</v>
      </c>
      <c r="AP1064" s="3">
        <v>0</v>
      </c>
      <c r="AQ1064" s="3">
        <v>0</v>
      </c>
      <c r="AR1064" s="2" t="s">
        <v>5</v>
      </c>
      <c r="AS1064" s="2" t="s">
        <v>46</v>
      </c>
      <c r="AT1064" s="5" t="str">
        <f>HYPERLINK("http://catalog.hathitrust.org/Record/004465731","HathiTrust Record")</f>
        <v>HathiTrust Record</v>
      </c>
      <c r="AU1064" s="5" t="str">
        <f>HYPERLINK("https://creighton-primo.hosted.exlibrisgroup.com/primo-explore/search?tab=default_tab&amp;search_scope=EVERYTHING&amp;vid=01CRU&amp;lang=en_US&amp;offset=0&amp;query=any,contains,991000584199702656","Catalog Record")</f>
        <v>Catalog Record</v>
      </c>
      <c r="AV1064" s="5" t="str">
        <f>HYPERLINK("http://www.worldcat.org/oclc/95818","WorldCat Record")</f>
        <v>WorldCat Record</v>
      </c>
      <c r="AW1064" s="2" t="s">
        <v>13143</v>
      </c>
      <c r="AX1064" s="2" t="s">
        <v>13144</v>
      </c>
      <c r="AY1064" s="2" t="s">
        <v>13145</v>
      </c>
      <c r="AZ1064" s="2" t="s">
        <v>13145</v>
      </c>
      <c r="BA1064" s="2" t="s">
        <v>13146</v>
      </c>
      <c r="BB1064" s="2" t="s">
        <v>20</v>
      </c>
      <c r="BE1064" s="2" t="s">
        <v>13147</v>
      </c>
      <c r="BF1064" s="2" t="s">
        <v>13148</v>
      </c>
    </row>
    <row r="1065" spans="1:58" ht="39.75" customHeight="1" x14ac:dyDescent="0.25">
      <c r="A1065" s="7" t="s">
        <v>5</v>
      </c>
      <c r="B1065" s="1" t="s">
        <v>0</v>
      </c>
      <c r="C1065" s="1" t="s">
        <v>1</v>
      </c>
      <c r="D1065" s="1" t="s">
        <v>13149</v>
      </c>
      <c r="E1065" s="1" t="s">
        <v>13150</v>
      </c>
      <c r="F1065" s="1" t="s">
        <v>13151</v>
      </c>
      <c r="H1065" s="2" t="s">
        <v>5</v>
      </c>
      <c r="I1065" s="2" t="s">
        <v>6</v>
      </c>
      <c r="J1065" s="2" t="s">
        <v>5</v>
      </c>
      <c r="K1065" s="2" t="s">
        <v>5</v>
      </c>
      <c r="L1065" s="2" t="s">
        <v>7</v>
      </c>
      <c r="M1065" s="1" t="s">
        <v>13152</v>
      </c>
      <c r="N1065" s="1" t="s">
        <v>13153</v>
      </c>
      <c r="O1065" s="2" t="s">
        <v>452</v>
      </c>
      <c r="P1065" s="1" t="s">
        <v>13154</v>
      </c>
      <c r="Q1065" s="2" t="s">
        <v>60</v>
      </c>
      <c r="R1065" s="2" t="s">
        <v>61</v>
      </c>
      <c r="T1065" s="2" t="s">
        <v>13</v>
      </c>
      <c r="U1065" s="3">
        <v>4</v>
      </c>
      <c r="V1065" s="3">
        <v>4</v>
      </c>
      <c r="W1065" s="4" t="s">
        <v>13155</v>
      </c>
      <c r="X1065" s="4" t="s">
        <v>13155</v>
      </c>
      <c r="Y1065" s="4" t="s">
        <v>13156</v>
      </c>
      <c r="Z1065" s="4" t="s">
        <v>13156</v>
      </c>
      <c r="AA1065" s="3">
        <v>404</v>
      </c>
      <c r="AB1065" s="3">
        <v>381</v>
      </c>
      <c r="AC1065" s="3">
        <v>390</v>
      </c>
      <c r="AD1065" s="3">
        <v>5</v>
      </c>
      <c r="AE1065" s="9">
        <v>5</v>
      </c>
      <c r="AF1065" s="9">
        <v>18</v>
      </c>
      <c r="AG1065" s="9">
        <v>18</v>
      </c>
      <c r="AH1065" s="3">
        <v>4</v>
      </c>
      <c r="AI1065" s="3">
        <v>4</v>
      </c>
      <c r="AJ1065" s="3">
        <v>5</v>
      </c>
      <c r="AK1065" s="3">
        <v>5</v>
      </c>
      <c r="AL1065" s="3">
        <v>8</v>
      </c>
      <c r="AM1065" s="3">
        <v>8</v>
      </c>
      <c r="AN1065" s="3">
        <v>4</v>
      </c>
      <c r="AO1065" s="3">
        <v>4</v>
      </c>
      <c r="AP1065" s="3">
        <v>0</v>
      </c>
      <c r="AQ1065" s="3">
        <v>0</v>
      </c>
      <c r="AR1065" s="2" t="s">
        <v>5</v>
      </c>
      <c r="AS1065" s="2" t="s">
        <v>46</v>
      </c>
      <c r="AT1065" s="5" t="str">
        <f>HYPERLINK("http://catalog.hathitrust.org/Record/003942160","HathiTrust Record")</f>
        <v>HathiTrust Record</v>
      </c>
      <c r="AU1065" s="5" t="str">
        <f>HYPERLINK("https://creighton-primo.hosted.exlibrisgroup.com/primo-explore/search?tab=default_tab&amp;search_scope=EVERYTHING&amp;vid=01CRU&amp;lang=en_US&amp;offset=0&amp;query=any,contains,991002729359702656","Catalog Record")</f>
        <v>Catalog Record</v>
      </c>
      <c r="AV1065" s="5" t="str">
        <f>HYPERLINK("http://www.worldcat.org/oclc/35792375","WorldCat Record")</f>
        <v>WorldCat Record</v>
      </c>
      <c r="AW1065" s="2" t="s">
        <v>13157</v>
      </c>
      <c r="AX1065" s="2" t="s">
        <v>13158</v>
      </c>
      <c r="AY1065" s="2" t="s">
        <v>13159</v>
      </c>
      <c r="AZ1065" s="2" t="s">
        <v>13159</v>
      </c>
      <c r="BA1065" s="2" t="s">
        <v>13160</v>
      </c>
      <c r="BB1065" s="2" t="s">
        <v>20</v>
      </c>
      <c r="BD1065" s="2" t="s">
        <v>13161</v>
      </c>
      <c r="BE1065" s="2" t="s">
        <v>13162</v>
      </c>
      <c r="BF1065" s="2" t="s">
        <v>13163</v>
      </c>
    </row>
    <row r="1066" spans="1:58" ht="39.75" customHeight="1" x14ac:dyDescent="0.25">
      <c r="A1066" s="7" t="s">
        <v>5</v>
      </c>
      <c r="B1066" s="1" t="s">
        <v>0</v>
      </c>
      <c r="C1066" s="1" t="s">
        <v>1</v>
      </c>
      <c r="D1066" s="1" t="s">
        <v>13164</v>
      </c>
      <c r="E1066" s="1" t="s">
        <v>13165</v>
      </c>
      <c r="F1066" s="1" t="s">
        <v>13166</v>
      </c>
      <c r="H1066" s="2" t="s">
        <v>5</v>
      </c>
      <c r="I1066" s="2" t="s">
        <v>6</v>
      </c>
      <c r="J1066" s="2" t="s">
        <v>5</v>
      </c>
      <c r="K1066" s="2" t="s">
        <v>46</v>
      </c>
      <c r="L1066" s="2" t="s">
        <v>7</v>
      </c>
      <c r="M1066" s="1" t="s">
        <v>13014</v>
      </c>
      <c r="N1066" s="1" t="s">
        <v>13167</v>
      </c>
      <c r="O1066" s="2" t="s">
        <v>3817</v>
      </c>
      <c r="Q1066" s="2" t="s">
        <v>1151</v>
      </c>
      <c r="R1066" s="2" t="s">
        <v>3002</v>
      </c>
      <c r="S1066" s="1" t="s">
        <v>11128</v>
      </c>
      <c r="T1066" s="2" t="s">
        <v>13</v>
      </c>
      <c r="U1066" s="3">
        <v>2</v>
      </c>
      <c r="V1066" s="3">
        <v>2</v>
      </c>
      <c r="W1066" s="4" t="s">
        <v>10846</v>
      </c>
      <c r="X1066" s="4" t="s">
        <v>10846</v>
      </c>
      <c r="Y1066" s="4" t="s">
        <v>10846</v>
      </c>
      <c r="Z1066" s="4" t="s">
        <v>10846</v>
      </c>
      <c r="AA1066" s="3">
        <v>14</v>
      </c>
      <c r="AB1066" s="3">
        <v>8</v>
      </c>
      <c r="AC1066" s="3">
        <v>225</v>
      </c>
      <c r="AD1066" s="3">
        <v>1</v>
      </c>
      <c r="AE1066" s="9">
        <v>2</v>
      </c>
      <c r="AF1066" s="9">
        <v>0</v>
      </c>
      <c r="AG1066" s="9">
        <v>8</v>
      </c>
      <c r="AH1066" s="3">
        <v>0</v>
      </c>
      <c r="AI1066" s="3">
        <v>1</v>
      </c>
      <c r="AJ1066" s="3">
        <v>0</v>
      </c>
      <c r="AK1066" s="3">
        <v>5</v>
      </c>
      <c r="AL1066" s="3">
        <v>0</v>
      </c>
      <c r="AM1066" s="3">
        <v>3</v>
      </c>
      <c r="AN1066" s="3">
        <v>0</v>
      </c>
      <c r="AO1066" s="3">
        <v>1</v>
      </c>
      <c r="AP1066" s="3">
        <v>0</v>
      </c>
      <c r="AQ1066" s="3">
        <v>0</v>
      </c>
      <c r="AR1066" s="2" t="s">
        <v>5</v>
      </c>
      <c r="AS1066" s="2" t="s">
        <v>5</v>
      </c>
      <c r="AU1066" s="5" t="str">
        <f>HYPERLINK("https://creighton-primo.hosted.exlibrisgroup.com/primo-explore/search?tab=default_tab&amp;search_scope=EVERYTHING&amp;vid=01CRU&amp;lang=en_US&amp;offset=0&amp;query=any,contains,991003924789702656","Catalog Record")</f>
        <v>Catalog Record</v>
      </c>
      <c r="AV1066" s="5" t="str">
        <f>HYPERLINK("http://www.worldcat.org/oclc/42018020","WorldCat Record")</f>
        <v>WorldCat Record</v>
      </c>
      <c r="AW1066" s="2" t="s">
        <v>13168</v>
      </c>
      <c r="AX1066" s="2" t="s">
        <v>13169</v>
      </c>
      <c r="AY1066" s="2" t="s">
        <v>13170</v>
      </c>
      <c r="AZ1066" s="2" t="s">
        <v>13170</v>
      </c>
      <c r="BA1066" s="2" t="s">
        <v>13171</v>
      </c>
      <c r="BB1066" s="2" t="s">
        <v>20</v>
      </c>
      <c r="BD1066" s="2" t="s">
        <v>13172</v>
      </c>
      <c r="BE1066" s="2" t="s">
        <v>13173</v>
      </c>
      <c r="BF1066" s="2" t="s">
        <v>13174</v>
      </c>
    </row>
    <row r="1067" spans="1:58" ht="39.75" customHeight="1" x14ac:dyDescent="0.25">
      <c r="A1067" s="7" t="s">
        <v>5</v>
      </c>
      <c r="B1067" s="1" t="s">
        <v>0</v>
      </c>
      <c r="C1067" s="1" t="s">
        <v>1</v>
      </c>
      <c r="D1067" s="1" t="s">
        <v>13175</v>
      </c>
      <c r="E1067" s="1" t="s">
        <v>13176</v>
      </c>
      <c r="F1067" s="1" t="s">
        <v>13177</v>
      </c>
      <c r="H1067" s="2" t="s">
        <v>5</v>
      </c>
      <c r="I1067" s="2" t="s">
        <v>6</v>
      </c>
      <c r="J1067" s="2" t="s">
        <v>5</v>
      </c>
      <c r="K1067" s="2" t="s">
        <v>46</v>
      </c>
      <c r="L1067" s="2" t="s">
        <v>7</v>
      </c>
      <c r="N1067" s="1" t="s">
        <v>13178</v>
      </c>
      <c r="O1067" s="2" t="s">
        <v>995</v>
      </c>
      <c r="Q1067" s="2" t="s">
        <v>1151</v>
      </c>
      <c r="R1067" s="2" t="s">
        <v>1152</v>
      </c>
      <c r="S1067" s="1" t="s">
        <v>13179</v>
      </c>
      <c r="T1067" s="2" t="s">
        <v>13</v>
      </c>
      <c r="U1067" s="3">
        <v>2</v>
      </c>
      <c r="V1067" s="3">
        <v>2</v>
      </c>
      <c r="W1067" s="4" t="s">
        <v>13180</v>
      </c>
      <c r="X1067" s="4" t="s">
        <v>13180</v>
      </c>
      <c r="Y1067" s="4" t="s">
        <v>12606</v>
      </c>
      <c r="Z1067" s="4" t="s">
        <v>12606</v>
      </c>
      <c r="AA1067" s="3">
        <v>314</v>
      </c>
      <c r="AB1067" s="3">
        <v>234</v>
      </c>
      <c r="AC1067" s="3">
        <v>410</v>
      </c>
      <c r="AD1067" s="3">
        <v>2</v>
      </c>
      <c r="AE1067" s="9">
        <v>2</v>
      </c>
      <c r="AF1067" s="9">
        <v>12</v>
      </c>
      <c r="AG1067" s="9">
        <v>17</v>
      </c>
      <c r="AH1067" s="3">
        <v>4</v>
      </c>
      <c r="AI1067" s="3">
        <v>6</v>
      </c>
      <c r="AJ1067" s="3">
        <v>4</v>
      </c>
      <c r="AK1067" s="3">
        <v>7</v>
      </c>
      <c r="AL1067" s="3">
        <v>7</v>
      </c>
      <c r="AM1067" s="3">
        <v>10</v>
      </c>
      <c r="AN1067" s="3">
        <v>1</v>
      </c>
      <c r="AO1067" s="3">
        <v>1</v>
      </c>
      <c r="AP1067" s="3">
        <v>0</v>
      </c>
      <c r="AQ1067" s="3">
        <v>0</v>
      </c>
      <c r="AR1067" s="2" t="s">
        <v>5</v>
      </c>
      <c r="AS1067" s="2" t="s">
        <v>46</v>
      </c>
      <c r="AT1067" s="5" t="str">
        <f>HYPERLINK("http://catalog.hathitrust.org/Record/000148742","HathiTrust Record")</f>
        <v>HathiTrust Record</v>
      </c>
      <c r="AU1067" s="5" t="str">
        <f>HYPERLINK("https://creighton-primo.hosted.exlibrisgroup.com/primo-explore/search?tab=default_tab&amp;search_scope=EVERYTHING&amp;vid=01CRU&amp;lang=en_US&amp;offset=0&amp;query=any,contains,991005198779702656","Catalog Record")</f>
        <v>Catalog Record</v>
      </c>
      <c r="AV1067" s="5" t="str">
        <f>HYPERLINK("http://www.worldcat.org/oclc/8054101","WorldCat Record")</f>
        <v>WorldCat Record</v>
      </c>
      <c r="AW1067" s="2" t="s">
        <v>13181</v>
      </c>
      <c r="AX1067" s="2" t="s">
        <v>13182</v>
      </c>
      <c r="AY1067" s="2" t="s">
        <v>13183</v>
      </c>
      <c r="AZ1067" s="2" t="s">
        <v>13183</v>
      </c>
      <c r="BA1067" s="2" t="s">
        <v>13184</v>
      </c>
      <c r="BB1067" s="2" t="s">
        <v>20</v>
      </c>
      <c r="BD1067" s="2" t="s">
        <v>13185</v>
      </c>
      <c r="BE1067" s="2" t="s">
        <v>13186</v>
      </c>
      <c r="BF1067" s="2" t="s">
        <v>13187</v>
      </c>
    </row>
    <row r="1068" spans="1:58" ht="39.75" customHeight="1" x14ac:dyDescent="0.25">
      <c r="A1068" s="7" t="s">
        <v>5</v>
      </c>
      <c r="B1068" s="1" t="s">
        <v>0</v>
      </c>
      <c r="C1068" s="1" t="s">
        <v>1</v>
      </c>
      <c r="D1068" s="1" t="s">
        <v>13188</v>
      </c>
      <c r="E1068" s="1" t="s">
        <v>13189</v>
      </c>
      <c r="F1068" s="1" t="s">
        <v>13190</v>
      </c>
      <c r="H1068" s="2" t="s">
        <v>5</v>
      </c>
      <c r="I1068" s="2" t="s">
        <v>6</v>
      </c>
      <c r="J1068" s="2" t="s">
        <v>5</v>
      </c>
      <c r="K1068" s="2" t="s">
        <v>5</v>
      </c>
      <c r="L1068" s="2" t="s">
        <v>7</v>
      </c>
      <c r="M1068" s="1" t="s">
        <v>13191</v>
      </c>
      <c r="N1068" s="1" t="s">
        <v>13192</v>
      </c>
      <c r="O1068" s="2" t="s">
        <v>1390</v>
      </c>
      <c r="P1068" s="1" t="s">
        <v>2908</v>
      </c>
      <c r="Q1068" s="2" t="s">
        <v>1151</v>
      </c>
      <c r="R1068" s="2" t="s">
        <v>1152</v>
      </c>
      <c r="S1068" s="1" t="s">
        <v>13193</v>
      </c>
      <c r="T1068" s="2" t="s">
        <v>13</v>
      </c>
      <c r="U1068" s="3">
        <v>1</v>
      </c>
      <c r="V1068" s="3">
        <v>1</v>
      </c>
      <c r="W1068" s="4" t="s">
        <v>9049</v>
      </c>
      <c r="X1068" s="4" t="s">
        <v>9049</v>
      </c>
      <c r="Y1068" s="4" t="s">
        <v>9049</v>
      </c>
      <c r="Z1068" s="4" t="s">
        <v>9049</v>
      </c>
      <c r="AA1068" s="3">
        <v>98</v>
      </c>
      <c r="AB1068" s="3">
        <v>76</v>
      </c>
      <c r="AC1068" s="3">
        <v>103</v>
      </c>
      <c r="AD1068" s="3">
        <v>2</v>
      </c>
      <c r="AE1068" s="9">
        <v>2</v>
      </c>
      <c r="AF1068" s="9">
        <v>4</v>
      </c>
      <c r="AG1068" s="9">
        <v>4</v>
      </c>
      <c r="AH1068" s="3">
        <v>2</v>
      </c>
      <c r="AI1068" s="3">
        <v>2</v>
      </c>
      <c r="AJ1068" s="3">
        <v>1</v>
      </c>
      <c r="AK1068" s="3">
        <v>1</v>
      </c>
      <c r="AL1068" s="3">
        <v>1</v>
      </c>
      <c r="AM1068" s="3">
        <v>1</v>
      </c>
      <c r="AN1068" s="3">
        <v>1</v>
      </c>
      <c r="AO1068" s="3">
        <v>1</v>
      </c>
      <c r="AP1068" s="3">
        <v>0</v>
      </c>
      <c r="AQ1068" s="3">
        <v>0</v>
      </c>
      <c r="AR1068" s="2" t="s">
        <v>5</v>
      </c>
      <c r="AS1068" s="2" t="s">
        <v>46</v>
      </c>
      <c r="AT1068" s="5" t="str">
        <f>HYPERLINK("http://catalog.hathitrust.org/Record/000710469","HathiTrust Record")</f>
        <v>HathiTrust Record</v>
      </c>
      <c r="AU1068" s="5" t="str">
        <f>HYPERLINK("https://creighton-primo.hosted.exlibrisgroup.com/primo-explore/search?tab=default_tab&amp;search_scope=EVERYTHING&amp;vid=01CRU&amp;lang=en_US&amp;offset=0&amp;query=any,contains,991004028589702656","Catalog Record")</f>
        <v>Catalog Record</v>
      </c>
      <c r="AV1068" s="5" t="str">
        <f>HYPERLINK("http://www.worldcat.org/oclc/5942662","WorldCat Record")</f>
        <v>WorldCat Record</v>
      </c>
      <c r="AW1068" s="2" t="s">
        <v>13194</v>
      </c>
      <c r="AX1068" s="2" t="s">
        <v>13195</v>
      </c>
      <c r="AY1068" s="2" t="s">
        <v>13196</v>
      </c>
      <c r="AZ1068" s="2" t="s">
        <v>13196</v>
      </c>
      <c r="BA1068" s="2" t="s">
        <v>13197</v>
      </c>
      <c r="BB1068" s="2" t="s">
        <v>20</v>
      </c>
      <c r="BD1068" s="2" t="s">
        <v>13198</v>
      </c>
      <c r="BE1068" s="2" t="s">
        <v>13199</v>
      </c>
      <c r="BF1068" s="2" t="s">
        <v>13200</v>
      </c>
    </row>
    <row r="1069" spans="1:58" ht="39.75" customHeight="1" x14ac:dyDescent="0.25">
      <c r="A1069" s="7" t="s">
        <v>5</v>
      </c>
      <c r="B1069" s="1" t="s">
        <v>0</v>
      </c>
      <c r="C1069" s="1" t="s">
        <v>1</v>
      </c>
      <c r="D1069" s="1" t="s">
        <v>13201</v>
      </c>
      <c r="E1069" s="1" t="s">
        <v>13202</v>
      </c>
      <c r="F1069" s="1" t="s">
        <v>13203</v>
      </c>
      <c r="H1069" s="2" t="s">
        <v>5</v>
      </c>
      <c r="I1069" s="2" t="s">
        <v>6</v>
      </c>
      <c r="J1069" s="2" t="s">
        <v>5</v>
      </c>
      <c r="K1069" s="2" t="s">
        <v>5</v>
      </c>
      <c r="L1069" s="2" t="s">
        <v>7</v>
      </c>
      <c r="M1069" s="1" t="s">
        <v>13191</v>
      </c>
      <c r="N1069" s="1" t="s">
        <v>13204</v>
      </c>
      <c r="O1069" s="2" t="s">
        <v>1473</v>
      </c>
      <c r="P1069" s="1" t="s">
        <v>2908</v>
      </c>
      <c r="Q1069" s="2" t="s">
        <v>1151</v>
      </c>
      <c r="R1069" s="2" t="s">
        <v>3002</v>
      </c>
      <c r="S1069" s="1" t="s">
        <v>13205</v>
      </c>
      <c r="T1069" s="2" t="s">
        <v>13</v>
      </c>
      <c r="U1069" s="3">
        <v>2</v>
      </c>
      <c r="V1069" s="3">
        <v>2</v>
      </c>
      <c r="W1069" s="4" t="s">
        <v>9883</v>
      </c>
      <c r="X1069" s="4" t="s">
        <v>9883</v>
      </c>
      <c r="Y1069" s="4" t="s">
        <v>9883</v>
      </c>
      <c r="Z1069" s="4" t="s">
        <v>9883</v>
      </c>
      <c r="AA1069" s="3">
        <v>83</v>
      </c>
      <c r="AB1069" s="3">
        <v>73</v>
      </c>
      <c r="AC1069" s="3">
        <v>132</v>
      </c>
      <c r="AD1069" s="3">
        <v>2</v>
      </c>
      <c r="AE1069" s="9">
        <v>2</v>
      </c>
      <c r="AF1069" s="9">
        <v>3</v>
      </c>
      <c r="AG1069" s="9">
        <v>3</v>
      </c>
      <c r="AH1069" s="3">
        <v>1</v>
      </c>
      <c r="AI1069" s="3">
        <v>1</v>
      </c>
      <c r="AJ1069" s="3">
        <v>1</v>
      </c>
      <c r="AK1069" s="3">
        <v>1</v>
      </c>
      <c r="AL1069" s="3">
        <v>1</v>
      </c>
      <c r="AM1069" s="3">
        <v>1</v>
      </c>
      <c r="AN1069" s="3">
        <v>1</v>
      </c>
      <c r="AO1069" s="3">
        <v>1</v>
      </c>
      <c r="AP1069" s="3">
        <v>0</v>
      </c>
      <c r="AQ1069" s="3">
        <v>0</v>
      </c>
      <c r="AR1069" s="2" t="s">
        <v>5</v>
      </c>
      <c r="AS1069" s="2" t="s">
        <v>5</v>
      </c>
      <c r="AU1069" s="5" t="str">
        <f>HYPERLINK("https://creighton-primo.hosted.exlibrisgroup.com/primo-explore/search?tab=default_tab&amp;search_scope=EVERYTHING&amp;vid=01CRU&amp;lang=en_US&amp;offset=0&amp;query=any,contains,991004022789702656","Catalog Record")</f>
        <v>Catalog Record</v>
      </c>
      <c r="AV1069" s="5" t="str">
        <f>HYPERLINK("http://www.worldcat.org/oclc/49859678","WorldCat Record")</f>
        <v>WorldCat Record</v>
      </c>
      <c r="AW1069" s="2" t="s">
        <v>13206</v>
      </c>
      <c r="AX1069" s="2" t="s">
        <v>13207</v>
      </c>
      <c r="AY1069" s="2" t="s">
        <v>13208</v>
      </c>
      <c r="AZ1069" s="2" t="s">
        <v>13208</v>
      </c>
      <c r="BA1069" s="2" t="s">
        <v>13209</v>
      </c>
      <c r="BB1069" s="2" t="s">
        <v>20</v>
      </c>
      <c r="BD1069" s="2" t="s">
        <v>13210</v>
      </c>
      <c r="BE1069" s="2" t="s">
        <v>13211</v>
      </c>
      <c r="BF1069" s="2" t="s">
        <v>13212</v>
      </c>
    </row>
    <row r="1070" spans="1:58" ht="39.75" customHeight="1" x14ac:dyDescent="0.25">
      <c r="A1070" s="7" t="s">
        <v>5</v>
      </c>
      <c r="B1070" s="1" t="s">
        <v>0</v>
      </c>
      <c r="C1070" s="1" t="s">
        <v>1</v>
      </c>
      <c r="D1070" s="1" t="s">
        <v>13213</v>
      </c>
      <c r="E1070" s="1" t="s">
        <v>13214</v>
      </c>
      <c r="F1070" s="1" t="s">
        <v>13215</v>
      </c>
      <c r="G1070" s="2" t="s">
        <v>4021</v>
      </c>
      <c r="H1070" s="2" t="s">
        <v>46</v>
      </c>
      <c r="I1070" s="2" t="s">
        <v>6</v>
      </c>
      <c r="J1070" s="2" t="s">
        <v>5</v>
      </c>
      <c r="K1070" s="2" t="s">
        <v>5</v>
      </c>
      <c r="L1070" s="2" t="s">
        <v>7</v>
      </c>
      <c r="M1070" s="1" t="s">
        <v>13216</v>
      </c>
      <c r="N1070" s="1" t="s">
        <v>13217</v>
      </c>
      <c r="O1070" s="2" t="s">
        <v>736</v>
      </c>
      <c r="Q1070" s="2" t="s">
        <v>1151</v>
      </c>
      <c r="R1070" s="2" t="s">
        <v>3002</v>
      </c>
      <c r="T1070" s="2" t="s">
        <v>13</v>
      </c>
      <c r="U1070" s="3">
        <v>1</v>
      </c>
      <c r="V1070" s="3">
        <v>5</v>
      </c>
      <c r="X1070" s="4" t="s">
        <v>13218</v>
      </c>
      <c r="Y1070" s="4" t="s">
        <v>11397</v>
      </c>
      <c r="Z1070" s="4" t="s">
        <v>11397</v>
      </c>
      <c r="AA1070" s="3">
        <v>116</v>
      </c>
      <c r="AB1070" s="3">
        <v>97</v>
      </c>
      <c r="AC1070" s="3">
        <v>99</v>
      </c>
      <c r="AD1070" s="3">
        <v>1</v>
      </c>
      <c r="AE1070" s="9">
        <v>1</v>
      </c>
      <c r="AF1070" s="9">
        <v>6</v>
      </c>
      <c r="AG1070" s="9">
        <v>6</v>
      </c>
      <c r="AH1070" s="3">
        <v>3</v>
      </c>
      <c r="AI1070" s="3">
        <v>3</v>
      </c>
      <c r="AJ1070" s="3">
        <v>2</v>
      </c>
      <c r="AK1070" s="3">
        <v>2</v>
      </c>
      <c r="AL1070" s="3">
        <v>3</v>
      </c>
      <c r="AM1070" s="3">
        <v>3</v>
      </c>
      <c r="AN1070" s="3">
        <v>0</v>
      </c>
      <c r="AO1070" s="3">
        <v>0</v>
      </c>
      <c r="AP1070" s="3">
        <v>0</v>
      </c>
      <c r="AQ1070" s="3">
        <v>0</v>
      </c>
      <c r="AR1070" s="2" t="s">
        <v>5</v>
      </c>
      <c r="AS1070" s="2" t="s">
        <v>46</v>
      </c>
      <c r="AT1070" s="5" t="str">
        <f>HYPERLINK("http://catalog.hathitrust.org/Record/004033469","HathiTrust Record")</f>
        <v>HathiTrust Record</v>
      </c>
      <c r="AU1070" s="5" t="str">
        <f>HYPERLINK("https://creighton-primo.hosted.exlibrisgroup.com/primo-explore/search?tab=default_tab&amp;search_scope=EVERYTHING&amp;vid=01CRU&amp;lang=en_US&amp;offset=0&amp;query=any,contains,991001941849702656","Catalog Record")</f>
        <v>Catalog Record</v>
      </c>
      <c r="AV1070" s="5" t="str">
        <f>HYPERLINK("http://www.worldcat.org/oclc/24540441","WorldCat Record")</f>
        <v>WorldCat Record</v>
      </c>
      <c r="AW1070" s="2" t="s">
        <v>13219</v>
      </c>
      <c r="AX1070" s="2" t="s">
        <v>13220</v>
      </c>
      <c r="AY1070" s="2" t="s">
        <v>13221</v>
      </c>
      <c r="AZ1070" s="2" t="s">
        <v>13221</v>
      </c>
      <c r="BA1070" s="2" t="s">
        <v>13222</v>
      </c>
      <c r="BB1070" s="2" t="s">
        <v>20</v>
      </c>
      <c r="BD1070" s="2" t="s">
        <v>13223</v>
      </c>
      <c r="BE1070" s="2" t="s">
        <v>13224</v>
      </c>
      <c r="BF1070" s="2" t="s">
        <v>13225</v>
      </c>
    </row>
    <row r="1071" spans="1:58" ht="39.75" customHeight="1" x14ac:dyDescent="0.25">
      <c r="A1071" s="7" t="s">
        <v>5</v>
      </c>
      <c r="B1071" s="1" t="s">
        <v>0</v>
      </c>
      <c r="C1071" s="1" t="s">
        <v>1</v>
      </c>
      <c r="D1071" s="1" t="s">
        <v>13213</v>
      </c>
      <c r="E1071" s="1" t="s">
        <v>13214</v>
      </c>
      <c r="F1071" s="1" t="s">
        <v>13215</v>
      </c>
      <c r="G1071" s="2" t="s">
        <v>73</v>
      </c>
      <c r="H1071" s="2" t="s">
        <v>46</v>
      </c>
      <c r="I1071" s="2" t="s">
        <v>6</v>
      </c>
      <c r="J1071" s="2" t="s">
        <v>5</v>
      </c>
      <c r="K1071" s="2" t="s">
        <v>5</v>
      </c>
      <c r="L1071" s="2" t="s">
        <v>7</v>
      </c>
      <c r="M1071" s="1" t="s">
        <v>13216</v>
      </c>
      <c r="N1071" s="1" t="s">
        <v>13217</v>
      </c>
      <c r="O1071" s="2" t="s">
        <v>736</v>
      </c>
      <c r="Q1071" s="2" t="s">
        <v>1151</v>
      </c>
      <c r="R1071" s="2" t="s">
        <v>3002</v>
      </c>
      <c r="T1071" s="2" t="s">
        <v>13</v>
      </c>
      <c r="U1071" s="3">
        <v>2</v>
      </c>
      <c r="V1071" s="3">
        <v>5</v>
      </c>
      <c r="W1071" s="4" t="s">
        <v>13218</v>
      </c>
      <c r="X1071" s="4" t="s">
        <v>13218</v>
      </c>
      <c r="Y1071" s="4" t="s">
        <v>13226</v>
      </c>
      <c r="Z1071" s="4" t="s">
        <v>11397</v>
      </c>
      <c r="AA1071" s="3">
        <v>116</v>
      </c>
      <c r="AB1071" s="3">
        <v>97</v>
      </c>
      <c r="AC1071" s="3">
        <v>99</v>
      </c>
      <c r="AD1071" s="3">
        <v>1</v>
      </c>
      <c r="AE1071" s="9">
        <v>1</v>
      </c>
      <c r="AF1071" s="9">
        <v>6</v>
      </c>
      <c r="AG1071" s="9">
        <v>6</v>
      </c>
      <c r="AH1071" s="3">
        <v>3</v>
      </c>
      <c r="AI1071" s="3">
        <v>3</v>
      </c>
      <c r="AJ1071" s="3">
        <v>2</v>
      </c>
      <c r="AK1071" s="3">
        <v>2</v>
      </c>
      <c r="AL1071" s="3">
        <v>3</v>
      </c>
      <c r="AM1071" s="3">
        <v>3</v>
      </c>
      <c r="AN1071" s="3">
        <v>0</v>
      </c>
      <c r="AO1071" s="3">
        <v>0</v>
      </c>
      <c r="AP1071" s="3">
        <v>0</v>
      </c>
      <c r="AQ1071" s="3">
        <v>0</v>
      </c>
      <c r="AR1071" s="2" t="s">
        <v>5</v>
      </c>
      <c r="AS1071" s="2" t="s">
        <v>46</v>
      </c>
      <c r="AT1071" s="5" t="str">
        <f>HYPERLINK("http://catalog.hathitrust.org/Record/004033469","HathiTrust Record")</f>
        <v>HathiTrust Record</v>
      </c>
      <c r="AU1071" s="5" t="str">
        <f>HYPERLINK("https://creighton-primo.hosted.exlibrisgroup.com/primo-explore/search?tab=default_tab&amp;search_scope=EVERYTHING&amp;vid=01CRU&amp;lang=en_US&amp;offset=0&amp;query=any,contains,991001941849702656","Catalog Record")</f>
        <v>Catalog Record</v>
      </c>
      <c r="AV1071" s="5" t="str">
        <f>HYPERLINK("http://www.worldcat.org/oclc/24540441","WorldCat Record")</f>
        <v>WorldCat Record</v>
      </c>
      <c r="AW1071" s="2" t="s">
        <v>13219</v>
      </c>
      <c r="AX1071" s="2" t="s">
        <v>13220</v>
      </c>
      <c r="AY1071" s="2" t="s">
        <v>13221</v>
      </c>
      <c r="AZ1071" s="2" t="s">
        <v>13221</v>
      </c>
      <c r="BA1071" s="2" t="s">
        <v>13222</v>
      </c>
      <c r="BB1071" s="2" t="s">
        <v>20</v>
      </c>
      <c r="BD1071" s="2" t="s">
        <v>13223</v>
      </c>
      <c r="BE1071" s="2" t="s">
        <v>13227</v>
      </c>
      <c r="BF1071" s="2" t="s">
        <v>13228</v>
      </c>
    </row>
    <row r="1072" spans="1:58" ht="39.75" customHeight="1" x14ac:dyDescent="0.25">
      <c r="A1072" s="7" t="s">
        <v>5</v>
      </c>
      <c r="B1072" s="1" t="s">
        <v>0</v>
      </c>
      <c r="C1072" s="1" t="s">
        <v>1</v>
      </c>
      <c r="D1072" s="1" t="s">
        <v>13213</v>
      </c>
      <c r="E1072" s="1" t="s">
        <v>13214</v>
      </c>
      <c r="F1072" s="1" t="s">
        <v>13215</v>
      </c>
      <c r="G1072" s="2" t="s">
        <v>101</v>
      </c>
      <c r="H1072" s="2" t="s">
        <v>46</v>
      </c>
      <c r="I1072" s="2" t="s">
        <v>6</v>
      </c>
      <c r="J1072" s="2" t="s">
        <v>5</v>
      </c>
      <c r="K1072" s="2" t="s">
        <v>5</v>
      </c>
      <c r="L1072" s="2" t="s">
        <v>7</v>
      </c>
      <c r="M1072" s="1" t="s">
        <v>13216</v>
      </c>
      <c r="N1072" s="1" t="s">
        <v>13217</v>
      </c>
      <c r="O1072" s="2" t="s">
        <v>736</v>
      </c>
      <c r="Q1072" s="2" t="s">
        <v>1151</v>
      </c>
      <c r="R1072" s="2" t="s">
        <v>3002</v>
      </c>
      <c r="T1072" s="2" t="s">
        <v>13</v>
      </c>
      <c r="U1072" s="3">
        <v>2</v>
      </c>
      <c r="V1072" s="3">
        <v>5</v>
      </c>
      <c r="W1072" s="4" t="s">
        <v>13218</v>
      </c>
      <c r="X1072" s="4" t="s">
        <v>13218</v>
      </c>
      <c r="Y1072" s="4" t="s">
        <v>13229</v>
      </c>
      <c r="Z1072" s="4" t="s">
        <v>11397</v>
      </c>
      <c r="AA1072" s="3">
        <v>116</v>
      </c>
      <c r="AB1072" s="3">
        <v>97</v>
      </c>
      <c r="AC1072" s="3">
        <v>99</v>
      </c>
      <c r="AD1072" s="3">
        <v>1</v>
      </c>
      <c r="AE1072" s="9">
        <v>1</v>
      </c>
      <c r="AF1072" s="9">
        <v>6</v>
      </c>
      <c r="AG1072" s="9">
        <v>6</v>
      </c>
      <c r="AH1072" s="3">
        <v>3</v>
      </c>
      <c r="AI1072" s="3">
        <v>3</v>
      </c>
      <c r="AJ1072" s="3">
        <v>2</v>
      </c>
      <c r="AK1072" s="3">
        <v>2</v>
      </c>
      <c r="AL1072" s="3">
        <v>3</v>
      </c>
      <c r="AM1072" s="3">
        <v>3</v>
      </c>
      <c r="AN1072" s="3">
        <v>0</v>
      </c>
      <c r="AO1072" s="3">
        <v>0</v>
      </c>
      <c r="AP1072" s="3">
        <v>0</v>
      </c>
      <c r="AQ1072" s="3">
        <v>0</v>
      </c>
      <c r="AR1072" s="2" t="s">
        <v>5</v>
      </c>
      <c r="AS1072" s="2" t="s">
        <v>46</v>
      </c>
      <c r="AT1072" s="5" t="str">
        <f>HYPERLINK("http://catalog.hathitrust.org/Record/004033469","HathiTrust Record")</f>
        <v>HathiTrust Record</v>
      </c>
      <c r="AU1072" s="5" t="str">
        <f>HYPERLINK("https://creighton-primo.hosted.exlibrisgroup.com/primo-explore/search?tab=default_tab&amp;search_scope=EVERYTHING&amp;vid=01CRU&amp;lang=en_US&amp;offset=0&amp;query=any,contains,991001941849702656","Catalog Record")</f>
        <v>Catalog Record</v>
      </c>
      <c r="AV1072" s="5" t="str">
        <f>HYPERLINK("http://www.worldcat.org/oclc/24540441","WorldCat Record")</f>
        <v>WorldCat Record</v>
      </c>
      <c r="AW1072" s="2" t="s">
        <v>13219</v>
      </c>
      <c r="AX1072" s="2" t="s">
        <v>13220</v>
      </c>
      <c r="AY1072" s="2" t="s">
        <v>13221</v>
      </c>
      <c r="AZ1072" s="2" t="s">
        <v>13221</v>
      </c>
      <c r="BA1072" s="2" t="s">
        <v>13222</v>
      </c>
      <c r="BB1072" s="2" t="s">
        <v>20</v>
      </c>
      <c r="BD1072" s="2" t="s">
        <v>13223</v>
      </c>
      <c r="BE1072" s="2" t="s">
        <v>13230</v>
      </c>
      <c r="BF1072" s="2" t="s">
        <v>13231</v>
      </c>
    </row>
    <row r="1073" spans="1:58" ht="39.75" customHeight="1" x14ac:dyDescent="0.25">
      <c r="A1073" s="7" t="s">
        <v>5</v>
      </c>
      <c r="B1073" s="1" t="s">
        <v>0</v>
      </c>
      <c r="C1073" s="1" t="s">
        <v>1</v>
      </c>
      <c r="D1073" s="1" t="s">
        <v>13232</v>
      </c>
      <c r="E1073" s="1" t="s">
        <v>13233</v>
      </c>
      <c r="F1073" s="1" t="s">
        <v>13234</v>
      </c>
      <c r="H1073" s="2" t="s">
        <v>5</v>
      </c>
      <c r="I1073" s="2" t="s">
        <v>6</v>
      </c>
      <c r="J1073" s="2" t="s">
        <v>5</v>
      </c>
      <c r="K1073" s="2" t="s">
        <v>5</v>
      </c>
      <c r="L1073" s="2" t="s">
        <v>7</v>
      </c>
      <c r="M1073" s="1" t="s">
        <v>13235</v>
      </c>
      <c r="N1073" s="1" t="s">
        <v>13236</v>
      </c>
      <c r="O1073" s="2" t="s">
        <v>307</v>
      </c>
      <c r="P1073" s="1" t="s">
        <v>6624</v>
      </c>
      <c r="Q1073" s="2" t="s">
        <v>1151</v>
      </c>
      <c r="R1073" s="2" t="s">
        <v>3002</v>
      </c>
      <c r="T1073" s="2" t="s">
        <v>13</v>
      </c>
      <c r="U1073" s="3">
        <v>2</v>
      </c>
      <c r="V1073" s="3">
        <v>2</v>
      </c>
      <c r="W1073" s="4" t="s">
        <v>13237</v>
      </c>
      <c r="X1073" s="4" t="s">
        <v>13237</v>
      </c>
      <c r="Y1073" s="4" t="s">
        <v>13238</v>
      </c>
      <c r="Z1073" s="4" t="s">
        <v>13238</v>
      </c>
      <c r="AA1073" s="3">
        <v>155</v>
      </c>
      <c r="AB1073" s="3">
        <v>124</v>
      </c>
      <c r="AC1073" s="3">
        <v>339</v>
      </c>
      <c r="AD1073" s="3">
        <v>1</v>
      </c>
      <c r="AE1073" s="9">
        <v>3</v>
      </c>
      <c r="AF1073" s="9">
        <v>8</v>
      </c>
      <c r="AG1073" s="9">
        <v>14</v>
      </c>
      <c r="AH1073" s="3">
        <v>3</v>
      </c>
      <c r="AI1073" s="3">
        <v>5</v>
      </c>
      <c r="AJ1073" s="3">
        <v>3</v>
      </c>
      <c r="AK1073" s="3">
        <v>4</v>
      </c>
      <c r="AL1073" s="3">
        <v>5</v>
      </c>
      <c r="AM1073" s="3">
        <v>7</v>
      </c>
      <c r="AN1073" s="3">
        <v>0</v>
      </c>
      <c r="AO1073" s="3">
        <v>2</v>
      </c>
      <c r="AP1073" s="3">
        <v>0</v>
      </c>
      <c r="AQ1073" s="3">
        <v>0</v>
      </c>
      <c r="AR1073" s="2" t="s">
        <v>5</v>
      </c>
      <c r="AS1073" s="2" t="s">
        <v>46</v>
      </c>
      <c r="AT1073" s="5" t="str">
        <f>HYPERLINK("http://catalog.hathitrust.org/Record/009102810","HathiTrust Record")</f>
        <v>HathiTrust Record</v>
      </c>
      <c r="AU1073" s="5" t="str">
        <f>HYPERLINK("https://creighton-primo.hosted.exlibrisgroup.com/primo-explore/search?tab=default_tab&amp;search_scope=EVERYTHING&amp;vid=01CRU&amp;lang=en_US&amp;offset=0&amp;query=any,contains,991000317609702656","Catalog Record")</f>
        <v>Catalog Record</v>
      </c>
      <c r="AV1073" s="5" t="str">
        <f>HYPERLINK("http://www.worldcat.org/oclc/10124018","WorldCat Record")</f>
        <v>WorldCat Record</v>
      </c>
      <c r="AW1073" s="2" t="s">
        <v>13239</v>
      </c>
      <c r="AX1073" s="2" t="s">
        <v>13240</v>
      </c>
      <c r="AY1073" s="2" t="s">
        <v>13241</v>
      </c>
      <c r="AZ1073" s="2" t="s">
        <v>13241</v>
      </c>
      <c r="BA1073" s="2" t="s">
        <v>13242</v>
      </c>
      <c r="BB1073" s="2" t="s">
        <v>20</v>
      </c>
      <c r="BE1073" s="2" t="s">
        <v>13243</v>
      </c>
      <c r="BF1073" s="2" t="s">
        <v>13244</v>
      </c>
    </row>
    <row r="1074" spans="1:58" ht="39.75" customHeight="1" x14ac:dyDescent="0.25">
      <c r="A1074" s="7" t="s">
        <v>5</v>
      </c>
      <c r="B1074" s="1" t="s">
        <v>0</v>
      </c>
      <c r="C1074" s="1" t="s">
        <v>1</v>
      </c>
      <c r="D1074" s="1" t="s">
        <v>13245</v>
      </c>
      <c r="E1074" s="1" t="s">
        <v>13246</v>
      </c>
      <c r="F1074" s="1" t="s">
        <v>13247</v>
      </c>
      <c r="H1074" s="2" t="s">
        <v>5</v>
      </c>
      <c r="I1074" s="2" t="s">
        <v>6</v>
      </c>
      <c r="J1074" s="2" t="s">
        <v>5</v>
      </c>
      <c r="K1074" s="2" t="s">
        <v>5</v>
      </c>
      <c r="L1074" s="2" t="s">
        <v>7</v>
      </c>
      <c r="M1074" s="1" t="s">
        <v>13248</v>
      </c>
      <c r="N1074" s="1" t="s">
        <v>13249</v>
      </c>
      <c r="O1074" s="2" t="s">
        <v>421</v>
      </c>
      <c r="P1074" s="1" t="s">
        <v>13250</v>
      </c>
      <c r="Q1074" s="2" t="s">
        <v>1151</v>
      </c>
      <c r="R1074" s="2" t="s">
        <v>1152</v>
      </c>
      <c r="S1074" s="1" t="s">
        <v>13251</v>
      </c>
      <c r="T1074" s="2" t="s">
        <v>13</v>
      </c>
      <c r="U1074" s="3">
        <v>1</v>
      </c>
      <c r="V1074" s="3">
        <v>1</v>
      </c>
      <c r="W1074" s="4" t="s">
        <v>5086</v>
      </c>
      <c r="X1074" s="4" t="s">
        <v>5086</v>
      </c>
      <c r="Y1074" s="4" t="s">
        <v>5086</v>
      </c>
      <c r="Z1074" s="4" t="s">
        <v>5086</v>
      </c>
      <c r="AA1074" s="3">
        <v>56</v>
      </c>
      <c r="AB1074" s="3">
        <v>52</v>
      </c>
      <c r="AC1074" s="3">
        <v>219</v>
      </c>
      <c r="AD1074" s="3">
        <v>1</v>
      </c>
      <c r="AE1074" s="9">
        <v>3</v>
      </c>
      <c r="AF1074" s="9">
        <v>3</v>
      </c>
      <c r="AG1074" s="9">
        <v>10</v>
      </c>
      <c r="AH1074" s="3">
        <v>1</v>
      </c>
      <c r="AI1074" s="3">
        <v>1</v>
      </c>
      <c r="AJ1074" s="3">
        <v>2</v>
      </c>
      <c r="AK1074" s="3">
        <v>5</v>
      </c>
      <c r="AL1074" s="3">
        <v>2</v>
      </c>
      <c r="AM1074" s="3">
        <v>6</v>
      </c>
      <c r="AN1074" s="3">
        <v>0</v>
      </c>
      <c r="AO1074" s="3">
        <v>2</v>
      </c>
      <c r="AP1074" s="3">
        <v>0</v>
      </c>
      <c r="AQ1074" s="3">
        <v>0</v>
      </c>
      <c r="AR1074" s="2" t="s">
        <v>5</v>
      </c>
      <c r="AS1074" s="2" t="s">
        <v>46</v>
      </c>
      <c r="AT1074" s="5" t="str">
        <f>HYPERLINK("http://catalog.hathitrust.org/Record/000208476","HathiTrust Record")</f>
        <v>HathiTrust Record</v>
      </c>
      <c r="AU1074" s="5" t="str">
        <f>HYPERLINK("https://creighton-primo.hosted.exlibrisgroup.com/primo-explore/search?tab=default_tab&amp;search_scope=EVERYTHING&amp;vid=01CRU&amp;lang=en_US&amp;offset=0&amp;query=any,contains,991004522399702656","Catalog Record")</f>
        <v>Catalog Record</v>
      </c>
      <c r="AV1074" s="5" t="str">
        <f>HYPERLINK("http://www.worldcat.org/oclc/11339580","WorldCat Record")</f>
        <v>WorldCat Record</v>
      </c>
      <c r="AW1074" s="2" t="s">
        <v>13252</v>
      </c>
      <c r="AX1074" s="2" t="s">
        <v>13253</v>
      </c>
      <c r="AY1074" s="2" t="s">
        <v>13254</v>
      </c>
      <c r="AZ1074" s="2" t="s">
        <v>13254</v>
      </c>
      <c r="BA1074" s="2" t="s">
        <v>13255</v>
      </c>
      <c r="BB1074" s="2" t="s">
        <v>20</v>
      </c>
      <c r="BD1074" s="2" t="s">
        <v>13256</v>
      </c>
      <c r="BE1074" s="2" t="s">
        <v>13257</v>
      </c>
      <c r="BF1074" s="2" t="s">
        <v>13258</v>
      </c>
    </row>
    <row r="1075" spans="1:58" ht="39.75" customHeight="1" x14ac:dyDescent="0.25">
      <c r="A1075" s="7" t="s">
        <v>5</v>
      </c>
      <c r="B1075" s="1" t="s">
        <v>0</v>
      </c>
      <c r="C1075" s="1" t="s">
        <v>1</v>
      </c>
      <c r="D1075" s="1" t="s">
        <v>13259</v>
      </c>
      <c r="E1075" s="1" t="s">
        <v>13260</v>
      </c>
      <c r="F1075" s="1" t="s">
        <v>13261</v>
      </c>
      <c r="H1075" s="2" t="s">
        <v>5</v>
      </c>
      <c r="I1075" s="2" t="s">
        <v>6</v>
      </c>
      <c r="J1075" s="2" t="s">
        <v>5</v>
      </c>
      <c r="K1075" s="2" t="s">
        <v>5</v>
      </c>
      <c r="L1075" s="2" t="s">
        <v>7</v>
      </c>
      <c r="M1075" s="1" t="s">
        <v>13262</v>
      </c>
      <c r="N1075" s="1" t="s">
        <v>13263</v>
      </c>
      <c r="O1075" s="2" t="s">
        <v>421</v>
      </c>
      <c r="P1075" s="1" t="s">
        <v>5911</v>
      </c>
      <c r="Q1075" s="2" t="s">
        <v>1151</v>
      </c>
      <c r="R1075" s="2" t="s">
        <v>5403</v>
      </c>
      <c r="S1075" s="1" t="s">
        <v>10033</v>
      </c>
      <c r="T1075" s="2" t="s">
        <v>13</v>
      </c>
      <c r="U1075" s="3">
        <v>1</v>
      </c>
      <c r="V1075" s="3">
        <v>1</v>
      </c>
      <c r="W1075" s="4" t="s">
        <v>9859</v>
      </c>
      <c r="X1075" s="4" t="s">
        <v>9859</v>
      </c>
      <c r="Y1075" s="4" t="s">
        <v>9859</v>
      </c>
      <c r="Z1075" s="4" t="s">
        <v>9859</v>
      </c>
      <c r="AA1075" s="3">
        <v>64</v>
      </c>
      <c r="AB1075" s="3">
        <v>53</v>
      </c>
      <c r="AC1075" s="3">
        <v>56</v>
      </c>
      <c r="AD1075" s="3">
        <v>1</v>
      </c>
      <c r="AE1075" s="9">
        <v>1</v>
      </c>
      <c r="AF1075" s="9">
        <v>2</v>
      </c>
      <c r="AG1075" s="9">
        <v>2</v>
      </c>
      <c r="AH1075" s="3">
        <v>0</v>
      </c>
      <c r="AI1075" s="3">
        <v>0</v>
      </c>
      <c r="AJ1075" s="3">
        <v>1</v>
      </c>
      <c r="AK1075" s="3">
        <v>1</v>
      </c>
      <c r="AL1075" s="3">
        <v>1</v>
      </c>
      <c r="AM1075" s="3">
        <v>1</v>
      </c>
      <c r="AN1075" s="3">
        <v>0</v>
      </c>
      <c r="AO1075" s="3">
        <v>0</v>
      </c>
      <c r="AP1075" s="3">
        <v>0</v>
      </c>
      <c r="AQ1075" s="3">
        <v>0</v>
      </c>
      <c r="AR1075" s="2" t="s">
        <v>5</v>
      </c>
      <c r="AS1075" s="2" t="s">
        <v>5</v>
      </c>
      <c r="AU1075" s="5" t="str">
        <f>HYPERLINK("https://creighton-primo.hosted.exlibrisgroup.com/primo-explore/search?tab=default_tab&amp;search_scope=EVERYTHING&amp;vid=01CRU&amp;lang=en_US&amp;offset=0&amp;query=any,contains,991003693209702656","Catalog Record")</f>
        <v>Catalog Record</v>
      </c>
      <c r="AV1075" s="5" t="str">
        <f>HYPERLINK("http://www.worldcat.org/oclc/10862943","WorldCat Record")</f>
        <v>WorldCat Record</v>
      </c>
      <c r="AW1075" s="2" t="s">
        <v>13264</v>
      </c>
      <c r="AX1075" s="2" t="s">
        <v>13265</v>
      </c>
      <c r="AY1075" s="2" t="s">
        <v>13266</v>
      </c>
      <c r="AZ1075" s="2" t="s">
        <v>13266</v>
      </c>
      <c r="BA1075" s="2" t="s">
        <v>13267</v>
      </c>
      <c r="BB1075" s="2" t="s">
        <v>20</v>
      </c>
      <c r="BD1075" s="2" t="s">
        <v>13268</v>
      </c>
      <c r="BE1075" s="2" t="s">
        <v>13269</v>
      </c>
      <c r="BF1075" s="2" t="s">
        <v>13270</v>
      </c>
    </row>
    <row r="1076" spans="1:58" ht="39.75" customHeight="1" x14ac:dyDescent="0.25">
      <c r="A1076" s="7" t="s">
        <v>5</v>
      </c>
      <c r="B1076" s="1" t="s">
        <v>0</v>
      </c>
      <c r="C1076" s="1" t="s">
        <v>1</v>
      </c>
      <c r="D1076" s="1" t="s">
        <v>13271</v>
      </c>
      <c r="E1076" s="1" t="s">
        <v>13272</v>
      </c>
      <c r="F1076" s="1" t="s">
        <v>13273</v>
      </c>
      <c r="H1076" s="2" t="s">
        <v>5</v>
      </c>
      <c r="I1076" s="2" t="s">
        <v>6</v>
      </c>
      <c r="J1076" s="2" t="s">
        <v>5</v>
      </c>
      <c r="K1076" s="2" t="s">
        <v>5</v>
      </c>
      <c r="L1076" s="2" t="s">
        <v>7</v>
      </c>
      <c r="M1076" s="1" t="s">
        <v>13274</v>
      </c>
      <c r="N1076" s="1" t="s">
        <v>13275</v>
      </c>
      <c r="O1076" s="2" t="s">
        <v>261</v>
      </c>
      <c r="Q1076" s="2" t="s">
        <v>1151</v>
      </c>
      <c r="R1076" s="2" t="s">
        <v>3002</v>
      </c>
      <c r="T1076" s="2" t="s">
        <v>13</v>
      </c>
      <c r="U1076" s="3">
        <v>1</v>
      </c>
      <c r="V1076" s="3">
        <v>1</v>
      </c>
      <c r="W1076" s="4" t="s">
        <v>5692</v>
      </c>
      <c r="X1076" s="4" t="s">
        <v>5692</v>
      </c>
      <c r="Y1076" s="4" t="s">
        <v>13276</v>
      </c>
      <c r="Z1076" s="4" t="s">
        <v>13276</v>
      </c>
      <c r="AA1076" s="3">
        <v>66</v>
      </c>
      <c r="AB1076" s="3">
        <v>55</v>
      </c>
      <c r="AC1076" s="3">
        <v>71</v>
      </c>
      <c r="AD1076" s="3">
        <v>1</v>
      </c>
      <c r="AE1076" s="9">
        <v>1</v>
      </c>
      <c r="AF1076" s="9">
        <v>1</v>
      </c>
      <c r="AG1076" s="9">
        <v>3</v>
      </c>
      <c r="AH1076" s="3">
        <v>0</v>
      </c>
      <c r="AI1076" s="3">
        <v>0</v>
      </c>
      <c r="AJ1076" s="3">
        <v>1</v>
      </c>
      <c r="AK1076" s="3">
        <v>3</v>
      </c>
      <c r="AL1076" s="3">
        <v>0</v>
      </c>
      <c r="AM1076" s="3">
        <v>0</v>
      </c>
      <c r="AN1076" s="3">
        <v>0</v>
      </c>
      <c r="AO1076" s="3">
        <v>0</v>
      </c>
      <c r="AP1076" s="3">
        <v>0</v>
      </c>
      <c r="AQ1076" s="3">
        <v>0</v>
      </c>
      <c r="AR1076" s="2" t="s">
        <v>5</v>
      </c>
      <c r="AS1076" s="2" t="s">
        <v>46</v>
      </c>
      <c r="AT1076" s="5" t="str">
        <f>HYPERLINK("http://catalog.hathitrust.org/Record/002198475","HathiTrust Record")</f>
        <v>HathiTrust Record</v>
      </c>
      <c r="AU1076" s="5" t="str">
        <f>HYPERLINK("https://creighton-primo.hosted.exlibrisgroup.com/primo-explore/search?tab=default_tab&amp;search_scope=EVERYTHING&amp;vid=01CRU&amp;lang=en_US&amp;offset=0&amp;query=any,contains,991003808479702656","Catalog Record")</f>
        <v>Catalog Record</v>
      </c>
      <c r="AV1076" s="5" t="str">
        <f>HYPERLINK("http://www.worldcat.org/oclc/10101031","WorldCat Record")</f>
        <v>WorldCat Record</v>
      </c>
      <c r="AW1076" s="2" t="s">
        <v>13277</v>
      </c>
      <c r="AX1076" s="2" t="s">
        <v>13278</v>
      </c>
      <c r="AY1076" s="2" t="s">
        <v>13279</v>
      </c>
      <c r="AZ1076" s="2" t="s">
        <v>13279</v>
      </c>
      <c r="BA1076" s="2" t="s">
        <v>13280</v>
      </c>
      <c r="BB1076" s="2" t="s">
        <v>20</v>
      </c>
      <c r="BD1076" s="2" t="s">
        <v>13281</v>
      </c>
      <c r="BE1076" s="2" t="s">
        <v>13282</v>
      </c>
      <c r="BF1076" s="2" t="s">
        <v>13283</v>
      </c>
    </row>
    <row r="1077" spans="1:58" ht="39.75" customHeight="1" x14ac:dyDescent="0.25">
      <c r="A1077" s="7" t="s">
        <v>5</v>
      </c>
      <c r="B1077" s="1" t="s">
        <v>0</v>
      </c>
      <c r="C1077" s="1" t="s">
        <v>1</v>
      </c>
      <c r="D1077" s="1" t="s">
        <v>13284</v>
      </c>
      <c r="E1077" s="1" t="s">
        <v>13285</v>
      </c>
      <c r="F1077" s="1" t="s">
        <v>13286</v>
      </c>
      <c r="H1077" s="2" t="s">
        <v>5</v>
      </c>
      <c r="I1077" s="2" t="s">
        <v>6</v>
      </c>
      <c r="J1077" s="2" t="s">
        <v>5</v>
      </c>
      <c r="K1077" s="2" t="s">
        <v>5</v>
      </c>
      <c r="L1077" s="2" t="s">
        <v>7</v>
      </c>
      <c r="M1077" s="1" t="s">
        <v>13274</v>
      </c>
      <c r="N1077" s="1" t="s">
        <v>11153</v>
      </c>
      <c r="O1077" s="2" t="s">
        <v>27</v>
      </c>
      <c r="P1077" s="1" t="s">
        <v>2908</v>
      </c>
      <c r="Q1077" s="2" t="s">
        <v>1151</v>
      </c>
      <c r="R1077" s="2" t="s">
        <v>5403</v>
      </c>
      <c r="S1077" s="1" t="s">
        <v>10033</v>
      </c>
      <c r="T1077" s="2" t="s">
        <v>13</v>
      </c>
      <c r="U1077" s="3">
        <v>1</v>
      </c>
      <c r="V1077" s="3">
        <v>1</v>
      </c>
      <c r="W1077" s="4" t="s">
        <v>10380</v>
      </c>
      <c r="X1077" s="4" t="s">
        <v>10380</v>
      </c>
      <c r="Y1077" s="4" t="s">
        <v>10381</v>
      </c>
      <c r="Z1077" s="4" t="s">
        <v>10381</v>
      </c>
      <c r="AA1077" s="3">
        <v>79</v>
      </c>
      <c r="AB1077" s="3">
        <v>67</v>
      </c>
      <c r="AC1077" s="3">
        <v>67</v>
      </c>
      <c r="AD1077" s="3">
        <v>2</v>
      </c>
      <c r="AE1077" s="9">
        <v>2</v>
      </c>
      <c r="AF1077" s="9">
        <v>3</v>
      </c>
      <c r="AG1077" s="9">
        <v>3</v>
      </c>
      <c r="AH1077" s="3">
        <v>0</v>
      </c>
      <c r="AI1077" s="3">
        <v>0</v>
      </c>
      <c r="AJ1077" s="3">
        <v>2</v>
      </c>
      <c r="AK1077" s="3">
        <v>2</v>
      </c>
      <c r="AL1077" s="3">
        <v>1</v>
      </c>
      <c r="AM1077" s="3">
        <v>1</v>
      </c>
      <c r="AN1077" s="3">
        <v>1</v>
      </c>
      <c r="AO1077" s="3">
        <v>1</v>
      </c>
      <c r="AP1077" s="3">
        <v>0</v>
      </c>
      <c r="AQ1077" s="3">
        <v>0</v>
      </c>
      <c r="AR1077" s="2" t="s">
        <v>5</v>
      </c>
      <c r="AS1077" s="2" t="s">
        <v>5</v>
      </c>
      <c r="AU1077" s="5" t="str">
        <f>HYPERLINK("https://creighton-primo.hosted.exlibrisgroup.com/primo-explore/search?tab=default_tab&amp;search_scope=EVERYTHING&amp;vid=01CRU&amp;lang=en_US&amp;offset=0&amp;query=any,contains,991003694919702656","Catalog Record")</f>
        <v>Catalog Record</v>
      </c>
      <c r="AV1077" s="5" t="str">
        <f>HYPERLINK("http://www.worldcat.org/oclc/29915382","WorldCat Record")</f>
        <v>WorldCat Record</v>
      </c>
      <c r="AW1077" s="2" t="s">
        <v>13287</v>
      </c>
      <c r="AX1077" s="2" t="s">
        <v>13288</v>
      </c>
      <c r="AY1077" s="2" t="s">
        <v>13289</v>
      </c>
      <c r="AZ1077" s="2" t="s">
        <v>13289</v>
      </c>
      <c r="BA1077" s="2" t="s">
        <v>13290</v>
      </c>
      <c r="BB1077" s="2" t="s">
        <v>20</v>
      </c>
      <c r="BD1077" s="2" t="s">
        <v>13291</v>
      </c>
      <c r="BE1077" s="2" t="s">
        <v>13292</v>
      </c>
      <c r="BF1077" s="2" t="s">
        <v>13293</v>
      </c>
    </row>
    <row r="1078" spans="1:58" ht="39.75" customHeight="1" x14ac:dyDescent="0.25">
      <c r="A1078" s="7" t="s">
        <v>5</v>
      </c>
      <c r="B1078" s="1" t="s">
        <v>0</v>
      </c>
      <c r="C1078" s="1" t="s">
        <v>1</v>
      </c>
      <c r="D1078" s="1" t="s">
        <v>13294</v>
      </c>
      <c r="E1078" s="1" t="s">
        <v>13295</v>
      </c>
      <c r="F1078" s="1" t="s">
        <v>13296</v>
      </c>
      <c r="H1078" s="2" t="s">
        <v>5</v>
      </c>
      <c r="I1078" s="2" t="s">
        <v>6</v>
      </c>
      <c r="J1078" s="2" t="s">
        <v>5</v>
      </c>
      <c r="K1078" s="2" t="s">
        <v>5</v>
      </c>
      <c r="L1078" s="2" t="s">
        <v>7</v>
      </c>
      <c r="M1078" s="1" t="s">
        <v>13297</v>
      </c>
      <c r="N1078" s="1" t="s">
        <v>13298</v>
      </c>
      <c r="O1078" s="2" t="s">
        <v>886</v>
      </c>
      <c r="Q1078" s="2" t="s">
        <v>1151</v>
      </c>
      <c r="R1078" s="2" t="s">
        <v>3002</v>
      </c>
      <c r="S1078" s="1" t="s">
        <v>13299</v>
      </c>
      <c r="T1078" s="2" t="s">
        <v>13</v>
      </c>
      <c r="U1078" s="3">
        <v>1</v>
      </c>
      <c r="V1078" s="3">
        <v>1</v>
      </c>
      <c r="W1078" s="4" t="s">
        <v>5137</v>
      </c>
      <c r="X1078" s="4" t="s">
        <v>5137</v>
      </c>
      <c r="Y1078" s="4" t="s">
        <v>5137</v>
      </c>
      <c r="Z1078" s="4" t="s">
        <v>5137</v>
      </c>
      <c r="AA1078" s="3">
        <v>71</v>
      </c>
      <c r="AB1078" s="3">
        <v>50</v>
      </c>
      <c r="AC1078" s="3">
        <v>52</v>
      </c>
      <c r="AD1078" s="3">
        <v>1</v>
      </c>
      <c r="AE1078" s="9">
        <v>1</v>
      </c>
      <c r="AF1078" s="9">
        <v>2</v>
      </c>
      <c r="AG1078" s="9">
        <v>2</v>
      </c>
      <c r="AH1078" s="3">
        <v>0</v>
      </c>
      <c r="AI1078" s="3">
        <v>0</v>
      </c>
      <c r="AJ1078" s="3">
        <v>1</v>
      </c>
      <c r="AK1078" s="3">
        <v>1</v>
      </c>
      <c r="AL1078" s="3">
        <v>1</v>
      </c>
      <c r="AM1078" s="3">
        <v>1</v>
      </c>
      <c r="AN1078" s="3">
        <v>0</v>
      </c>
      <c r="AO1078" s="3">
        <v>0</v>
      </c>
      <c r="AP1078" s="3">
        <v>0</v>
      </c>
      <c r="AQ1078" s="3">
        <v>0</v>
      </c>
      <c r="AR1078" s="2" t="s">
        <v>5</v>
      </c>
      <c r="AS1078" s="2" t="s">
        <v>46</v>
      </c>
      <c r="AT1078" s="5" t="str">
        <f>HYPERLINK("http://catalog.hathitrust.org/Record/007324837","HathiTrust Record")</f>
        <v>HathiTrust Record</v>
      </c>
      <c r="AU1078" s="5" t="str">
        <f>HYPERLINK("https://creighton-primo.hosted.exlibrisgroup.com/primo-explore/search?tab=default_tab&amp;search_scope=EVERYTHING&amp;vid=01CRU&amp;lang=en_US&amp;offset=0&amp;query=any,contains,991004509239702656","Catalog Record")</f>
        <v>Catalog Record</v>
      </c>
      <c r="AV1078" s="5" t="str">
        <f>HYPERLINK("http://www.worldcat.org/oclc/2050088","WorldCat Record")</f>
        <v>WorldCat Record</v>
      </c>
      <c r="AW1078" s="2" t="s">
        <v>13300</v>
      </c>
      <c r="AX1078" s="2" t="s">
        <v>13301</v>
      </c>
      <c r="AY1078" s="2" t="s">
        <v>13302</v>
      </c>
      <c r="AZ1078" s="2" t="s">
        <v>13302</v>
      </c>
      <c r="BA1078" s="2" t="s">
        <v>13303</v>
      </c>
      <c r="BB1078" s="2" t="s">
        <v>20</v>
      </c>
      <c r="BE1078" s="2" t="s">
        <v>13304</v>
      </c>
      <c r="BF1078" s="2" t="s">
        <v>13305</v>
      </c>
    </row>
    <row r="1079" spans="1:58" ht="39.75" customHeight="1" x14ac:dyDescent="0.25">
      <c r="A1079" s="7" t="s">
        <v>5</v>
      </c>
      <c r="B1079" s="1" t="s">
        <v>0</v>
      </c>
      <c r="C1079" s="1" t="s">
        <v>1</v>
      </c>
      <c r="D1079" s="1" t="s">
        <v>13306</v>
      </c>
      <c r="E1079" s="1" t="s">
        <v>13307</v>
      </c>
      <c r="F1079" s="1" t="s">
        <v>13308</v>
      </c>
      <c r="H1079" s="2" t="s">
        <v>5</v>
      </c>
      <c r="I1079" s="2" t="s">
        <v>6</v>
      </c>
      <c r="J1079" s="2" t="s">
        <v>5</v>
      </c>
      <c r="K1079" s="2" t="s">
        <v>5</v>
      </c>
      <c r="L1079" s="2" t="s">
        <v>7</v>
      </c>
      <c r="M1079" s="1" t="s">
        <v>13309</v>
      </c>
      <c r="N1079" s="1" t="s">
        <v>13310</v>
      </c>
      <c r="O1079" s="2" t="s">
        <v>3817</v>
      </c>
      <c r="P1079" s="1" t="s">
        <v>13311</v>
      </c>
      <c r="Q1079" s="2" t="s">
        <v>1151</v>
      </c>
      <c r="R1079" s="2" t="s">
        <v>3002</v>
      </c>
      <c r="T1079" s="2" t="s">
        <v>13</v>
      </c>
      <c r="U1079" s="3">
        <v>1</v>
      </c>
      <c r="V1079" s="3">
        <v>1</v>
      </c>
      <c r="W1079" s="4" t="s">
        <v>8230</v>
      </c>
      <c r="X1079" s="4" t="s">
        <v>8230</v>
      </c>
      <c r="Y1079" s="4" t="s">
        <v>8230</v>
      </c>
      <c r="Z1079" s="4" t="s">
        <v>8230</v>
      </c>
      <c r="AA1079" s="3">
        <v>71</v>
      </c>
      <c r="AB1079" s="3">
        <v>61</v>
      </c>
      <c r="AC1079" s="3">
        <v>127</v>
      </c>
      <c r="AD1079" s="3">
        <v>1</v>
      </c>
      <c r="AE1079" s="9">
        <v>2</v>
      </c>
      <c r="AF1079" s="9">
        <v>1</v>
      </c>
      <c r="AG1079" s="9">
        <v>3</v>
      </c>
      <c r="AH1079" s="3">
        <v>0</v>
      </c>
      <c r="AI1079" s="3">
        <v>0</v>
      </c>
      <c r="AJ1079" s="3">
        <v>1</v>
      </c>
      <c r="AK1079" s="3">
        <v>2</v>
      </c>
      <c r="AL1079" s="3">
        <v>1</v>
      </c>
      <c r="AM1079" s="3">
        <v>2</v>
      </c>
      <c r="AN1079" s="3">
        <v>0</v>
      </c>
      <c r="AO1079" s="3">
        <v>1</v>
      </c>
      <c r="AP1079" s="3">
        <v>0</v>
      </c>
      <c r="AQ1079" s="3">
        <v>0</v>
      </c>
      <c r="AR1079" s="2" t="s">
        <v>5</v>
      </c>
      <c r="AS1079" s="2" t="s">
        <v>5</v>
      </c>
      <c r="AU1079" s="5" t="str">
        <f>HYPERLINK("https://creighton-primo.hosted.exlibrisgroup.com/primo-explore/search?tab=default_tab&amp;search_scope=EVERYTHING&amp;vid=01CRU&amp;lang=en_US&amp;offset=0&amp;query=any,contains,991003252599702656","Catalog Record")</f>
        <v>Catalog Record</v>
      </c>
      <c r="AV1079" s="5" t="str">
        <f>HYPERLINK("http://www.worldcat.org/oclc/37366647","WorldCat Record")</f>
        <v>WorldCat Record</v>
      </c>
      <c r="AW1079" s="2" t="s">
        <v>13312</v>
      </c>
      <c r="AX1079" s="2" t="s">
        <v>13313</v>
      </c>
      <c r="AY1079" s="2" t="s">
        <v>13314</v>
      </c>
      <c r="AZ1079" s="2" t="s">
        <v>13314</v>
      </c>
      <c r="BA1079" s="2" t="s">
        <v>13315</v>
      </c>
      <c r="BB1079" s="2" t="s">
        <v>20</v>
      </c>
      <c r="BD1079" s="2" t="s">
        <v>13316</v>
      </c>
      <c r="BE1079" s="2" t="s">
        <v>13317</v>
      </c>
      <c r="BF1079" s="2" t="s">
        <v>13318</v>
      </c>
    </row>
    <row r="1080" spans="1:58" ht="39.75" customHeight="1" x14ac:dyDescent="0.25">
      <c r="A1080" s="7" t="s">
        <v>5</v>
      </c>
      <c r="B1080" s="1" t="s">
        <v>0</v>
      </c>
      <c r="C1080" s="1" t="s">
        <v>1</v>
      </c>
      <c r="D1080" s="1" t="s">
        <v>13319</v>
      </c>
      <c r="E1080" s="1" t="s">
        <v>13320</v>
      </c>
      <c r="F1080" s="1" t="s">
        <v>13321</v>
      </c>
      <c r="H1080" s="2" t="s">
        <v>5</v>
      </c>
      <c r="I1080" s="2" t="s">
        <v>6</v>
      </c>
      <c r="J1080" s="2" t="s">
        <v>5</v>
      </c>
      <c r="K1080" s="2" t="s">
        <v>5</v>
      </c>
      <c r="L1080" s="2" t="s">
        <v>7</v>
      </c>
      <c r="M1080" s="1" t="s">
        <v>13322</v>
      </c>
      <c r="N1080" s="1" t="s">
        <v>13323</v>
      </c>
      <c r="O1080" s="2" t="s">
        <v>2859</v>
      </c>
      <c r="Q1080" s="2" t="s">
        <v>1151</v>
      </c>
      <c r="R1080" s="2" t="s">
        <v>9502</v>
      </c>
      <c r="S1080" s="1" t="s">
        <v>13324</v>
      </c>
      <c r="T1080" s="2" t="s">
        <v>13</v>
      </c>
      <c r="U1080" s="3">
        <v>1</v>
      </c>
      <c r="V1080" s="3">
        <v>1</v>
      </c>
      <c r="W1080" s="4" t="s">
        <v>5071</v>
      </c>
      <c r="X1080" s="4" t="s">
        <v>5071</v>
      </c>
      <c r="Y1080" s="4" t="s">
        <v>5071</v>
      </c>
      <c r="Z1080" s="4" t="s">
        <v>5071</v>
      </c>
      <c r="AA1080" s="3">
        <v>39</v>
      </c>
      <c r="AB1080" s="3">
        <v>31</v>
      </c>
      <c r="AC1080" s="3">
        <v>33</v>
      </c>
      <c r="AD1080" s="3">
        <v>1</v>
      </c>
      <c r="AE1080" s="9">
        <v>1</v>
      </c>
      <c r="AF1080" s="9">
        <v>0</v>
      </c>
      <c r="AG1080" s="9">
        <v>0</v>
      </c>
      <c r="AH1080" s="3">
        <v>0</v>
      </c>
      <c r="AI1080" s="3">
        <v>0</v>
      </c>
      <c r="AJ1080" s="3">
        <v>0</v>
      </c>
      <c r="AK1080" s="3">
        <v>0</v>
      </c>
      <c r="AL1080" s="3">
        <v>0</v>
      </c>
      <c r="AM1080" s="3">
        <v>0</v>
      </c>
      <c r="AN1080" s="3">
        <v>0</v>
      </c>
      <c r="AO1080" s="3">
        <v>0</v>
      </c>
      <c r="AP1080" s="3">
        <v>0</v>
      </c>
      <c r="AQ1080" s="3">
        <v>0</v>
      </c>
      <c r="AR1080" s="2" t="s">
        <v>5</v>
      </c>
      <c r="AS1080" s="2" t="s">
        <v>46</v>
      </c>
      <c r="AT1080" s="5" t="str">
        <f>HYPERLINK("http://catalog.hathitrust.org/Record/006714240","HathiTrust Record")</f>
        <v>HathiTrust Record</v>
      </c>
      <c r="AU1080" s="5" t="str">
        <f>HYPERLINK("https://creighton-primo.hosted.exlibrisgroup.com/primo-explore/search?tab=default_tab&amp;search_scope=EVERYTHING&amp;vid=01CRU&amp;lang=en_US&amp;offset=0&amp;query=any,contains,991004336779702656","Catalog Record")</f>
        <v>Catalog Record</v>
      </c>
      <c r="AV1080" s="5" t="str">
        <f>HYPERLINK("http://www.worldcat.org/oclc/13980475","WorldCat Record")</f>
        <v>WorldCat Record</v>
      </c>
      <c r="AW1080" s="2" t="s">
        <v>13325</v>
      </c>
      <c r="AX1080" s="2" t="s">
        <v>13326</v>
      </c>
      <c r="AY1080" s="2" t="s">
        <v>13327</v>
      </c>
      <c r="AZ1080" s="2" t="s">
        <v>13327</v>
      </c>
      <c r="BA1080" s="2" t="s">
        <v>13328</v>
      </c>
      <c r="BB1080" s="2" t="s">
        <v>20</v>
      </c>
      <c r="BE1080" s="2" t="s">
        <v>13329</v>
      </c>
      <c r="BF1080" s="2" t="s">
        <v>13330</v>
      </c>
    </row>
    <row r="1081" spans="1:58" ht="39.75" customHeight="1" x14ac:dyDescent="0.25">
      <c r="A1081" s="7" t="s">
        <v>5</v>
      </c>
      <c r="B1081" s="1" t="s">
        <v>0</v>
      </c>
      <c r="C1081" s="1" t="s">
        <v>1</v>
      </c>
      <c r="D1081" s="1" t="s">
        <v>13331</v>
      </c>
      <c r="E1081" s="1" t="s">
        <v>13332</v>
      </c>
      <c r="F1081" s="1" t="s">
        <v>13333</v>
      </c>
      <c r="H1081" s="2" t="s">
        <v>5</v>
      </c>
      <c r="I1081" s="2" t="s">
        <v>6</v>
      </c>
      <c r="J1081" s="2" t="s">
        <v>5</v>
      </c>
      <c r="K1081" s="2" t="s">
        <v>5</v>
      </c>
      <c r="L1081" s="2" t="s">
        <v>7</v>
      </c>
      <c r="M1081" s="1" t="s">
        <v>13334</v>
      </c>
      <c r="N1081" s="1" t="s">
        <v>13335</v>
      </c>
      <c r="O1081" s="2" t="s">
        <v>6611</v>
      </c>
      <c r="Q1081" s="2" t="s">
        <v>1151</v>
      </c>
      <c r="R1081" s="2" t="s">
        <v>61</v>
      </c>
      <c r="T1081" s="2" t="s">
        <v>13</v>
      </c>
      <c r="U1081" s="3">
        <v>2</v>
      </c>
      <c r="V1081" s="3">
        <v>2</v>
      </c>
      <c r="W1081" s="4" t="s">
        <v>13336</v>
      </c>
      <c r="X1081" s="4" t="s">
        <v>13336</v>
      </c>
      <c r="Y1081" s="4" t="s">
        <v>13337</v>
      </c>
      <c r="Z1081" s="4" t="s">
        <v>13337</v>
      </c>
      <c r="AA1081" s="3">
        <v>290</v>
      </c>
      <c r="AB1081" s="3">
        <v>283</v>
      </c>
      <c r="AC1081" s="3">
        <v>547</v>
      </c>
      <c r="AD1081" s="3">
        <v>2</v>
      </c>
      <c r="AE1081" s="9">
        <v>4</v>
      </c>
      <c r="AF1081" s="9">
        <v>3</v>
      </c>
      <c r="AG1081" s="9">
        <v>14</v>
      </c>
      <c r="AH1081" s="3">
        <v>2</v>
      </c>
      <c r="AI1081" s="3">
        <v>4</v>
      </c>
      <c r="AJ1081" s="3">
        <v>0</v>
      </c>
      <c r="AK1081" s="3">
        <v>5</v>
      </c>
      <c r="AL1081" s="3">
        <v>1</v>
      </c>
      <c r="AM1081" s="3">
        <v>8</v>
      </c>
      <c r="AN1081" s="3">
        <v>1</v>
      </c>
      <c r="AO1081" s="3">
        <v>2</v>
      </c>
      <c r="AP1081" s="3">
        <v>0</v>
      </c>
      <c r="AQ1081" s="3">
        <v>0</v>
      </c>
      <c r="AR1081" s="2" t="s">
        <v>5</v>
      </c>
      <c r="AS1081" s="2" t="s">
        <v>46</v>
      </c>
      <c r="AT1081" s="5" t="str">
        <f>HYPERLINK("http://catalog.hathitrust.org/Record/009925071","HathiTrust Record")</f>
        <v>HathiTrust Record</v>
      </c>
      <c r="AU1081" s="5" t="str">
        <f>HYPERLINK("https://creighton-primo.hosted.exlibrisgroup.com/primo-explore/search?tab=default_tab&amp;search_scope=EVERYTHING&amp;vid=01CRU&amp;lang=en_US&amp;offset=0&amp;query=any,contains,991002724799702656","Catalog Record")</f>
        <v>Catalog Record</v>
      </c>
      <c r="AV1081" s="5" t="str">
        <f>HYPERLINK("http://www.worldcat.org/oclc/35739486","WorldCat Record")</f>
        <v>WorldCat Record</v>
      </c>
      <c r="AW1081" s="2" t="s">
        <v>13338</v>
      </c>
      <c r="AX1081" s="2" t="s">
        <v>13339</v>
      </c>
      <c r="AY1081" s="2" t="s">
        <v>13340</v>
      </c>
      <c r="AZ1081" s="2" t="s">
        <v>13340</v>
      </c>
      <c r="BA1081" s="2" t="s">
        <v>13341</v>
      </c>
      <c r="BB1081" s="2" t="s">
        <v>20</v>
      </c>
      <c r="BD1081" s="2" t="s">
        <v>13342</v>
      </c>
      <c r="BE1081" s="2" t="s">
        <v>13343</v>
      </c>
      <c r="BF1081" s="2" t="s">
        <v>13344</v>
      </c>
    </row>
    <row r="1082" spans="1:58" ht="39.75" customHeight="1" x14ac:dyDescent="0.25">
      <c r="A1082" s="7" t="s">
        <v>5</v>
      </c>
      <c r="B1082" s="1" t="s">
        <v>0</v>
      </c>
      <c r="C1082" s="1" t="s">
        <v>1</v>
      </c>
      <c r="D1082" s="1" t="s">
        <v>13345</v>
      </c>
      <c r="E1082" s="1" t="s">
        <v>13346</v>
      </c>
      <c r="F1082" s="1" t="s">
        <v>13347</v>
      </c>
      <c r="H1082" s="2" t="s">
        <v>5</v>
      </c>
      <c r="I1082" s="2" t="s">
        <v>6</v>
      </c>
      <c r="J1082" s="2" t="s">
        <v>5</v>
      </c>
      <c r="K1082" s="2" t="s">
        <v>5</v>
      </c>
      <c r="L1082" s="2" t="s">
        <v>7</v>
      </c>
      <c r="M1082" s="1" t="s">
        <v>13348</v>
      </c>
      <c r="N1082" s="1" t="s">
        <v>13349</v>
      </c>
      <c r="O1082" s="2" t="s">
        <v>3250</v>
      </c>
      <c r="P1082" s="1" t="s">
        <v>2908</v>
      </c>
      <c r="Q1082" s="2" t="s">
        <v>1151</v>
      </c>
      <c r="R1082" s="2" t="s">
        <v>3002</v>
      </c>
      <c r="S1082" s="1" t="s">
        <v>13350</v>
      </c>
      <c r="T1082" s="2" t="s">
        <v>13</v>
      </c>
      <c r="U1082" s="3">
        <v>1</v>
      </c>
      <c r="V1082" s="3">
        <v>1</v>
      </c>
      <c r="W1082" s="4" t="s">
        <v>1918</v>
      </c>
      <c r="X1082" s="4" t="s">
        <v>1918</v>
      </c>
      <c r="Y1082" s="4" t="s">
        <v>1918</v>
      </c>
      <c r="Z1082" s="4" t="s">
        <v>1918</v>
      </c>
      <c r="AA1082" s="3">
        <v>101</v>
      </c>
      <c r="AB1082" s="3">
        <v>87</v>
      </c>
      <c r="AC1082" s="3">
        <v>87</v>
      </c>
      <c r="AD1082" s="3">
        <v>2</v>
      </c>
      <c r="AE1082" s="9">
        <v>2</v>
      </c>
      <c r="AF1082" s="9">
        <v>4</v>
      </c>
      <c r="AG1082" s="9">
        <v>4</v>
      </c>
      <c r="AH1082" s="3">
        <v>1</v>
      </c>
      <c r="AI1082" s="3">
        <v>1</v>
      </c>
      <c r="AJ1082" s="3">
        <v>0</v>
      </c>
      <c r="AK1082" s="3">
        <v>0</v>
      </c>
      <c r="AL1082" s="3">
        <v>3</v>
      </c>
      <c r="AM1082" s="3">
        <v>3</v>
      </c>
      <c r="AN1082" s="3">
        <v>1</v>
      </c>
      <c r="AO1082" s="3">
        <v>1</v>
      </c>
      <c r="AP1082" s="3">
        <v>0</v>
      </c>
      <c r="AQ1082" s="3">
        <v>0</v>
      </c>
      <c r="AR1082" s="2" t="s">
        <v>5</v>
      </c>
      <c r="AS1082" s="2" t="s">
        <v>5</v>
      </c>
      <c r="AU1082" s="5" t="str">
        <f>HYPERLINK("https://creighton-primo.hosted.exlibrisgroup.com/primo-explore/search?tab=default_tab&amp;search_scope=EVERYTHING&amp;vid=01CRU&amp;lang=en_US&amp;offset=0&amp;query=any,contains,991004270679702656","Catalog Record")</f>
        <v>Catalog Record</v>
      </c>
      <c r="AV1082" s="5" t="str">
        <f>HYPERLINK("http://www.worldcat.org/oclc/53345953","WorldCat Record")</f>
        <v>WorldCat Record</v>
      </c>
      <c r="AW1082" s="2" t="s">
        <v>13351</v>
      </c>
      <c r="AX1082" s="2" t="s">
        <v>13352</v>
      </c>
      <c r="AY1082" s="2" t="s">
        <v>13353</v>
      </c>
      <c r="AZ1082" s="2" t="s">
        <v>13353</v>
      </c>
      <c r="BA1082" s="2" t="s">
        <v>13354</v>
      </c>
      <c r="BB1082" s="2" t="s">
        <v>20</v>
      </c>
      <c r="BD1082" s="2" t="s">
        <v>13355</v>
      </c>
      <c r="BE1082" s="2" t="s">
        <v>13356</v>
      </c>
      <c r="BF1082" s="2" t="s">
        <v>13357</v>
      </c>
    </row>
    <row r="1083" spans="1:58" ht="39.75" customHeight="1" x14ac:dyDescent="0.25">
      <c r="A1083" s="7" t="s">
        <v>5</v>
      </c>
      <c r="B1083" s="1" t="s">
        <v>0</v>
      </c>
      <c r="C1083" s="1" t="s">
        <v>1</v>
      </c>
      <c r="D1083" s="1" t="s">
        <v>13358</v>
      </c>
      <c r="E1083" s="1" t="s">
        <v>13359</v>
      </c>
      <c r="F1083" s="1" t="s">
        <v>13360</v>
      </c>
      <c r="H1083" s="2" t="s">
        <v>5</v>
      </c>
      <c r="I1083" s="2" t="s">
        <v>6</v>
      </c>
      <c r="J1083" s="2" t="s">
        <v>5</v>
      </c>
      <c r="K1083" s="2" t="s">
        <v>5</v>
      </c>
      <c r="L1083" s="2" t="s">
        <v>7</v>
      </c>
      <c r="M1083" s="1" t="s">
        <v>13361</v>
      </c>
      <c r="N1083" s="1" t="s">
        <v>13362</v>
      </c>
      <c r="O1083" s="2" t="s">
        <v>1473</v>
      </c>
      <c r="Q1083" s="2" t="s">
        <v>60</v>
      </c>
      <c r="R1083" s="2" t="s">
        <v>871</v>
      </c>
      <c r="T1083" s="2" t="s">
        <v>13</v>
      </c>
      <c r="U1083" s="3">
        <v>1</v>
      </c>
      <c r="V1083" s="3">
        <v>1</v>
      </c>
      <c r="W1083" s="4" t="s">
        <v>13363</v>
      </c>
      <c r="X1083" s="4" t="s">
        <v>13363</v>
      </c>
      <c r="Y1083" s="4" t="s">
        <v>13363</v>
      </c>
      <c r="Z1083" s="4" t="s">
        <v>13363</v>
      </c>
      <c r="AA1083" s="3">
        <v>216</v>
      </c>
      <c r="AB1083" s="3">
        <v>200</v>
      </c>
      <c r="AC1083" s="3">
        <v>202</v>
      </c>
      <c r="AD1083" s="3">
        <v>2</v>
      </c>
      <c r="AE1083" s="9">
        <v>2</v>
      </c>
      <c r="AF1083" s="9">
        <v>12</v>
      </c>
      <c r="AG1083" s="9">
        <v>12</v>
      </c>
      <c r="AH1083" s="3">
        <v>1</v>
      </c>
      <c r="AI1083" s="3">
        <v>1</v>
      </c>
      <c r="AJ1083" s="3">
        <v>6</v>
      </c>
      <c r="AK1083" s="3">
        <v>6</v>
      </c>
      <c r="AL1083" s="3">
        <v>6</v>
      </c>
      <c r="AM1083" s="3">
        <v>6</v>
      </c>
      <c r="AN1083" s="3">
        <v>1</v>
      </c>
      <c r="AO1083" s="3">
        <v>1</v>
      </c>
      <c r="AP1083" s="3">
        <v>0</v>
      </c>
      <c r="AQ1083" s="3">
        <v>0</v>
      </c>
      <c r="AR1083" s="2" t="s">
        <v>5</v>
      </c>
      <c r="AS1083" s="2" t="s">
        <v>46</v>
      </c>
      <c r="AT1083" s="5" t="str">
        <f>HYPERLINK("http://catalog.hathitrust.org/Record/004253745","HathiTrust Record")</f>
        <v>HathiTrust Record</v>
      </c>
      <c r="AU1083" s="5" t="str">
        <f>HYPERLINK("https://creighton-primo.hosted.exlibrisgroup.com/primo-explore/search?tab=default_tab&amp;search_scope=EVERYTHING&amp;vid=01CRU&amp;lang=en_US&amp;offset=0&amp;query=any,contains,991004021189702656","Catalog Record")</f>
        <v>Catalog Record</v>
      </c>
      <c r="AV1083" s="5" t="str">
        <f>HYPERLINK("http://www.worldcat.org/oclc/46713271","WorldCat Record")</f>
        <v>WorldCat Record</v>
      </c>
      <c r="AW1083" s="2" t="s">
        <v>13364</v>
      </c>
      <c r="AX1083" s="2" t="s">
        <v>13365</v>
      </c>
      <c r="AY1083" s="2" t="s">
        <v>13366</v>
      </c>
      <c r="AZ1083" s="2" t="s">
        <v>13366</v>
      </c>
      <c r="BA1083" s="2" t="s">
        <v>13367</v>
      </c>
      <c r="BB1083" s="2" t="s">
        <v>20</v>
      </c>
      <c r="BD1083" s="2" t="s">
        <v>13368</v>
      </c>
      <c r="BE1083" s="2" t="s">
        <v>13369</v>
      </c>
      <c r="BF1083" s="2" t="s">
        <v>13370</v>
      </c>
    </row>
    <row r="1084" spans="1:58" ht="39.75" customHeight="1" x14ac:dyDescent="0.25">
      <c r="A1084" s="7" t="s">
        <v>5</v>
      </c>
      <c r="B1084" s="1" t="s">
        <v>0</v>
      </c>
      <c r="C1084" s="1" t="s">
        <v>1</v>
      </c>
      <c r="D1084" s="1" t="s">
        <v>13371</v>
      </c>
      <c r="E1084" s="1" t="s">
        <v>13372</v>
      </c>
      <c r="F1084" s="1" t="s">
        <v>13373</v>
      </c>
      <c r="H1084" s="2" t="s">
        <v>5</v>
      </c>
      <c r="I1084" s="2" t="s">
        <v>6</v>
      </c>
      <c r="J1084" s="2" t="s">
        <v>5</v>
      </c>
      <c r="K1084" s="2" t="s">
        <v>5</v>
      </c>
      <c r="L1084" s="2" t="s">
        <v>7</v>
      </c>
      <c r="M1084" s="1" t="s">
        <v>13374</v>
      </c>
      <c r="N1084" s="1" t="s">
        <v>13375</v>
      </c>
      <c r="O1084" s="2" t="s">
        <v>2448</v>
      </c>
      <c r="P1084" s="1" t="s">
        <v>2170</v>
      </c>
      <c r="Q1084" s="2" t="s">
        <v>1151</v>
      </c>
      <c r="R1084" s="2" t="s">
        <v>5403</v>
      </c>
      <c r="T1084" s="2" t="s">
        <v>13</v>
      </c>
      <c r="U1084" s="3">
        <v>3</v>
      </c>
      <c r="V1084" s="3">
        <v>3</v>
      </c>
      <c r="W1084" s="4" t="s">
        <v>13376</v>
      </c>
      <c r="X1084" s="4" t="s">
        <v>13376</v>
      </c>
      <c r="Y1084" s="4" t="s">
        <v>13377</v>
      </c>
      <c r="Z1084" s="4" t="s">
        <v>13377</v>
      </c>
      <c r="AA1084" s="3">
        <v>264</v>
      </c>
      <c r="AB1084" s="3">
        <v>248</v>
      </c>
      <c r="AC1084" s="3">
        <v>283</v>
      </c>
      <c r="AD1084" s="3">
        <v>3</v>
      </c>
      <c r="AE1084" s="9">
        <v>4</v>
      </c>
      <c r="AF1084" s="9">
        <v>15</v>
      </c>
      <c r="AG1084" s="9">
        <v>17</v>
      </c>
      <c r="AH1084" s="3">
        <v>7</v>
      </c>
      <c r="AI1084" s="3">
        <v>8</v>
      </c>
      <c r="AJ1084" s="3">
        <v>2</v>
      </c>
      <c r="AK1084" s="3">
        <v>2</v>
      </c>
      <c r="AL1084" s="3">
        <v>8</v>
      </c>
      <c r="AM1084" s="3">
        <v>9</v>
      </c>
      <c r="AN1084" s="3">
        <v>2</v>
      </c>
      <c r="AO1084" s="3">
        <v>3</v>
      </c>
      <c r="AP1084" s="3">
        <v>0</v>
      </c>
      <c r="AQ1084" s="3">
        <v>0</v>
      </c>
      <c r="AR1084" s="2" t="s">
        <v>5</v>
      </c>
      <c r="AS1084" s="2" t="s">
        <v>46</v>
      </c>
      <c r="AT1084" s="5" t="str">
        <f>HYPERLINK("http://catalog.hathitrust.org/Record/003445954","HathiTrust Record")</f>
        <v>HathiTrust Record</v>
      </c>
      <c r="AU1084" s="5" t="str">
        <f>HYPERLINK("https://creighton-primo.hosted.exlibrisgroup.com/primo-explore/search?tab=default_tab&amp;search_scope=EVERYTHING&amp;vid=01CRU&amp;lang=en_US&amp;offset=0&amp;query=any,contains,991003255029702656","Catalog Record")</f>
        <v>Catalog Record</v>
      </c>
      <c r="AV1084" s="5" t="str">
        <f>HYPERLINK("http://www.worldcat.org/oclc/43251647","WorldCat Record")</f>
        <v>WorldCat Record</v>
      </c>
      <c r="AW1084" s="2" t="s">
        <v>13378</v>
      </c>
      <c r="AX1084" s="2" t="s">
        <v>13379</v>
      </c>
      <c r="AY1084" s="2" t="s">
        <v>13380</v>
      </c>
      <c r="AZ1084" s="2" t="s">
        <v>13380</v>
      </c>
      <c r="BA1084" s="2" t="s">
        <v>13381</v>
      </c>
      <c r="BB1084" s="2" t="s">
        <v>20</v>
      </c>
      <c r="BD1084" s="2" t="s">
        <v>13382</v>
      </c>
      <c r="BE1084" s="2" t="s">
        <v>13383</v>
      </c>
      <c r="BF1084" s="2" t="s">
        <v>13384</v>
      </c>
    </row>
    <row r="1085" spans="1:58" ht="39.75" customHeight="1" x14ac:dyDescent="0.25">
      <c r="A1085" s="7" t="s">
        <v>5</v>
      </c>
      <c r="B1085" s="1" t="s">
        <v>0</v>
      </c>
      <c r="C1085" s="1" t="s">
        <v>1</v>
      </c>
      <c r="D1085" s="1" t="s">
        <v>13385</v>
      </c>
      <c r="E1085" s="1" t="s">
        <v>13386</v>
      </c>
      <c r="F1085" s="1" t="s">
        <v>13387</v>
      </c>
      <c r="H1085" s="2" t="s">
        <v>5</v>
      </c>
      <c r="I1085" s="2" t="s">
        <v>6</v>
      </c>
      <c r="J1085" s="2" t="s">
        <v>5</v>
      </c>
      <c r="K1085" s="2" t="s">
        <v>5</v>
      </c>
      <c r="L1085" s="2" t="s">
        <v>7</v>
      </c>
      <c r="M1085" s="1" t="s">
        <v>13374</v>
      </c>
      <c r="N1085" s="1" t="s">
        <v>13388</v>
      </c>
      <c r="O1085" s="2" t="s">
        <v>736</v>
      </c>
      <c r="P1085" s="1" t="s">
        <v>5939</v>
      </c>
      <c r="Q1085" s="2" t="s">
        <v>1151</v>
      </c>
      <c r="R1085" s="2" t="s">
        <v>3002</v>
      </c>
      <c r="S1085" s="1" t="s">
        <v>13389</v>
      </c>
      <c r="T1085" s="2" t="s">
        <v>13</v>
      </c>
      <c r="U1085" s="3">
        <v>2</v>
      </c>
      <c r="V1085" s="3">
        <v>2</v>
      </c>
      <c r="W1085" s="4" t="s">
        <v>13390</v>
      </c>
      <c r="X1085" s="4" t="s">
        <v>13390</v>
      </c>
      <c r="Y1085" s="4" t="s">
        <v>10195</v>
      </c>
      <c r="Z1085" s="4" t="s">
        <v>10195</v>
      </c>
      <c r="AA1085" s="3">
        <v>176</v>
      </c>
      <c r="AB1085" s="3">
        <v>152</v>
      </c>
      <c r="AC1085" s="3">
        <v>319</v>
      </c>
      <c r="AD1085" s="3">
        <v>2</v>
      </c>
      <c r="AE1085" s="9">
        <v>3</v>
      </c>
      <c r="AF1085" s="9">
        <v>7</v>
      </c>
      <c r="AG1085" s="9">
        <v>12</v>
      </c>
      <c r="AH1085" s="3">
        <v>3</v>
      </c>
      <c r="AI1085" s="3">
        <v>3</v>
      </c>
      <c r="AJ1085" s="3">
        <v>2</v>
      </c>
      <c r="AK1085" s="3">
        <v>3</v>
      </c>
      <c r="AL1085" s="3">
        <v>5</v>
      </c>
      <c r="AM1085" s="3">
        <v>8</v>
      </c>
      <c r="AN1085" s="3">
        <v>1</v>
      </c>
      <c r="AO1085" s="3">
        <v>2</v>
      </c>
      <c r="AP1085" s="3">
        <v>0</v>
      </c>
      <c r="AQ1085" s="3">
        <v>0</v>
      </c>
      <c r="AR1085" s="2" t="s">
        <v>5</v>
      </c>
      <c r="AS1085" s="2" t="s">
        <v>5</v>
      </c>
      <c r="AU1085" s="5" t="str">
        <f>HYPERLINK("https://creighton-primo.hosted.exlibrisgroup.com/primo-explore/search?tab=default_tab&amp;search_scope=EVERYTHING&amp;vid=01CRU&amp;lang=en_US&amp;offset=0&amp;query=any,contains,991001927549702656","Catalog Record")</f>
        <v>Catalog Record</v>
      </c>
      <c r="AV1085" s="5" t="str">
        <f>HYPERLINK("http://www.worldcat.org/oclc/24335170","WorldCat Record")</f>
        <v>WorldCat Record</v>
      </c>
      <c r="AW1085" s="2" t="s">
        <v>13391</v>
      </c>
      <c r="AX1085" s="2" t="s">
        <v>13392</v>
      </c>
      <c r="AY1085" s="2" t="s">
        <v>13393</v>
      </c>
      <c r="AZ1085" s="2" t="s">
        <v>13393</v>
      </c>
      <c r="BA1085" s="2" t="s">
        <v>13394</v>
      </c>
      <c r="BB1085" s="2" t="s">
        <v>20</v>
      </c>
      <c r="BD1085" s="2" t="s">
        <v>13395</v>
      </c>
      <c r="BE1085" s="2" t="s">
        <v>13396</v>
      </c>
      <c r="BF1085" s="2" t="s">
        <v>13397</v>
      </c>
    </row>
    <row r="1086" spans="1:58" ht="39.75" customHeight="1" x14ac:dyDescent="0.25">
      <c r="A1086" s="7" t="s">
        <v>5</v>
      </c>
      <c r="B1086" s="1" t="s">
        <v>0</v>
      </c>
      <c r="C1086" s="1" t="s">
        <v>1</v>
      </c>
      <c r="D1086" s="1" t="s">
        <v>13398</v>
      </c>
      <c r="E1086" s="1" t="s">
        <v>13399</v>
      </c>
      <c r="F1086" s="1" t="s">
        <v>13400</v>
      </c>
      <c r="H1086" s="2" t="s">
        <v>5</v>
      </c>
      <c r="I1086" s="2" t="s">
        <v>6</v>
      </c>
      <c r="J1086" s="2" t="s">
        <v>5</v>
      </c>
      <c r="K1086" s="2" t="s">
        <v>5</v>
      </c>
      <c r="L1086" s="2" t="s">
        <v>7</v>
      </c>
      <c r="N1086" s="1" t="s">
        <v>13401</v>
      </c>
      <c r="O1086" s="2" t="s">
        <v>508</v>
      </c>
      <c r="P1086" s="1" t="s">
        <v>13402</v>
      </c>
      <c r="Q1086" s="2" t="s">
        <v>60</v>
      </c>
      <c r="R1086" s="2" t="s">
        <v>61</v>
      </c>
      <c r="T1086" s="2" t="s">
        <v>13</v>
      </c>
      <c r="U1086" s="3">
        <v>1</v>
      </c>
      <c r="V1086" s="3">
        <v>1</v>
      </c>
      <c r="W1086" s="4" t="s">
        <v>13403</v>
      </c>
      <c r="X1086" s="4" t="s">
        <v>13403</v>
      </c>
      <c r="Y1086" s="4" t="s">
        <v>13403</v>
      </c>
      <c r="Z1086" s="4" t="s">
        <v>13403</v>
      </c>
      <c r="AA1086" s="3">
        <v>233</v>
      </c>
      <c r="AB1086" s="3">
        <v>212</v>
      </c>
      <c r="AC1086" s="3">
        <v>216</v>
      </c>
      <c r="AD1086" s="3">
        <v>2</v>
      </c>
      <c r="AE1086" s="9">
        <v>2</v>
      </c>
      <c r="AF1086" s="9">
        <v>12</v>
      </c>
      <c r="AG1086" s="9">
        <v>12</v>
      </c>
      <c r="AH1086" s="3">
        <v>2</v>
      </c>
      <c r="AI1086" s="3">
        <v>2</v>
      </c>
      <c r="AJ1086" s="3">
        <v>6</v>
      </c>
      <c r="AK1086" s="3">
        <v>6</v>
      </c>
      <c r="AL1086" s="3">
        <v>8</v>
      </c>
      <c r="AM1086" s="3">
        <v>8</v>
      </c>
      <c r="AN1086" s="3">
        <v>1</v>
      </c>
      <c r="AO1086" s="3">
        <v>1</v>
      </c>
      <c r="AP1086" s="3">
        <v>0</v>
      </c>
      <c r="AQ1086" s="3">
        <v>0</v>
      </c>
      <c r="AR1086" s="2" t="s">
        <v>5</v>
      </c>
      <c r="AS1086" s="2" t="s">
        <v>46</v>
      </c>
      <c r="AT1086" s="5" t="str">
        <f>HYPERLINK("http://catalog.hathitrust.org/Record/004130844","HathiTrust Record")</f>
        <v>HathiTrust Record</v>
      </c>
      <c r="AU1086" s="5" t="str">
        <f>HYPERLINK("https://creighton-primo.hosted.exlibrisgroup.com/primo-explore/search?tab=default_tab&amp;search_scope=EVERYTHING&amp;vid=01CRU&amp;lang=en_US&amp;offset=0&amp;query=any,contains,991003319779702656","Catalog Record")</f>
        <v>Catalog Record</v>
      </c>
      <c r="AV1086" s="5" t="str">
        <f>HYPERLINK("http://www.worldcat.org/oclc/43286800","WorldCat Record")</f>
        <v>WorldCat Record</v>
      </c>
      <c r="AW1086" s="2" t="s">
        <v>13404</v>
      </c>
      <c r="AX1086" s="2" t="s">
        <v>13405</v>
      </c>
      <c r="AY1086" s="2" t="s">
        <v>13406</v>
      </c>
      <c r="AZ1086" s="2" t="s">
        <v>13406</v>
      </c>
      <c r="BA1086" s="2" t="s">
        <v>13407</v>
      </c>
      <c r="BB1086" s="2" t="s">
        <v>20</v>
      </c>
      <c r="BD1086" s="2" t="s">
        <v>13408</v>
      </c>
      <c r="BE1086" s="2" t="s">
        <v>13409</v>
      </c>
      <c r="BF1086" s="2" t="s">
        <v>13410</v>
      </c>
    </row>
    <row r="1087" spans="1:58" ht="39.75" customHeight="1" x14ac:dyDescent="0.25">
      <c r="A1087" s="7" t="s">
        <v>5</v>
      </c>
      <c r="B1087" s="1" t="s">
        <v>0</v>
      </c>
      <c r="C1087" s="1" t="s">
        <v>1</v>
      </c>
      <c r="D1087" s="1" t="s">
        <v>13411</v>
      </c>
      <c r="E1087" s="1" t="s">
        <v>13412</v>
      </c>
      <c r="F1087" s="1" t="s">
        <v>13413</v>
      </c>
      <c r="H1087" s="2" t="s">
        <v>5</v>
      </c>
      <c r="I1087" s="2" t="s">
        <v>6</v>
      </c>
      <c r="J1087" s="2" t="s">
        <v>5</v>
      </c>
      <c r="K1087" s="2" t="s">
        <v>5</v>
      </c>
      <c r="L1087" s="2" t="s">
        <v>7</v>
      </c>
      <c r="M1087" s="1" t="s">
        <v>13414</v>
      </c>
      <c r="N1087" s="1" t="s">
        <v>13415</v>
      </c>
      <c r="O1087" s="2" t="s">
        <v>3250</v>
      </c>
      <c r="Q1087" s="2" t="s">
        <v>60</v>
      </c>
      <c r="R1087" s="2" t="s">
        <v>277</v>
      </c>
      <c r="T1087" s="2" t="s">
        <v>13</v>
      </c>
      <c r="U1087" s="3">
        <v>1</v>
      </c>
      <c r="V1087" s="3">
        <v>1</v>
      </c>
      <c r="W1087" s="4" t="s">
        <v>12176</v>
      </c>
      <c r="X1087" s="4" t="s">
        <v>12176</v>
      </c>
      <c r="Y1087" s="4" t="s">
        <v>12176</v>
      </c>
      <c r="Z1087" s="4" t="s">
        <v>12176</v>
      </c>
      <c r="AA1087" s="3">
        <v>333</v>
      </c>
      <c r="AB1087" s="3">
        <v>321</v>
      </c>
      <c r="AC1087" s="3">
        <v>350</v>
      </c>
      <c r="AD1087" s="3">
        <v>2</v>
      </c>
      <c r="AE1087" s="9">
        <v>3</v>
      </c>
      <c r="AF1087" s="9">
        <v>11</v>
      </c>
      <c r="AG1087" s="9">
        <v>13</v>
      </c>
      <c r="AH1087" s="3">
        <v>2</v>
      </c>
      <c r="AI1087" s="3">
        <v>3</v>
      </c>
      <c r="AJ1087" s="3">
        <v>4</v>
      </c>
      <c r="AK1087" s="3">
        <v>5</v>
      </c>
      <c r="AL1087" s="3">
        <v>7</v>
      </c>
      <c r="AM1087" s="3">
        <v>7</v>
      </c>
      <c r="AN1087" s="3">
        <v>1</v>
      </c>
      <c r="AO1087" s="3">
        <v>2</v>
      </c>
      <c r="AP1087" s="3">
        <v>0</v>
      </c>
      <c r="AQ1087" s="3">
        <v>0</v>
      </c>
      <c r="AR1087" s="2" t="s">
        <v>5</v>
      </c>
      <c r="AS1087" s="2" t="s">
        <v>5</v>
      </c>
      <c r="AU1087" s="5" t="str">
        <f>HYPERLINK("https://creighton-primo.hosted.exlibrisgroup.com/primo-explore/search?tab=default_tab&amp;search_scope=EVERYTHING&amp;vid=01CRU&amp;lang=en_US&amp;offset=0&amp;query=any,contains,991004288819702656","Catalog Record")</f>
        <v>Catalog Record</v>
      </c>
      <c r="AV1087" s="5" t="str">
        <f>HYPERLINK("http://www.worldcat.org/oclc/53953754","WorldCat Record")</f>
        <v>WorldCat Record</v>
      </c>
      <c r="AW1087" s="2" t="s">
        <v>13416</v>
      </c>
      <c r="AX1087" s="2" t="s">
        <v>13417</v>
      </c>
      <c r="AY1087" s="2" t="s">
        <v>13418</v>
      </c>
      <c r="AZ1087" s="2" t="s">
        <v>13418</v>
      </c>
      <c r="BA1087" s="2" t="s">
        <v>13419</v>
      </c>
      <c r="BB1087" s="2" t="s">
        <v>20</v>
      </c>
      <c r="BD1087" s="2" t="s">
        <v>13420</v>
      </c>
      <c r="BE1087" s="2" t="s">
        <v>13421</v>
      </c>
      <c r="BF1087" s="2" t="s">
        <v>13422</v>
      </c>
    </row>
    <row r="1088" spans="1:58" ht="39.75" customHeight="1" x14ac:dyDescent="0.25">
      <c r="A1088" s="7" t="s">
        <v>5</v>
      </c>
      <c r="B1088" s="1" t="s">
        <v>0</v>
      </c>
      <c r="C1088" s="1" t="s">
        <v>1</v>
      </c>
      <c r="D1088" s="1" t="s">
        <v>13423</v>
      </c>
      <c r="E1088" s="1" t="s">
        <v>13424</v>
      </c>
      <c r="F1088" s="1" t="s">
        <v>13425</v>
      </c>
      <c r="H1088" s="2" t="s">
        <v>5</v>
      </c>
      <c r="I1088" s="2" t="s">
        <v>6</v>
      </c>
      <c r="J1088" s="2" t="s">
        <v>5</v>
      </c>
      <c r="K1088" s="2" t="s">
        <v>5</v>
      </c>
      <c r="L1088" s="2" t="s">
        <v>7</v>
      </c>
      <c r="M1088" s="1" t="s">
        <v>12978</v>
      </c>
      <c r="N1088" s="1" t="s">
        <v>13426</v>
      </c>
      <c r="O1088" s="2" t="s">
        <v>494</v>
      </c>
      <c r="Q1088" s="2" t="s">
        <v>60</v>
      </c>
      <c r="R1088" s="2" t="s">
        <v>277</v>
      </c>
      <c r="S1088" s="1" t="s">
        <v>13427</v>
      </c>
      <c r="T1088" s="2" t="s">
        <v>13</v>
      </c>
      <c r="U1088" s="3">
        <v>2</v>
      </c>
      <c r="V1088" s="3">
        <v>2</v>
      </c>
      <c r="W1088" s="4" t="s">
        <v>13428</v>
      </c>
      <c r="X1088" s="4" t="s">
        <v>13428</v>
      </c>
      <c r="Y1088" s="4" t="s">
        <v>12606</v>
      </c>
      <c r="Z1088" s="4" t="s">
        <v>12606</v>
      </c>
      <c r="AA1088" s="3">
        <v>229</v>
      </c>
      <c r="AB1088" s="3">
        <v>180</v>
      </c>
      <c r="AC1088" s="3">
        <v>187</v>
      </c>
      <c r="AD1088" s="3">
        <v>2</v>
      </c>
      <c r="AE1088" s="9">
        <v>2</v>
      </c>
      <c r="AF1088" s="9">
        <v>6</v>
      </c>
      <c r="AG1088" s="9">
        <v>6</v>
      </c>
      <c r="AH1088" s="3">
        <v>1</v>
      </c>
      <c r="AI1088" s="3">
        <v>1</v>
      </c>
      <c r="AJ1088" s="3">
        <v>2</v>
      </c>
      <c r="AK1088" s="3">
        <v>2</v>
      </c>
      <c r="AL1088" s="3">
        <v>4</v>
      </c>
      <c r="AM1088" s="3">
        <v>4</v>
      </c>
      <c r="AN1088" s="3">
        <v>1</v>
      </c>
      <c r="AO1088" s="3">
        <v>1</v>
      </c>
      <c r="AP1088" s="3">
        <v>0</v>
      </c>
      <c r="AQ1088" s="3">
        <v>0</v>
      </c>
      <c r="AR1088" s="2" t="s">
        <v>5</v>
      </c>
      <c r="AS1088" s="2" t="s">
        <v>46</v>
      </c>
      <c r="AT1088" s="5" t="str">
        <f>HYPERLINK("http://catalog.hathitrust.org/Record/000131220","HathiTrust Record")</f>
        <v>HathiTrust Record</v>
      </c>
      <c r="AU1088" s="5" t="str">
        <f>HYPERLINK("https://creighton-primo.hosted.exlibrisgroup.com/primo-explore/search?tab=default_tab&amp;search_scope=EVERYTHING&amp;vid=01CRU&amp;lang=en_US&amp;offset=0&amp;query=any,contains,991004497689702656","Catalog Record")</f>
        <v>Catalog Record</v>
      </c>
      <c r="AV1088" s="5" t="str">
        <f>HYPERLINK("http://www.worldcat.org/oclc/3706184","WorldCat Record")</f>
        <v>WorldCat Record</v>
      </c>
      <c r="AW1088" s="2" t="s">
        <v>13429</v>
      </c>
      <c r="AX1088" s="2" t="s">
        <v>13430</v>
      </c>
      <c r="AY1088" s="2" t="s">
        <v>13431</v>
      </c>
      <c r="AZ1088" s="2" t="s">
        <v>13431</v>
      </c>
      <c r="BA1088" s="2" t="s">
        <v>13432</v>
      </c>
      <c r="BB1088" s="2" t="s">
        <v>20</v>
      </c>
      <c r="BD1088" s="2" t="s">
        <v>13433</v>
      </c>
      <c r="BE1088" s="2" t="s">
        <v>13434</v>
      </c>
      <c r="BF1088" s="2" t="s">
        <v>13435</v>
      </c>
    </row>
    <row r="1089" spans="1:58" ht="39.75" customHeight="1" x14ac:dyDescent="0.25">
      <c r="A1089" s="7" t="s">
        <v>5</v>
      </c>
      <c r="B1089" s="1" t="s">
        <v>0</v>
      </c>
      <c r="C1089" s="1" t="s">
        <v>1</v>
      </c>
      <c r="D1089" s="1" t="s">
        <v>13436</v>
      </c>
      <c r="E1089" s="1" t="s">
        <v>13437</v>
      </c>
      <c r="F1089" s="1" t="s">
        <v>13438</v>
      </c>
      <c r="H1089" s="2" t="s">
        <v>5</v>
      </c>
      <c r="I1089" s="2" t="s">
        <v>6</v>
      </c>
      <c r="J1089" s="2" t="s">
        <v>5</v>
      </c>
      <c r="K1089" s="2" t="s">
        <v>5</v>
      </c>
      <c r="L1089" s="2" t="s">
        <v>7</v>
      </c>
      <c r="M1089" s="1" t="s">
        <v>13439</v>
      </c>
      <c r="N1089" s="1" t="s">
        <v>13440</v>
      </c>
      <c r="O1089" s="2" t="s">
        <v>508</v>
      </c>
      <c r="Q1089" s="2" t="s">
        <v>60</v>
      </c>
      <c r="R1089" s="2" t="s">
        <v>193</v>
      </c>
      <c r="S1089" s="1" t="s">
        <v>11877</v>
      </c>
      <c r="T1089" s="2" t="s">
        <v>13</v>
      </c>
      <c r="U1089" s="3">
        <v>2</v>
      </c>
      <c r="V1089" s="3">
        <v>2</v>
      </c>
      <c r="W1089" s="4" t="s">
        <v>13441</v>
      </c>
      <c r="X1089" s="4" t="s">
        <v>13441</v>
      </c>
      <c r="Y1089" s="4" t="s">
        <v>13442</v>
      </c>
      <c r="Z1089" s="4" t="s">
        <v>13442</v>
      </c>
      <c r="AA1089" s="3">
        <v>306</v>
      </c>
      <c r="AB1089" s="3">
        <v>281</v>
      </c>
      <c r="AC1089" s="3">
        <v>817</v>
      </c>
      <c r="AD1089" s="3">
        <v>2</v>
      </c>
      <c r="AE1089" s="9">
        <v>6</v>
      </c>
      <c r="AF1089" s="9">
        <v>17</v>
      </c>
      <c r="AG1089" s="9">
        <v>32</v>
      </c>
      <c r="AH1089" s="3">
        <v>5</v>
      </c>
      <c r="AI1089" s="3">
        <v>11</v>
      </c>
      <c r="AJ1089" s="3">
        <v>6</v>
      </c>
      <c r="AK1089" s="3">
        <v>8</v>
      </c>
      <c r="AL1089" s="3">
        <v>11</v>
      </c>
      <c r="AM1089" s="3">
        <v>15</v>
      </c>
      <c r="AN1089" s="3">
        <v>1</v>
      </c>
      <c r="AO1089" s="3">
        <v>5</v>
      </c>
      <c r="AP1089" s="3">
        <v>0</v>
      </c>
      <c r="AQ1089" s="3">
        <v>1</v>
      </c>
      <c r="AR1089" s="2" t="s">
        <v>5</v>
      </c>
      <c r="AS1089" s="2" t="s">
        <v>5</v>
      </c>
      <c r="AU1089" s="5" t="str">
        <f>HYPERLINK("https://creighton-primo.hosted.exlibrisgroup.com/primo-explore/search?tab=default_tab&amp;search_scope=EVERYTHING&amp;vid=01CRU&amp;lang=en_US&amp;offset=0&amp;query=any,contains,991003046769702656","Catalog Record")</f>
        <v>Catalog Record</v>
      </c>
      <c r="AV1089" s="5" t="str">
        <f>HYPERLINK("http://www.worldcat.org/oclc/42660670","WorldCat Record")</f>
        <v>WorldCat Record</v>
      </c>
      <c r="AW1089" s="2" t="s">
        <v>13443</v>
      </c>
      <c r="AX1089" s="2" t="s">
        <v>13444</v>
      </c>
      <c r="AY1089" s="2" t="s">
        <v>13445</v>
      </c>
      <c r="AZ1089" s="2" t="s">
        <v>13445</v>
      </c>
      <c r="BA1089" s="2" t="s">
        <v>13446</v>
      </c>
      <c r="BB1089" s="2" t="s">
        <v>20</v>
      </c>
      <c r="BD1089" s="2" t="s">
        <v>13447</v>
      </c>
      <c r="BE1089" s="2" t="s">
        <v>13448</v>
      </c>
      <c r="BF1089" s="2" t="s">
        <v>13449</v>
      </c>
    </row>
    <row r="1090" spans="1:58" ht="39.75" customHeight="1" x14ac:dyDescent="0.25">
      <c r="A1090" s="7" t="s">
        <v>5</v>
      </c>
      <c r="B1090" s="1" t="s">
        <v>0</v>
      </c>
      <c r="C1090" s="1" t="s">
        <v>1</v>
      </c>
      <c r="D1090" s="1" t="s">
        <v>13450</v>
      </c>
      <c r="E1090" s="1" t="s">
        <v>13451</v>
      </c>
      <c r="F1090" s="1" t="s">
        <v>13452</v>
      </c>
      <c r="H1090" s="2" t="s">
        <v>5</v>
      </c>
      <c r="I1090" s="2" t="s">
        <v>6</v>
      </c>
      <c r="J1090" s="2" t="s">
        <v>5</v>
      </c>
      <c r="K1090" s="2" t="s">
        <v>5</v>
      </c>
      <c r="L1090" s="2" t="s">
        <v>7</v>
      </c>
      <c r="M1090" s="1" t="s">
        <v>13453</v>
      </c>
      <c r="N1090" s="1" t="s">
        <v>13454</v>
      </c>
      <c r="O1090" s="2" t="s">
        <v>2448</v>
      </c>
      <c r="Q1090" s="2" t="s">
        <v>1151</v>
      </c>
      <c r="R1090" s="2" t="s">
        <v>1152</v>
      </c>
      <c r="S1090" s="1" t="s">
        <v>13455</v>
      </c>
      <c r="T1090" s="2" t="s">
        <v>13</v>
      </c>
      <c r="U1090" s="3">
        <v>3</v>
      </c>
      <c r="V1090" s="3">
        <v>3</v>
      </c>
      <c r="W1090" s="4" t="s">
        <v>13456</v>
      </c>
      <c r="X1090" s="4" t="s">
        <v>13456</v>
      </c>
      <c r="Y1090" s="4" t="s">
        <v>13457</v>
      </c>
      <c r="Z1090" s="4" t="s">
        <v>13457</v>
      </c>
      <c r="AA1090" s="3">
        <v>117</v>
      </c>
      <c r="AB1090" s="3">
        <v>107</v>
      </c>
      <c r="AC1090" s="3">
        <v>109</v>
      </c>
      <c r="AD1090" s="3">
        <v>1</v>
      </c>
      <c r="AE1090" s="9">
        <v>1</v>
      </c>
      <c r="AF1090" s="9">
        <v>2</v>
      </c>
      <c r="AG1090" s="9">
        <v>2</v>
      </c>
      <c r="AH1090" s="3">
        <v>1</v>
      </c>
      <c r="AI1090" s="3">
        <v>1</v>
      </c>
      <c r="AJ1090" s="3">
        <v>1</v>
      </c>
      <c r="AK1090" s="3">
        <v>1</v>
      </c>
      <c r="AL1090" s="3">
        <v>0</v>
      </c>
      <c r="AM1090" s="3">
        <v>0</v>
      </c>
      <c r="AN1090" s="3">
        <v>0</v>
      </c>
      <c r="AO1090" s="3">
        <v>0</v>
      </c>
      <c r="AP1090" s="3">
        <v>0</v>
      </c>
      <c r="AQ1090" s="3">
        <v>0</v>
      </c>
      <c r="AR1090" s="2" t="s">
        <v>5</v>
      </c>
      <c r="AS1090" s="2" t="s">
        <v>46</v>
      </c>
      <c r="AT1090" s="5" t="str">
        <f>HYPERLINK("http://catalog.hathitrust.org/Record/004029235","HathiTrust Record")</f>
        <v>HathiTrust Record</v>
      </c>
      <c r="AU1090" s="5" t="str">
        <f>HYPERLINK("https://creighton-primo.hosted.exlibrisgroup.com/primo-explore/search?tab=default_tab&amp;search_scope=EVERYTHING&amp;vid=01CRU&amp;lang=en_US&amp;offset=0&amp;query=any,contains,991003036839702656","Catalog Record")</f>
        <v>Catalog Record</v>
      </c>
      <c r="AV1090" s="5" t="str">
        <f>HYPERLINK("http://www.worldcat.org/oclc/41872270","WorldCat Record")</f>
        <v>WorldCat Record</v>
      </c>
      <c r="AW1090" s="2" t="s">
        <v>13458</v>
      </c>
      <c r="AX1090" s="2" t="s">
        <v>13459</v>
      </c>
      <c r="AY1090" s="2" t="s">
        <v>13460</v>
      </c>
      <c r="AZ1090" s="2" t="s">
        <v>13460</v>
      </c>
      <c r="BA1090" s="2" t="s">
        <v>13461</v>
      </c>
      <c r="BB1090" s="2" t="s">
        <v>20</v>
      </c>
      <c r="BD1090" s="2" t="s">
        <v>13462</v>
      </c>
      <c r="BE1090" s="2" t="s">
        <v>13463</v>
      </c>
      <c r="BF1090" s="2" t="s">
        <v>13464</v>
      </c>
    </row>
    <row r="1091" spans="1:58" ht="39.75" customHeight="1" x14ac:dyDescent="0.25">
      <c r="A1091" s="7" t="s">
        <v>5</v>
      </c>
      <c r="B1091" s="1" t="s">
        <v>0</v>
      </c>
      <c r="C1091" s="1" t="s">
        <v>1</v>
      </c>
      <c r="D1091" s="1" t="s">
        <v>13465</v>
      </c>
      <c r="E1091" s="1" t="s">
        <v>13466</v>
      </c>
      <c r="F1091" s="1" t="s">
        <v>13467</v>
      </c>
      <c r="H1091" s="2" t="s">
        <v>5</v>
      </c>
      <c r="I1091" s="2" t="s">
        <v>6</v>
      </c>
      <c r="J1091" s="2" t="s">
        <v>5</v>
      </c>
      <c r="K1091" s="2" t="s">
        <v>5</v>
      </c>
      <c r="L1091" s="2" t="s">
        <v>7</v>
      </c>
      <c r="M1091" s="1" t="s">
        <v>13468</v>
      </c>
      <c r="N1091" s="1" t="s">
        <v>13469</v>
      </c>
      <c r="O1091" s="2" t="s">
        <v>3817</v>
      </c>
      <c r="P1091" s="1" t="s">
        <v>2908</v>
      </c>
      <c r="Q1091" s="2" t="s">
        <v>1151</v>
      </c>
      <c r="R1091" s="2" t="s">
        <v>9488</v>
      </c>
      <c r="S1091" s="1" t="s">
        <v>13470</v>
      </c>
      <c r="T1091" s="2" t="s">
        <v>13</v>
      </c>
      <c r="U1091" s="3">
        <v>1</v>
      </c>
      <c r="V1091" s="3">
        <v>1</v>
      </c>
      <c r="W1091" s="4" t="s">
        <v>11207</v>
      </c>
      <c r="X1091" s="4" t="s">
        <v>11207</v>
      </c>
      <c r="Y1091" s="4" t="s">
        <v>11207</v>
      </c>
      <c r="Z1091" s="4" t="s">
        <v>11207</v>
      </c>
      <c r="AA1091" s="3">
        <v>85</v>
      </c>
      <c r="AB1091" s="3">
        <v>68</v>
      </c>
      <c r="AC1091" s="3">
        <v>68</v>
      </c>
      <c r="AD1091" s="3">
        <v>1</v>
      </c>
      <c r="AE1091" s="9">
        <v>1</v>
      </c>
      <c r="AF1091" s="9">
        <v>4</v>
      </c>
      <c r="AG1091" s="9">
        <v>4</v>
      </c>
      <c r="AH1091" s="3">
        <v>1</v>
      </c>
      <c r="AI1091" s="3">
        <v>1</v>
      </c>
      <c r="AJ1091" s="3">
        <v>2</v>
      </c>
      <c r="AK1091" s="3">
        <v>2</v>
      </c>
      <c r="AL1091" s="3">
        <v>4</v>
      </c>
      <c r="AM1091" s="3">
        <v>4</v>
      </c>
      <c r="AN1091" s="3">
        <v>0</v>
      </c>
      <c r="AO1091" s="3">
        <v>0</v>
      </c>
      <c r="AP1091" s="3">
        <v>0</v>
      </c>
      <c r="AQ1091" s="3">
        <v>0</v>
      </c>
      <c r="AR1091" s="2" t="s">
        <v>5</v>
      </c>
      <c r="AS1091" s="2" t="s">
        <v>5</v>
      </c>
      <c r="AU1091" s="5" t="str">
        <f>HYPERLINK("https://creighton-primo.hosted.exlibrisgroup.com/primo-explore/search?tab=default_tab&amp;search_scope=EVERYTHING&amp;vid=01CRU&amp;lang=en_US&amp;offset=0&amp;query=any,contains,991004028039702656","Catalog Record")</f>
        <v>Catalog Record</v>
      </c>
      <c r="AV1091" s="5" t="str">
        <f>HYPERLINK("http://www.worldcat.org/oclc/37473418","WorldCat Record")</f>
        <v>WorldCat Record</v>
      </c>
      <c r="AW1091" s="2" t="s">
        <v>13471</v>
      </c>
      <c r="AX1091" s="2" t="s">
        <v>13472</v>
      </c>
      <c r="AY1091" s="2" t="s">
        <v>13473</v>
      </c>
      <c r="AZ1091" s="2" t="s">
        <v>13473</v>
      </c>
      <c r="BA1091" s="2" t="s">
        <v>13474</v>
      </c>
      <c r="BB1091" s="2" t="s">
        <v>20</v>
      </c>
      <c r="BD1091" s="2" t="s">
        <v>13475</v>
      </c>
      <c r="BE1091" s="2" t="s">
        <v>13476</v>
      </c>
      <c r="BF1091" s="2" t="s">
        <v>13477</v>
      </c>
    </row>
    <row r="1092" spans="1:58" ht="39.75" customHeight="1" x14ac:dyDescent="0.25">
      <c r="A1092" s="7" t="s">
        <v>5</v>
      </c>
      <c r="B1092" s="1" t="s">
        <v>0</v>
      </c>
      <c r="C1092" s="1" t="s">
        <v>1</v>
      </c>
      <c r="D1092" s="1" t="s">
        <v>13478</v>
      </c>
      <c r="E1092" s="1" t="s">
        <v>13479</v>
      </c>
      <c r="F1092" s="1" t="s">
        <v>13480</v>
      </c>
      <c r="H1092" s="2" t="s">
        <v>5</v>
      </c>
      <c r="I1092" s="2" t="s">
        <v>6</v>
      </c>
      <c r="J1092" s="2" t="s">
        <v>5</v>
      </c>
      <c r="K1092" s="2" t="s">
        <v>5</v>
      </c>
      <c r="L1092" s="2" t="s">
        <v>7</v>
      </c>
      <c r="M1092" s="1" t="s">
        <v>9555</v>
      </c>
      <c r="N1092" s="1" t="s">
        <v>13481</v>
      </c>
      <c r="O1092" s="2" t="s">
        <v>736</v>
      </c>
      <c r="P1092" s="1" t="s">
        <v>13482</v>
      </c>
      <c r="Q1092" s="2" t="s">
        <v>1151</v>
      </c>
      <c r="R1092" s="2" t="s">
        <v>9488</v>
      </c>
      <c r="S1092" s="1" t="s">
        <v>13483</v>
      </c>
      <c r="T1092" s="2" t="s">
        <v>13</v>
      </c>
      <c r="U1092" s="3">
        <v>2</v>
      </c>
      <c r="V1092" s="3">
        <v>2</v>
      </c>
      <c r="W1092" s="4" t="s">
        <v>3793</v>
      </c>
      <c r="X1092" s="4" t="s">
        <v>3793</v>
      </c>
      <c r="Y1092" s="4" t="s">
        <v>5361</v>
      </c>
      <c r="Z1092" s="4" t="s">
        <v>5361</v>
      </c>
      <c r="AA1092" s="3">
        <v>58</v>
      </c>
      <c r="AB1092" s="3">
        <v>49</v>
      </c>
      <c r="AC1092" s="3">
        <v>223</v>
      </c>
      <c r="AD1092" s="3">
        <v>1</v>
      </c>
      <c r="AE1092" s="9">
        <v>2</v>
      </c>
      <c r="AF1092" s="9">
        <v>2</v>
      </c>
      <c r="AG1092" s="9">
        <v>12</v>
      </c>
      <c r="AH1092" s="3">
        <v>0</v>
      </c>
      <c r="AI1092" s="3">
        <v>4</v>
      </c>
      <c r="AJ1092" s="3">
        <v>1</v>
      </c>
      <c r="AK1092" s="3">
        <v>4</v>
      </c>
      <c r="AL1092" s="3">
        <v>1</v>
      </c>
      <c r="AM1092" s="3">
        <v>6</v>
      </c>
      <c r="AN1092" s="3">
        <v>0</v>
      </c>
      <c r="AO1092" s="3">
        <v>1</v>
      </c>
      <c r="AP1092" s="3">
        <v>0</v>
      </c>
      <c r="AQ1092" s="3">
        <v>0</v>
      </c>
      <c r="AR1092" s="2" t="s">
        <v>5</v>
      </c>
      <c r="AS1092" s="2" t="s">
        <v>46</v>
      </c>
      <c r="AT1092" s="5" t="str">
        <f>HYPERLINK("http://catalog.hathitrust.org/Record/002615187","HathiTrust Record")</f>
        <v>HathiTrust Record</v>
      </c>
      <c r="AU1092" s="5" t="str">
        <f>HYPERLINK("https://creighton-primo.hosted.exlibrisgroup.com/primo-explore/search?tab=default_tab&amp;search_scope=EVERYTHING&amp;vid=01CRU&amp;lang=en_US&amp;offset=0&amp;query=any,contains,991001908049702656","Catalog Record")</f>
        <v>Catalog Record</v>
      </c>
      <c r="AV1092" s="5" t="str">
        <f>HYPERLINK("http://www.worldcat.org/oclc/24102797","WorldCat Record")</f>
        <v>WorldCat Record</v>
      </c>
      <c r="AW1092" s="2" t="s">
        <v>13484</v>
      </c>
      <c r="AX1092" s="2" t="s">
        <v>13485</v>
      </c>
      <c r="AY1092" s="2" t="s">
        <v>13486</v>
      </c>
      <c r="AZ1092" s="2" t="s">
        <v>13486</v>
      </c>
      <c r="BA1092" s="2" t="s">
        <v>13487</v>
      </c>
      <c r="BB1092" s="2" t="s">
        <v>20</v>
      </c>
      <c r="BE1092" s="2" t="s">
        <v>13488</v>
      </c>
      <c r="BF1092" s="2" t="s">
        <v>13489</v>
      </c>
    </row>
    <row r="1093" spans="1:58" ht="39.75" customHeight="1" x14ac:dyDescent="0.25">
      <c r="A1093" s="7" t="s">
        <v>5</v>
      </c>
      <c r="B1093" s="1" t="s">
        <v>0</v>
      </c>
      <c r="C1093" s="1" t="s">
        <v>1</v>
      </c>
      <c r="D1093" s="1" t="s">
        <v>13490</v>
      </c>
      <c r="E1093" s="1" t="s">
        <v>13491</v>
      </c>
      <c r="F1093" s="1" t="s">
        <v>13492</v>
      </c>
      <c r="H1093" s="2" t="s">
        <v>5</v>
      </c>
      <c r="I1093" s="2" t="s">
        <v>6</v>
      </c>
      <c r="J1093" s="2" t="s">
        <v>5</v>
      </c>
      <c r="K1093" s="2" t="s">
        <v>5</v>
      </c>
      <c r="L1093" s="2" t="s">
        <v>7</v>
      </c>
      <c r="M1093" s="1" t="s">
        <v>13493</v>
      </c>
      <c r="N1093" s="1" t="s">
        <v>13494</v>
      </c>
      <c r="O1093" s="2" t="s">
        <v>291</v>
      </c>
      <c r="Q1093" s="2" t="s">
        <v>1151</v>
      </c>
      <c r="R1093" s="2" t="s">
        <v>3002</v>
      </c>
      <c r="S1093" s="1" t="s">
        <v>13495</v>
      </c>
      <c r="T1093" s="2" t="s">
        <v>13</v>
      </c>
      <c r="U1093" s="3">
        <v>2</v>
      </c>
      <c r="V1093" s="3">
        <v>2</v>
      </c>
      <c r="W1093" s="4" t="s">
        <v>13428</v>
      </c>
      <c r="X1093" s="4" t="s">
        <v>13428</v>
      </c>
      <c r="Y1093" s="4" t="s">
        <v>13496</v>
      </c>
      <c r="Z1093" s="4" t="s">
        <v>13496</v>
      </c>
      <c r="AA1093" s="3">
        <v>158</v>
      </c>
      <c r="AB1093" s="3">
        <v>120</v>
      </c>
      <c r="AC1093" s="3">
        <v>123</v>
      </c>
      <c r="AD1093" s="3">
        <v>2</v>
      </c>
      <c r="AE1093" s="9">
        <v>2</v>
      </c>
      <c r="AF1093" s="9">
        <v>4</v>
      </c>
      <c r="AG1093" s="9">
        <v>4</v>
      </c>
      <c r="AH1093" s="3">
        <v>0</v>
      </c>
      <c r="AI1093" s="3">
        <v>0</v>
      </c>
      <c r="AJ1093" s="3">
        <v>3</v>
      </c>
      <c r="AK1093" s="3">
        <v>3</v>
      </c>
      <c r="AL1093" s="3">
        <v>2</v>
      </c>
      <c r="AM1093" s="3">
        <v>2</v>
      </c>
      <c r="AN1093" s="3">
        <v>1</v>
      </c>
      <c r="AO1093" s="3">
        <v>1</v>
      </c>
      <c r="AP1093" s="3">
        <v>0</v>
      </c>
      <c r="AQ1093" s="3">
        <v>0</v>
      </c>
      <c r="AR1093" s="2" t="s">
        <v>5</v>
      </c>
      <c r="AS1093" s="2" t="s">
        <v>46</v>
      </c>
      <c r="AT1093" s="5" t="str">
        <f>HYPERLINK("http://catalog.hathitrust.org/Record/000137421","HathiTrust Record")</f>
        <v>HathiTrust Record</v>
      </c>
      <c r="AU1093" s="5" t="str">
        <f>HYPERLINK("https://creighton-primo.hosted.exlibrisgroup.com/primo-explore/search?tab=default_tab&amp;search_scope=EVERYTHING&amp;vid=01CRU&amp;lang=en_US&amp;offset=0&amp;query=any,contains,991004541989702656","Catalog Record")</f>
        <v>Catalog Record</v>
      </c>
      <c r="AV1093" s="5" t="str">
        <f>HYPERLINK("http://www.worldcat.org/oclc/3898162","WorldCat Record")</f>
        <v>WorldCat Record</v>
      </c>
      <c r="AW1093" s="2" t="s">
        <v>13497</v>
      </c>
      <c r="AX1093" s="2" t="s">
        <v>13498</v>
      </c>
      <c r="AY1093" s="2" t="s">
        <v>13499</v>
      </c>
      <c r="AZ1093" s="2" t="s">
        <v>13499</v>
      </c>
      <c r="BA1093" s="2" t="s">
        <v>13500</v>
      </c>
      <c r="BB1093" s="2" t="s">
        <v>20</v>
      </c>
      <c r="BE1093" s="2" t="s">
        <v>13501</v>
      </c>
      <c r="BF1093" s="2" t="s">
        <v>13502</v>
      </c>
    </row>
    <row r="1094" spans="1:58" ht="39.75" customHeight="1" x14ac:dyDescent="0.25">
      <c r="A1094" s="7" t="s">
        <v>5</v>
      </c>
      <c r="B1094" s="1" t="s">
        <v>0</v>
      </c>
      <c r="C1094" s="1" t="s">
        <v>1</v>
      </c>
      <c r="D1094" s="1" t="s">
        <v>13503</v>
      </c>
      <c r="E1094" s="1" t="s">
        <v>13504</v>
      </c>
      <c r="F1094" s="1" t="s">
        <v>13505</v>
      </c>
      <c r="G1094" s="2" t="s">
        <v>2083</v>
      </c>
      <c r="H1094" s="2" t="s">
        <v>5</v>
      </c>
      <c r="I1094" s="2" t="s">
        <v>6</v>
      </c>
      <c r="J1094" s="2" t="s">
        <v>5</v>
      </c>
      <c r="K1094" s="2" t="s">
        <v>5</v>
      </c>
      <c r="L1094" s="2" t="s">
        <v>7</v>
      </c>
      <c r="N1094" s="1" t="s">
        <v>13506</v>
      </c>
      <c r="O1094" s="2" t="s">
        <v>452</v>
      </c>
      <c r="Q1094" s="2" t="s">
        <v>1151</v>
      </c>
      <c r="R1094" s="2" t="s">
        <v>9488</v>
      </c>
      <c r="S1094" s="1" t="s">
        <v>13507</v>
      </c>
      <c r="T1094" s="2" t="s">
        <v>13</v>
      </c>
      <c r="U1094" s="3">
        <v>1</v>
      </c>
      <c r="V1094" s="3">
        <v>1</v>
      </c>
      <c r="W1094" s="4" t="s">
        <v>11207</v>
      </c>
      <c r="X1094" s="4" t="s">
        <v>11207</v>
      </c>
      <c r="Y1094" s="4" t="s">
        <v>11207</v>
      </c>
      <c r="Z1094" s="4" t="s">
        <v>11207</v>
      </c>
      <c r="AA1094" s="3">
        <v>96</v>
      </c>
      <c r="AB1094" s="3">
        <v>78</v>
      </c>
      <c r="AC1094" s="3">
        <v>80</v>
      </c>
      <c r="AD1094" s="3">
        <v>1</v>
      </c>
      <c r="AE1094" s="9">
        <v>1</v>
      </c>
      <c r="AF1094" s="9">
        <v>4</v>
      </c>
      <c r="AG1094" s="9">
        <v>4</v>
      </c>
      <c r="AH1094" s="3">
        <v>2</v>
      </c>
      <c r="AI1094" s="3">
        <v>2</v>
      </c>
      <c r="AJ1094" s="3">
        <v>1</v>
      </c>
      <c r="AK1094" s="3">
        <v>1</v>
      </c>
      <c r="AL1094" s="3">
        <v>4</v>
      </c>
      <c r="AM1094" s="3">
        <v>4</v>
      </c>
      <c r="AN1094" s="3">
        <v>0</v>
      </c>
      <c r="AO1094" s="3">
        <v>0</v>
      </c>
      <c r="AP1094" s="3">
        <v>0</v>
      </c>
      <c r="AQ1094" s="3">
        <v>0</v>
      </c>
      <c r="AR1094" s="2" t="s">
        <v>5</v>
      </c>
      <c r="AS1094" s="2" t="s">
        <v>46</v>
      </c>
      <c r="AT1094" s="5" t="str">
        <f>HYPERLINK("http://catalog.hathitrust.org/Record/004176549","HathiTrust Record")</f>
        <v>HathiTrust Record</v>
      </c>
      <c r="AU1094" s="5" t="str">
        <f>HYPERLINK("https://creighton-primo.hosted.exlibrisgroup.com/primo-explore/search?tab=default_tab&amp;search_scope=EVERYTHING&amp;vid=01CRU&amp;lang=en_US&amp;offset=0&amp;query=any,contains,991004028159702656","Catalog Record")</f>
        <v>Catalog Record</v>
      </c>
      <c r="AV1094" s="5" t="str">
        <f>HYPERLINK("http://www.worldcat.org/oclc/37768382","WorldCat Record")</f>
        <v>WorldCat Record</v>
      </c>
      <c r="AW1094" s="2" t="s">
        <v>13508</v>
      </c>
      <c r="AX1094" s="2" t="s">
        <v>13509</v>
      </c>
      <c r="AY1094" s="2" t="s">
        <v>13510</v>
      </c>
      <c r="AZ1094" s="2" t="s">
        <v>13510</v>
      </c>
      <c r="BA1094" s="2" t="s">
        <v>13511</v>
      </c>
      <c r="BB1094" s="2" t="s">
        <v>20</v>
      </c>
      <c r="BD1094" s="2" t="s">
        <v>13512</v>
      </c>
      <c r="BE1094" s="2" t="s">
        <v>13513</v>
      </c>
      <c r="BF1094" s="2" t="s">
        <v>13514</v>
      </c>
    </row>
    <row r="1095" spans="1:58" ht="39.75" customHeight="1" x14ac:dyDescent="0.25">
      <c r="A1095" s="7" t="s">
        <v>5</v>
      </c>
      <c r="B1095" s="1" t="s">
        <v>0</v>
      </c>
      <c r="C1095" s="1" t="s">
        <v>1</v>
      </c>
      <c r="D1095" s="1" t="s">
        <v>13515</v>
      </c>
      <c r="E1095" s="1" t="s">
        <v>13516</v>
      </c>
      <c r="F1095" s="1" t="s">
        <v>13517</v>
      </c>
      <c r="H1095" s="2" t="s">
        <v>5</v>
      </c>
      <c r="I1095" s="2" t="s">
        <v>6</v>
      </c>
      <c r="J1095" s="2" t="s">
        <v>5</v>
      </c>
      <c r="K1095" s="2" t="s">
        <v>5</v>
      </c>
      <c r="L1095" s="2" t="s">
        <v>7</v>
      </c>
      <c r="N1095" s="1" t="s">
        <v>13518</v>
      </c>
      <c r="O1095" s="2" t="s">
        <v>3941</v>
      </c>
      <c r="P1095" s="1" t="s">
        <v>5373</v>
      </c>
      <c r="Q1095" s="2" t="s">
        <v>1151</v>
      </c>
      <c r="R1095" s="2" t="s">
        <v>9488</v>
      </c>
      <c r="S1095" s="1" t="s">
        <v>13519</v>
      </c>
      <c r="T1095" s="2" t="s">
        <v>13</v>
      </c>
      <c r="U1095" s="3">
        <v>1</v>
      </c>
      <c r="V1095" s="3">
        <v>1</v>
      </c>
      <c r="W1095" s="4" t="s">
        <v>11207</v>
      </c>
      <c r="X1095" s="4" t="s">
        <v>11207</v>
      </c>
      <c r="Y1095" s="4" t="s">
        <v>11207</v>
      </c>
      <c r="Z1095" s="4" t="s">
        <v>11207</v>
      </c>
      <c r="AA1095" s="3">
        <v>64</v>
      </c>
      <c r="AB1095" s="3">
        <v>50</v>
      </c>
      <c r="AC1095" s="3">
        <v>58</v>
      </c>
      <c r="AD1095" s="3">
        <v>2</v>
      </c>
      <c r="AE1095" s="9">
        <v>2</v>
      </c>
      <c r="AF1095" s="9">
        <v>4</v>
      </c>
      <c r="AG1095" s="9">
        <v>4</v>
      </c>
      <c r="AH1095" s="3">
        <v>1</v>
      </c>
      <c r="AI1095" s="3">
        <v>1</v>
      </c>
      <c r="AJ1095" s="3">
        <v>0</v>
      </c>
      <c r="AK1095" s="3">
        <v>0</v>
      </c>
      <c r="AL1095" s="3">
        <v>3</v>
      </c>
      <c r="AM1095" s="3">
        <v>3</v>
      </c>
      <c r="AN1095" s="3">
        <v>1</v>
      </c>
      <c r="AO1095" s="3">
        <v>1</v>
      </c>
      <c r="AP1095" s="3">
        <v>0</v>
      </c>
      <c r="AQ1095" s="3">
        <v>0</v>
      </c>
      <c r="AR1095" s="2" t="s">
        <v>5</v>
      </c>
      <c r="AS1095" s="2" t="s">
        <v>46</v>
      </c>
      <c r="AT1095" s="5" t="str">
        <f>HYPERLINK("http://catalog.hathitrust.org/Record/004242561","HathiTrust Record")</f>
        <v>HathiTrust Record</v>
      </c>
      <c r="AU1095" s="5" t="str">
        <f>HYPERLINK("https://creighton-primo.hosted.exlibrisgroup.com/primo-explore/search?tab=default_tab&amp;search_scope=EVERYTHING&amp;vid=01CRU&amp;lang=en_US&amp;offset=0&amp;query=any,contains,991004028319702656","Catalog Record")</f>
        <v>Catalog Record</v>
      </c>
      <c r="AV1095" s="5" t="str">
        <f>HYPERLINK("http://www.worldcat.org/oclc/49217444","WorldCat Record")</f>
        <v>WorldCat Record</v>
      </c>
      <c r="AW1095" s="2" t="s">
        <v>13520</v>
      </c>
      <c r="AX1095" s="2" t="s">
        <v>13521</v>
      </c>
      <c r="AY1095" s="2" t="s">
        <v>13522</v>
      </c>
      <c r="AZ1095" s="2" t="s">
        <v>13522</v>
      </c>
      <c r="BA1095" s="2" t="s">
        <v>13523</v>
      </c>
      <c r="BB1095" s="2" t="s">
        <v>20</v>
      </c>
      <c r="BD1095" s="2" t="s">
        <v>13524</v>
      </c>
      <c r="BE1095" s="2" t="s">
        <v>13525</v>
      </c>
      <c r="BF1095" s="2" t="s">
        <v>13526</v>
      </c>
    </row>
    <row r="1096" spans="1:58" ht="39.75" customHeight="1" x14ac:dyDescent="0.25">
      <c r="A1096" s="7" t="s">
        <v>5</v>
      </c>
      <c r="B1096" s="1" t="s">
        <v>0</v>
      </c>
      <c r="C1096" s="1" t="s">
        <v>1</v>
      </c>
      <c r="D1096" s="1" t="s">
        <v>13527</v>
      </c>
      <c r="E1096" s="1" t="s">
        <v>13528</v>
      </c>
      <c r="F1096" s="1" t="s">
        <v>13529</v>
      </c>
      <c r="H1096" s="2" t="s">
        <v>5</v>
      </c>
      <c r="I1096" s="2" t="s">
        <v>6</v>
      </c>
      <c r="J1096" s="2" t="s">
        <v>5</v>
      </c>
      <c r="K1096" s="2" t="s">
        <v>5</v>
      </c>
      <c r="L1096" s="2" t="s">
        <v>7</v>
      </c>
      <c r="N1096" s="1" t="s">
        <v>13530</v>
      </c>
      <c r="O1096" s="2" t="s">
        <v>3941</v>
      </c>
      <c r="Q1096" s="2" t="s">
        <v>1151</v>
      </c>
      <c r="R1096" s="2" t="s">
        <v>9488</v>
      </c>
      <c r="S1096" s="1" t="s">
        <v>13531</v>
      </c>
      <c r="T1096" s="2" t="s">
        <v>13</v>
      </c>
      <c r="U1096" s="3">
        <v>1</v>
      </c>
      <c r="V1096" s="3">
        <v>1</v>
      </c>
      <c r="W1096" s="4" t="s">
        <v>11207</v>
      </c>
      <c r="X1096" s="4" t="s">
        <v>11207</v>
      </c>
      <c r="Y1096" s="4" t="s">
        <v>11207</v>
      </c>
      <c r="Z1096" s="4" t="s">
        <v>11207</v>
      </c>
      <c r="AA1096" s="3">
        <v>76</v>
      </c>
      <c r="AB1096" s="3">
        <v>66</v>
      </c>
      <c r="AC1096" s="3">
        <v>68</v>
      </c>
      <c r="AD1096" s="3">
        <v>1</v>
      </c>
      <c r="AE1096" s="9">
        <v>1</v>
      </c>
      <c r="AF1096" s="9">
        <v>3</v>
      </c>
      <c r="AG1096" s="9">
        <v>3</v>
      </c>
      <c r="AH1096" s="3">
        <v>2</v>
      </c>
      <c r="AI1096" s="3">
        <v>2</v>
      </c>
      <c r="AJ1096" s="3">
        <v>0</v>
      </c>
      <c r="AK1096" s="3">
        <v>0</v>
      </c>
      <c r="AL1096" s="3">
        <v>3</v>
      </c>
      <c r="AM1096" s="3">
        <v>3</v>
      </c>
      <c r="AN1096" s="3">
        <v>0</v>
      </c>
      <c r="AO1096" s="3">
        <v>0</v>
      </c>
      <c r="AP1096" s="3">
        <v>0</v>
      </c>
      <c r="AQ1096" s="3">
        <v>0</v>
      </c>
      <c r="AR1096" s="2" t="s">
        <v>5</v>
      </c>
      <c r="AS1096" s="2" t="s">
        <v>46</v>
      </c>
      <c r="AT1096" s="5" t="str">
        <f>HYPERLINK("http://catalog.hathitrust.org/Record/004264681","HathiTrust Record")</f>
        <v>HathiTrust Record</v>
      </c>
      <c r="AU1096" s="5" t="str">
        <f>HYPERLINK("https://creighton-primo.hosted.exlibrisgroup.com/primo-explore/search?tab=default_tab&amp;search_scope=EVERYTHING&amp;vid=01CRU&amp;lang=en_US&amp;offset=0&amp;query=any,contains,991004028239702656","Catalog Record")</f>
        <v>Catalog Record</v>
      </c>
      <c r="AV1096" s="5" t="str">
        <f>HYPERLINK("http://www.worldcat.org/oclc/49940921","WorldCat Record")</f>
        <v>WorldCat Record</v>
      </c>
      <c r="AW1096" s="2" t="s">
        <v>13532</v>
      </c>
      <c r="AX1096" s="2" t="s">
        <v>13533</v>
      </c>
      <c r="AY1096" s="2" t="s">
        <v>13534</v>
      </c>
      <c r="AZ1096" s="2" t="s">
        <v>13534</v>
      </c>
      <c r="BA1096" s="2" t="s">
        <v>13535</v>
      </c>
      <c r="BB1096" s="2" t="s">
        <v>20</v>
      </c>
      <c r="BD1096" s="2" t="s">
        <v>13536</v>
      </c>
      <c r="BE1096" s="2" t="s">
        <v>13537</v>
      </c>
      <c r="BF1096" s="2" t="s">
        <v>13538</v>
      </c>
    </row>
    <row r="1097" spans="1:58" ht="39.75" customHeight="1" x14ac:dyDescent="0.25">
      <c r="A1097" s="7" t="s">
        <v>5</v>
      </c>
      <c r="B1097" s="1" t="s">
        <v>0</v>
      </c>
      <c r="C1097" s="1" t="s">
        <v>1</v>
      </c>
      <c r="D1097" s="1" t="s">
        <v>13539</v>
      </c>
      <c r="E1097" s="1" t="s">
        <v>13540</v>
      </c>
      <c r="F1097" s="1" t="s">
        <v>13541</v>
      </c>
      <c r="H1097" s="2" t="s">
        <v>5</v>
      </c>
      <c r="I1097" s="2" t="s">
        <v>6</v>
      </c>
      <c r="J1097" s="2" t="s">
        <v>5</v>
      </c>
      <c r="K1097" s="2" t="s">
        <v>5</v>
      </c>
      <c r="L1097" s="2" t="s">
        <v>7</v>
      </c>
      <c r="N1097" s="1" t="s">
        <v>13542</v>
      </c>
      <c r="O1097" s="2" t="s">
        <v>27</v>
      </c>
      <c r="P1097" s="1" t="s">
        <v>2908</v>
      </c>
      <c r="Q1097" s="2" t="s">
        <v>1151</v>
      </c>
      <c r="R1097" s="2" t="s">
        <v>1152</v>
      </c>
      <c r="S1097" s="1" t="s">
        <v>13543</v>
      </c>
      <c r="T1097" s="2" t="s">
        <v>13</v>
      </c>
      <c r="U1097" s="3">
        <v>2</v>
      </c>
      <c r="V1097" s="3">
        <v>2</v>
      </c>
      <c r="W1097" s="4" t="s">
        <v>13544</v>
      </c>
      <c r="X1097" s="4" t="s">
        <v>13544</v>
      </c>
      <c r="Y1097" s="4" t="s">
        <v>13545</v>
      </c>
      <c r="Z1097" s="4" t="s">
        <v>13545</v>
      </c>
      <c r="AA1097" s="3">
        <v>137</v>
      </c>
      <c r="AB1097" s="3">
        <v>112</v>
      </c>
      <c r="AC1097" s="3">
        <v>114</v>
      </c>
      <c r="AD1097" s="3">
        <v>3</v>
      </c>
      <c r="AE1097" s="9">
        <v>3</v>
      </c>
      <c r="AF1097" s="9">
        <v>8</v>
      </c>
      <c r="AG1097" s="9">
        <v>9</v>
      </c>
      <c r="AH1097" s="3">
        <v>1</v>
      </c>
      <c r="AI1097" s="3">
        <v>2</v>
      </c>
      <c r="AJ1097" s="3">
        <v>2</v>
      </c>
      <c r="AK1097" s="3">
        <v>2</v>
      </c>
      <c r="AL1097" s="3">
        <v>4</v>
      </c>
      <c r="AM1097" s="3">
        <v>5</v>
      </c>
      <c r="AN1097" s="3">
        <v>2</v>
      </c>
      <c r="AO1097" s="3">
        <v>2</v>
      </c>
      <c r="AP1097" s="3">
        <v>0</v>
      </c>
      <c r="AQ1097" s="3">
        <v>0</v>
      </c>
      <c r="AR1097" s="2" t="s">
        <v>5</v>
      </c>
      <c r="AS1097" s="2" t="s">
        <v>46</v>
      </c>
      <c r="AT1097" s="5" t="str">
        <f>HYPERLINK("http://catalog.hathitrust.org/Record/007111021","HathiTrust Record")</f>
        <v>HathiTrust Record</v>
      </c>
      <c r="AU1097" s="5" t="str">
        <f>HYPERLINK("https://creighton-primo.hosted.exlibrisgroup.com/primo-explore/search?tab=default_tab&amp;search_scope=EVERYTHING&amp;vid=01CRU&amp;lang=en_US&amp;offset=0&amp;query=any,contains,991002233699702656","Catalog Record")</f>
        <v>Catalog Record</v>
      </c>
      <c r="AV1097" s="5" t="str">
        <f>HYPERLINK("http://www.worldcat.org/oclc/28798856","WorldCat Record")</f>
        <v>WorldCat Record</v>
      </c>
      <c r="AW1097" s="2" t="s">
        <v>13546</v>
      </c>
      <c r="AX1097" s="2" t="s">
        <v>13547</v>
      </c>
      <c r="AY1097" s="2" t="s">
        <v>13548</v>
      </c>
      <c r="AZ1097" s="2" t="s">
        <v>13548</v>
      </c>
      <c r="BA1097" s="2" t="s">
        <v>13549</v>
      </c>
      <c r="BB1097" s="2" t="s">
        <v>20</v>
      </c>
      <c r="BD1097" s="2" t="s">
        <v>13550</v>
      </c>
      <c r="BE1097" s="2" t="s">
        <v>13551</v>
      </c>
      <c r="BF1097" s="2" t="s">
        <v>13552</v>
      </c>
    </row>
    <row r="1098" spans="1:58" ht="39.75" customHeight="1" x14ac:dyDescent="0.25">
      <c r="A1098" s="7" t="s">
        <v>5</v>
      </c>
      <c r="B1098" s="1" t="s">
        <v>0</v>
      </c>
      <c r="C1098" s="1" t="s">
        <v>1</v>
      </c>
      <c r="D1098" s="1" t="s">
        <v>13553</v>
      </c>
      <c r="E1098" s="1" t="s">
        <v>13554</v>
      </c>
      <c r="F1098" s="1" t="s">
        <v>13555</v>
      </c>
      <c r="H1098" s="2" t="s">
        <v>5</v>
      </c>
      <c r="I1098" s="2" t="s">
        <v>6</v>
      </c>
      <c r="J1098" s="2" t="s">
        <v>5</v>
      </c>
      <c r="K1098" s="2" t="s">
        <v>5</v>
      </c>
      <c r="L1098" s="2" t="s">
        <v>7</v>
      </c>
      <c r="N1098" s="1" t="s">
        <v>13556</v>
      </c>
      <c r="O1098" s="2" t="s">
        <v>261</v>
      </c>
      <c r="Q1098" s="2" t="s">
        <v>60</v>
      </c>
      <c r="R1098" s="2" t="s">
        <v>61</v>
      </c>
      <c r="T1098" s="2" t="s">
        <v>13</v>
      </c>
      <c r="U1098" s="3">
        <v>2</v>
      </c>
      <c r="V1098" s="3">
        <v>2</v>
      </c>
      <c r="W1098" s="4" t="s">
        <v>13428</v>
      </c>
      <c r="X1098" s="4" t="s">
        <v>13428</v>
      </c>
      <c r="Y1098" s="4" t="s">
        <v>13557</v>
      </c>
      <c r="Z1098" s="4" t="s">
        <v>13557</v>
      </c>
      <c r="AA1098" s="3">
        <v>370</v>
      </c>
      <c r="AB1098" s="3">
        <v>330</v>
      </c>
      <c r="AC1098" s="3">
        <v>336</v>
      </c>
      <c r="AD1098" s="3">
        <v>3</v>
      </c>
      <c r="AE1098" s="9">
        <v>3</v>
      </c>
      <c r="AF1098" s="9">
        <v>14</v>
      </c>
      <c r="AG1098" s="9">
        <v>14</v>
      </c>
      <c r="AH1098" s="3">
        <v>4</v>
      </c>
      <c r="AI1098" s="3">
        <v>4</v>
      </c>
      <c r="AJ1098" s="3">
        <v>7</v>
      </c>
      <c r="AK1098" s="3">
        <v>7</v>
      </c>
      <c r="AL1098" s="3">
        <v>6</v>
      </c>
      <c r="AM1098" s="3">
        <v>6</v>
      </c>
      <c r="AN1098" s="3">
        <v>2</v>
      </c>
      <c r="AO1098" s="3">
        <v>2</v>
      </c>
      <c r="AP1098" s="3">
        <v>0</v>
      </c>
      <c r="AQ1098" s="3">
        <v>0</v>
      </c>
      <c r="AR1098" s="2" t="s">
        <v>5</v>
      </c>
      <c r="AS1098" s="2" t="s">
        <v>46</v>
      </c>
      <c r="AT1098" s="5" t="str">
        <f>HYPERLINK("http://catalog.hathitrust.org/Record/000267842","HathiTrust Record")</f>
        <v>HathiTrust Record</v>
      </c>
      <c r="AU1098" s="5" t="str">
        <f>HYPERLINK("https://creighton-primo.hosted.exlibrisgroup.com/primo-explore/search?tab=default_tab&amp;search_scope=EVERYTHING&amp;vid=01CRU&amp;lang=en_US&amp;offset=0&amp;query=any,contains,991005152749702656","Catalog Record")</f>
        <v>Catalog Record</v>
      </c>
      <c r="AV1098" s="5" t="str">
        <f>HYPERLINK("http://www.worldcat.org/oclc/7734596","WorldCat Record")</f>
        <v>WorldCat Record</v>
      </c>
      <c r="AW1098" s="2" t="s">
        <v>13558</v>
      </c>
      <c r="AX1098" s="2" t="s">
        <v>13559</v>
      </c>
      <c r="AY1098" s="2" t="s">
        <v>13560</v>
      </c>
      <c r="AZ1098" s="2" t="s">
        <v>13560</v>
      </c>
      <c r="BA1098" s="2" t="s">
        <v>13561</v>
      </c>
      <c r="BB1098" s="2" t="s">
        <v>20</v>
      </c>
      <c r="BD1098" s="2" t="s">
        <v>13562</v>
      </c>
      <c r="BE1098" s="2" t="s">
        <v>13563</v>
      </c>
      <c r="BF1098" s="2" t="s">
        <v>13564</v>
      </c>
    </row>
    <row r="1099" spans="1:58" ht="39.75" customHeight="1" x14ac:dyDescent="0.25">
      <c r="A1099" s="7" t="s">
        <v>5</v>
      </c>
      <c r="B1099" s="1" t="s">
        <v>0</v>
      </c>
      <c r="C1099" s="1" t="s">
        <v>1</v>
      </c>
      <c r="D1099" s="1" t="s">
        <v>13565</v>
      </c>
      <c r="E1099" s="1" t="s">
        <v>13566</v>
      </c>
      <c r="F1099" s="1" t="s">
        <v>13567</v>
      </c>
      <c r="G1099" s="2" t="s">
        <v>101</v>
      </c>
      <c r="H1099" s="2" t="s">
        <v>46</v>
      </c>
      <c r="I1099" s="2" t="s">
        <v>6</v>
      </c>
      <c r="J1099" s="2" t="s">
        <v>5</v>
      </c>
      <c r="K1099" s="2" t="s">
        <v>5</v>
      </c>
      <c r="L1099" s="2" t="s">
        <v>7</v>
      </c>
      <c r="M1099" s="1" t="s">
        <v>13568</v>
      </c>
      <c r="N1099" s="1" t="s">
        <v>13569</v>
      </c>
      <c r="O1099" s="2" t="s">
        <v>1418</v>
      </c>
      <c r="P1099" s="1" t="s">
        <v>13570</v>
      </c>
      <c r="Q1099" s="2" t="s">
        <v>1151</v>
      </c>
      <c r="R1099" s="2" t="s">
        <v>3002</v>
      </c>
      <c r="S1099" s="1" t="s">
        <v>13571</v>
      </c>
      <c r="T1099" s="2" t="s">
        <v>13</v>
      </c>
      <c r="U1099" s="3">
        <v>4</v>
      </c>
      <c r="V1099" s="3">
        <v>5</v>
      </c>
      <c r="W1099" s="4" t="s">
        <v>13572</v>
      </c>
      <c r="X1099" s="4" t="s">
        <v>13573</v>
      </c>
      <c r="Y1099" s="4" t="s">
        <v>13574</v>
      </c>
      <c r="Z1099" s="4" t="s">
        <v>13574</v>
      </c>
      <c r="AA1099" s="3">
        <v>143</v>
      </c>
      <c r="AB1099" s="3">
        <v>127</v>
      </c>
      <c r="AC1099" s="3">
        <v>127</v>
      </c>
      <c r="AD1099" s="3">
        <v>1</v>
      </c>
      <c r="AE1099" s="9">
        <v>1</v>
      </c>
      <c r="AF1099" s="9">
        <v>4</v>
      </c>
      <c r="AG1099" s="9">
        <v>4</v>
      </c>
      <c r="AH1099" s="3">
        <v>1</v>
      </c>
      <c r="AI1099" s="3">
        <v>1</v>
      </c>
      <c r="AJ1099" s="3">
        <v>1</v>
      </c>
      <c r="AK1099" s="3">
        <v>1</v>
      </c>
      <c r="AL1099" s="3">
        <v>2</v>
      </c>
      <c r="AM1099" s="3">
        <v>2</v>
      </c>
      <c r="AN1099" s="3">
        <v>0</v>
      </c>
      <c r="AO1099" s="3">
        <v>0</v>
      </c>
      <c r="AP1099" s="3">
        <v>0</v>
      </c>
      <c r="AQ1099" s="3">
        <v>0</v>
      </c>
      <c r="AR1099" s="2" t="s">
        <v>5</v>
      </c>
      <c r="AS1099" s="2" t="s">
        <v>46</v>
      </c>
      <c r="AT1099" s="5" t="str">
        <f>HYPERLINK("http://catalog.hathitrust.org/Record/002434356","HathiTrust Record")</f>
        <v>HathiTrust Record</v>
      </c>
      <c r="AU1099" s="5" t="str">
        <f>HYPERLINK("https://creighton-primo.hosted.exlibrisgroup.com/primo-explore/search?tab=default_tab&amp;search_scope=EVERYTHING&amp;vid=01CRU&amp;lang=en_US&amp;offset=0&amp;query=any,contains,991002882809702656","Catalog Record")</f>
        <v>Catalog Record</v>
      </c>
      <c r="AV1099" s="5" t="str">
        <f>HYPERLINK("http://www.worldcat.org/oclc/506667","WorldCat Record")</f>
        <v>WorldCat Record</v>
      </c>
      <c r="AW1099" s="2" t="s">
        <v>13575</v>
      </c>
      <c r="AX1099" s="2" t="s">
        <v>13576</v>
      </c>
      <c r="AY1099" s="2" t="s">
        <v>13577</v>
      </c>
      <c r="AZ1099" s="2" t="s">
        <v>13577</v>
      </c>
      <c r="BA1099" s="2" t="s">
        <v>13578</v>
      </c>
      <c r="BB1099" s="2" t="s">
        <v>20</v>
      </c>
      <c r="BE1099" s="2" t="s">
        <v>13579</v>
      </c>
      <c r="BF1099" s="2" t="s">
        <v>13580</v>
      </c>
    </row>
    <row r="1100" spans="1:58" ht="39.75" customHeight="1" x14ac:dyDescent="0.25">
      <c r="A1100" s="7" t="s">
        <v>5</v>
      </c>
      <c r="B1100" s="1" t="s">
        <v>0</v>
      </c>
      <c r="C1100" s="1" t="s">
        <v>1</v>
      </c>
      <c r="D1100" s="1" t="s">
        <v>13565</v>
      </c>
      <c r="E1100" s="1" t="s">
        <v>13566</v>
      </c>
      <c r="F1100" s="1" t="s">
        <v>13567</v>
      </c>
      <c r="G1100" s="2" t="s">
        <v>73</v>
      </c>
      <c r="H1100" s="2" t="s">
        <v>46</v>
      </c>
      <c r="I1100" s="2" t="s">
        <v>6</v>
      </c>
      <c r="J1100" s="2" t="s">
        <v>5</v>
      </c>
      <c r="K1100" s="2" t="s">
        <v>5</v>
      </c>
      <c r="L1100" s="2" t="s">
        <v>7</v>
      </c>
      <c r="M1100" s="1" t="s">
        <v>13568</v>
      </c>
      <c r="N1100" s="1" t="s">
        <v>13569</v>
      </c>
      <c r="O1100" s="2" t="s">
        <v>1418</v>
      </c>
      <c r="P1100" s="1" t="s">
        <v>13570</v>
      </c>
      <c r="Q1100" s="2" t="s">
        <v>1151</v>
      </c>
      <c r="R1100" s="2" t="s">
        <v>3002</v>
      </c>
      <c r="S1100" s="1" t="s">
        <v>13571</v>
      </c>
      <c r="T1100" s="2" t="s">
        <v>13</v>
      </c>
      <c r="U1100" s="3">
        <v>1</v>
      </c>
      <c r="V1100" s="3">
        <v>5</v>
      </c>
      <c r="W1100" s="4" t="s">
        <v>13573</v>
      </c>
      <c r="X1100" s="4" t="s">
        <v>13573</v>
      </c>
      <c r="Y1100" s="4" t="s">
        <v>13574</v>
      </c>
      <c r="Z1100" s="4" t="s">
        <v>13574</v>
      </c>
      <c r="AA1100" s="3">
        <v>143</v>
      </c>
      <c r="AB1100" s="3">
        <v>127</v>
      </c>
      <c r="AC1100" s="3">
        <v>127</v>
      </c>
      <c r="AD1100" s="3">
        <v>1</v>
      </c>
      <c r="AE1100" s="9">
        <v>1</v>
      </c>
      <c r="AF1100" s="9">
        <v>4</v>
      </c>
      <c r="AG1100" s="9">
        <v>4</v>
      </c>
      <c r="AH1100" s="3">
        <v>1</v>
      </c>
      <c r="AI1100" s="3">
        <v>1</v>
      </c>
      <c r="AJ1100" s="3">
        <v>1</v>
      </c>
      <c r="AK1100" s="3">
        <v>1</v>
      </c>
      <c r="AL1100" s="3">
        <v>2</v>
      </c>
      <c r="AM1100" s="3">
        <v>2</v>
      </c>
      <c r="AN1100" s="3">
        <v>0</v>
      </c>
      <c r="AO1100" s="3">
        <v>0</v>
      </c>
      <c r="AP1100" s="3">
        <v>0</v>
      </c>
      <c r="AQ1100" s="3">
        <v>0</v>
      </c>
      <c r="AR1100" s="2" t="s">
        <v>5</v>
      </c>
      <c r="AS1100" s="2" t="s">
        <v>46</v>
      </c>
      <c r="AT1100" s="5" t="str">
        <f>HYPERLINK("http://catalog.hathitrust.org/Record/002434356","HathiTrust Record")</f>
        <v>HathiTrust Record</v>
      </c>
      <c r="AU1100" s="5" t="str">
        <f>HYPERLINK("https://creighton-primo.hosted.exlibrisgroup.com/primo-explore/search?tab=default_tab&amp;search_scope=EVERYTHING&amp;vid=01CRU&amp;lang=en_US&amp;offset=0&amp;query=any,contains,991002882809702656","Catalog Record")</f>
        <v>Catalog Record</v>
      </c>
      <c r="AV1100" s="5" t="str">
        <f>HYPERLINK("http://www.worldcat.org/oclc/506667","WorldCat Record")</f>
        <v>WorldCat Record</v>
      </c>
      <c r="AW1100" s="2" t="s">
        <v>13575</v>
      </c>
      <c r="AX1100" s="2" t="s">
        <v>13576</v>
      </c>
      <c r="AY1100" s="2" t="s">
        <v>13577</v>
      </c>
      <c r="AZ1100" s="2" t="s">
        <v>13577</v>
      </c>
      <c r="BA1100" s="2" t="s">
        <v>13578</v>
      </c>
      <c r="BB1100" s="2" t="s">
        <v>20</v>
      </c>
      <c r="BE1100" s="2" t="s">
        <v>13581</v>
      </c>
      <c r="BF1100" s="2" t="s">
        <v>13582</v>
      </c>
    </row>
    <row r="1101" spans="1:58" ht="39.75" customHeight="1" x14ac:dyDescent="0.25">
      <c r="A1101" s="7" t="s">
        <v>5</v>
      </c>
      <c r="B1101" s="1" t="s">
        <v>0</v>
      </c>
      <c r="C1101" s="1" t="s">
        <v>1</v>
      </c>
      <c r="D1101" s="1" t="s">
        <v>13583</v>
      </c>
      <c r="E1101" s="1" t="s">
        <v>13584</v>
      </c>
      <c r="F1101" s="1" t="s">
        <v>13585</v>
      </c>
      <c r="H1101" s="2" t="s">
        <v>5</v>
      </c>
      <c r="I1101" s="2" t="s">
        <v>6</v>
      </c>
      <c r="J1101" s="2" t="s">
        <v>5</v>
      </c>
      <c r="K1101" s="2" t="s">
        <v>5</v>
      </c>
      <c r="L1101" s="2" t="s">
        <v>7</v>
      </c>
      <c r="M1101" s="1" t="s">
        <v>9972</v>
      </c>
      <c r="N1101" s="1" t="s">
        <v>13586</v>
      </c>
      <c r="O1101" s="2" t="s">
        <v>322</v>
      </c>
      <c r="Q1101" s="2" t="s">
        <v>60</v>
      </c>
      <c r="R1101" s="2" t="s">
        <v>292</v>
      </c>
      <c r="T1101" s="2" t="s">
        <v>13</v>
      </c>
      <c r="U1101" s="3">
        <v>6</v>
      </c>
      <c r="V1101" s="3">
        <v>6</v>
      </c>
      <c r="W1101" s="4" t="s">
        <v>13587</v>
      </c>
      <c r="X1101" s="4" t="s">
        <v>13587</v>
      </c>
      <c r="Y1101" s="4" t="s">
        <v>13588</v>
      </c>
      <c r="Z1101" s="4" t="s">
        <v>13588</v>
      </c>
      <c r="AA1101" s="3">
        <v>340</v>
      </c>
      <c r="AB1101" s="3">
        <v>301</v>
      </c>
      <c r="AC1101" s="3">
        <v>301</v>
      </c>
      <c r="AD1101" s="3">
        <v>2</v>
      </c>
      <c r="AE1101" s="9">
        <v>2</v>
      </c>
      <c r="AF1101" s="9">
        <v>13</v>
      </c>
      <c r="AG1101" s="9">
        <v>13</v>
      </c>
      <c r="AH1101" s="3">
        <v>2</v>
      </c>
      <c r="AI1101" s="3">
        <v>2</v>
      </c>
      <c r="AJ1101" s="3">
        <v>5</v>
      </c>
      <c r="AK1101" s="3">
        <v>5</v>
      </c>
      <c r="AL1101" s="3">
        <v>7</v>
      </c>
      <c r="AM1101" s="3">
        <v>7</v>
      </c>
      <c r="AN1101" s="3">
        <v>1</v>
      </c>
      <c r="AO1101" s="3">
        <v>1</v>
      </c>
      <c r="AP1101" s="3">
        <v>0</v>
      </c>
      <c r="AQ1101" s="3">
        <v>0</v>
      </c>
      <c r="AR1101" s="2" t="s">
        <v>5</v>
      </c>
      <c r="AS1101" s="2" t="s">
        <v>5</v>
      </c>
      <c r="AU1101" s="5" t="str">
        <f>HYPERLINK("https://creighton-primo.hosted.exlibrisgroup.com/primo-explore/search?tab=default_tab&amp;search_scope=EVERYTHING&amp;vid=01CRU&amp;lang=en_US&amp;offset=0&amp;query=any,contains,991002013199702656","Catalog Record")</f>
        <v>Catalog Record</v>
      </c>
      <c r="AV1101" s="5" t="str">
        <f>HYPERLINK("http://www.worldcat.org/oclc/25629014","WorldCat Record")</f>
        <v>WorldCat Record</v>
      </c>
      <c r="AW1101" s="2" t="s">
        <v>13589</v>
      </c>
      <c r="AX1101" s="2" t="s">
        <v>13590</v>
      </c>
      <c r="AY1101" s="2" t="s">
        <v>13591</v>
      </c>
      <c r="AZ1101" s="2" t="s">
        <v>13591</v>
      </c>
      <c r="BA1101" s="2" t="s">
        <v>13592</v>
      </c>
      <c r="BB1101" s="2" t="s">
        <v>20</v>
      </c>
      <c r="BD1101" s="2" t="s">
        <v>13593</v>
      </c>
      <c r="BE1101" s="2" t="s">
        <v>13594</v>
      </c>
      <c r="BF1101" s="2" t="s">
        <v>13595</v>
      </c>
    </row>
    <row r="1102" spans="1:58" ht="39.75" customHeight="1" x14ac:dyDescent="0.25">
      <c r="A1102" s="7" t="s">
        <v>5</v>
      </c>
      <c r="B1102" s="1" t="s">
        <v>0</v>
      </c>
      <c r="C1102" s="1" t="s">
        <v>1</v>
      </c>
      <c r="D1102" s="1" t="s">
        <v>13596</v>
      </c>
      <c r="E1102" s="1" t="s">
        <v>13597</v>
      </c>
      <c r="F1102" s="1" t="s">
        <v>13598</v>
      </c>
      <c r="H1102" s="2" t="s">
        <v>5</v>
      </c>
      <c r="I1102" s="2" t="s">
        <v>6</v>
      </c>
      <c r="J1102" s="2" t="s">
        <v>5</v>
      </c>
      <c r="K1102" s="2" t="s">
        <v>5</v>
      </c>
      <c r="L1102" s="2" t="s">
        <v>7</v>
      </c>
      <c r="M1102" s="1" t="s">
        <v>9972</v>
      </c>
      <c r="N1102" s="1" t="s">
        <v>13599</v>
      </c>
      <c r="O1102" s="2" t="s">
        <v>1515</v>
      </c>
      <c r="P1102" s="1" t="s">
        <v>2170</v>
      </c>
      <c r="Q1102" s="2" t="s">
        <v>60</v>
      </c>
      <c r="R1102" s="2" t="s">
        <v>871</v>
      </c>
      <c r="S1102" s="1" t="s">
        <v>8405</v>
      </c>
      <c r="T1102" s="2" t="s">
        <v>13</v>
      </c>
      <c r="U1102" s="3">
        <v>1</v>
      </c>
      <c r="V1102" s="3">
        <v>1</v>
      </c>
      <c r="W1102" s="4" t="s">
        <v>13587</v>
      </c>
      <c r="X1102" s="4" t="s">
        <v>13587</v>
      </c>
      <c r="Y1102" s="4" t="s">
        <v>12606</v>
      </c>
      <c r="Z1102" s="4" t="s">
        <v>12606</v>
      </c>
      <c r="AA1102" s="3">
        <v>278</v>
      </c>
      <c r="AB1102" s="3">
        <v>245</v>
      </c>
      <c r="AC1102" s="3">
        <v>252</v>
      </c>
      <c r="AD1102" s="3">
        <v>3</v>
      </c>
      <c r="AE1102" s="9">
        <v>3</v>
      </c>
      <c r="AF1102" s="9">
        <v>10</v>
      </c>
      <c r="AG1102" s="9">
        <v>10</v>
      </c>
      <c r="AH1102" s="3">
        <v>2</v>
      </c>
      <c r="AI1102" s="3">
        <v>2</v>
      </c>
      <c r="AJ1102" s="3">
        <v>3</v>
      </c>
      <c r="AK1102" s="3">
        <v>3</v>
      </c>
      <c r="AL1102" s="3">
        <v>5</v>
      </c>
      <c r="AM1102" s="3">
        <v>5</v>
      </c>
      <c r="AN1102" s="3">
        <v>2</v>
      </c>
      <c r="AO1102" s="3">
        <v>2</v>
      </c>
      <c r="AP1102" s="3">
        <v>0</v>
      </c>
      <c r="AQ1102" s="3">
        <v>0</v>
      </c>
      <c r="AR1102" s="2" t="s">
        <v>5</v>
      </c>
      <c r="AS1102" s="2" t="s">
        <v>46</v>
      </c>
      <c r="AT1102" s="5" t="str">
        <f>HYPERLINK("http://catalog.hathitrust.org/Record/000764170","HathiTrust Record")</f>
        <v>HathiTrust Record</v>
      </c>
      <c r="AU1102" s="5" t="str">
        <f>HYPERLINK("https://creighton-primo.hosted.exlibrisgroup.com/primo-explore/search?tab=default_tab&amp;search_scope=EVERYTHING&amp;vid=01CRU&amp;lang=en_US&amp;offset=0&amp;query=any,contains,991004958999702656","Catalog Record")</f>
        <v>Catalog Record</v>
      </c>
      <c r="AV1102" s="5" t="str">
        <f>HYPERLINK("http://www.worldcat.org/oclc/6298529","WorldCat Record")</f>
        <v>WorldCat Record</v>
      </c>
      <c r="AW1102" s="2" t="s">
        <v>13600</v>
      </c>
      <c r="AX1102" s="2" t="s">
        <v>13601</v>
      </c>
      <c r="AY1102" s="2" t="s">
        <v>13602</v>
      </c>
      <c r="AZ1102" s="2" t="s">
        <v>13602</v>
      </c>
      <c r="BA1102" s="2" t="s">
        <v>13603</v>
      </c>
      <c r="BB1102" s="2" t="s">
        <v>20</v>
      </c>
      <c r="BD1102" s="2" t="s">
        <v>13604</v>
      </c>
      <c r="BE1102" s="2" t="s">
        <v>13605</v>
      </c>
      <c r="BF1102" s="2" t="s">
        <v>13606</v>
      </c>
    </row>
    <row r="1103" spans="1:58" ht="39.75" customHeight="1" x14ac:dyDescent="0.25">
      <c r="A1103" s="7" t="s">
        <v>5</v>
      </c>
      <c r="B1103" s="1" t="s">
        <v>0</v>
      </c>
      <c r="C1103" s="1" t="s">
        <v>1</v>
      </c>
      <c r="D1103" s="1" t="s">
        <v>13607</v>
      </c>
      <c r="E1103" s="1" t="s">
        <v>13608</v>
      </c>
      <c r="F1103" s="1" t="s">
        <v>13609</v>
      </c>
      <c r="H1103" s="2" t="s">
        <v>5</v>
      </c>
      <c r="I1103" s="2" t="s">
        <v>6</v>
      </c>
      <c r="J1103" s="2" t="s">
        <v>5</v>
      </c>
      <c r="K1103" s="2" t="s">
        <v>5</v>
      </c>
      <c r="L1103" s="2" t="s">
        <v>7</v>
      </c>
      <c r="M1103" s="1" t="s">
        <v>13610</v>
      </c>
      <c r="N1103" s="1" t="s">
        <v>13611</v>
      </c>
      <c r="O1103" s="2" t="s">
        <v>121</v>
      </c>
      <c r="Q1103" s="2" t="s">
        <v>1151</v>
      </c>
      <c r="R1103" s="2" t="s">
        <v>4146</v>
      </c>
      <c r="S1103" s="1" t="s">
        <v>13612</v>
      </c>
      <c r="T1103" s="2" t="s">
        <v>13</v>
      </c>
      <c r="U1103" s="3">
        <v>1</v>
      </c>
      <c r="V1103" s="3">
        <v>1</v>
      </c>
      <c r="W1103" s="4" t="s">
        <v>6701</v>
      </c>
      <c r="X1103" s="4" t="s">
        <v>6701</v>
      </c>
      <c r="Y1103" s="4" t="s">
        <v>6702</v>
      </c>
      <c r="Z1103" s="4" t="s">
        <v>6702</v>
      </c>
      <c r="AA1103" s="3">
        <v>81</v>
      </c>
      <c r="AB1103" s="3">
        <v>58</v>
      </c>
      <c r="AC1103" s="3">
        <v>69</v>
      </c>
      <c r="AD1103" s="3">
        <v>2</v>
      </c>
      <c r="AE1103" s="9">
        <v>2</v>
      </c>
      <c r="AF1103" s="9">
        <v>2</v>
      </c>
      <c r="AG1103" s="9">
        <v>2</v>
      </c>
      <c r="AH1103" s="3">
        <v>0</v>
      </c>
      <c r="AI1103" s="3">
        <v>0</v>
      </c>
      <c r="AJ1103" s="3">
        <v>1</v>
      </c>
      <c r="AK1103" s="3">
        <v>1</v>
      </c>
      <c r="AL1103" s="3">
        <v>1</v>
      </c>
      <c r="AM1103" s="3">
        <v>1</v>
      </c>
      <c r="AN1103" s="3">
        <v>1</v>
      </c>
      <c r="AO1103" s="3">
        <v>1</v>
      </c>
      <c r="AP1103" s="3">
        <v>0</v>
      </c>
      <c r="AQ1103" s="3">
        <v>0</v>
      </c>
      <c r="AR1103" s="2" t="s">
        <v>5</v>
      </c>
      <c r="AS1103" s="2" t="s">
        <v>46</v>
      </c>
      <c r="AT1103" s="5" t="str">
        <f>HYPERLINK("http://catalog.hathitrust.org/Record/101388324","HathiTrust Record")</f>
        <v>HathiTrust Record</v>
      </c>
      <c r="AU1103" s="5" t="str">
        <f>HYPERLINK("https://creighton-primo.hosted.exlibrisgroup.com/primo-explore/search?tab=default_tab&amp;search_scope=EVERYTHING&amp;vid=01CRU&amp;lang=en_US&amp;offset=0&amp;query=any,contains,991003759169702656","Catalog Record")</f>
        <v>Catalog Record</v>
      </c>
      <c r="AV1103" s="5" t="str">
        <f>HYPERLINK("http://www.worldcat.org/oclc/1267504","WorldCat Record")</f>
        <v>WorldCat Record</v>
      </c>
      <c r="AW1103" s="2" t="s">
        <v>13613</v>
      </c>
      <c r="AX1103" s="2" t="s">
        <v>13614</v>
      </c>
      <c r="AY1103" s="2" t="s">
        <v>13615</v>
      </c>
      <c r="AZ1103" s="2" t="s">
        <v>13615</v>
      </c>
      <c r="BA1103" s="2" t="s">
        <v>13616</v>
      </c>
      <c r="BB1103" s="2" t="s">
        <v>20</v>
      </c>
      <c r="BE1103" s="2" t="s">
        <v>13617</v>
      </c>
      <c r="BF1103" s="2" t="s">
        <v>13618</v>
      </c>
    </row>
    <row r="1104" spans="1:58" ht="39.75" customHeight="1" x14ac:dyDescent="0.25">
      <c r="A1104" s="7" t="s">
        <v>5</v>
      </c>
      <c r="B1104" s="1" t="s">
        <v>0</v>
      </c>
      <c r="C1104" s="1" t="s">
        <v>1</v>
      </c>
      <c r="D1104" s="1" t="s">
        <v>13619</v>
      </c>
      <c r="E1104" s="1" t="s">
        <v>13620</v>
      </c>
      <c r="F1104" s="1" t="s">
        <v>13621</v>
      </c>
      <c r="H1104" s="2" t="s">
        <v>5</v>
      </c>
      <c r="I1104" s="2" t="s">
        <v>6</v>
      </c>
      <c r="J1104" s="2" t="s">
        <v>5</v>
      </c>
      <c r="K1104" s="2" t="s">
        <v>5</v>
      </c>
      <c r="L1104" s="2" t="s">
        <v>7</v>
      </c>
      <c r="M1104" s="1" t="s">
        <v>13622</v>
      </c>
      <c r="N1104" s="1" t="s">
        <v>13623</v>
      </c>
      <c r="O1104" s="2" t="s">
        <v>177</v>
      </c>
      <c r="P1104" s="1" t="s">
        <v>13624</v>
      </c>
      <c r="Q1104" s="2" t="s">
        <v>1151</v>
      </c>
      <c r="R1104" s="2" t="s">
        <v>234</v>
      </c>
      <c r="S1104" s="1" t="s">
        <v>13625</v>
      </c>
      <c r="T1104" s="2" t="s">
        <v>13</v>
      </c>
      <c r="U1104" s="3">
        <v>1</v>
      </c>
      <c r="V1104" s="3">
        <v>1</v>
      </c>
      <c r="W1104" s="4" t="s">
        <v>10532</v>
      </c>
      <c r="X1104" s="4" t="s">
        <v>10532</v>
      </c>
      <c r="Y1104" s="4" t="s">
        <v>13574</v>
      </c>
      <c r="Z1104" s="4" t="s">
        <v>13574</v>
      </c>
      <c r="AA1104" s="3">
        <v>50</v>
      </c>
      <c r="AB1104" s="3">
        <v>38</v>
      </c>
      <c r="AC1104" s="3">
        <v>162</v>
      </c>
      <c r="AD1104" s="3">
        <v>1</v>
      </c>
      <c r="AE1104" s="9">
        <v>2</v>
      </c>
      <c r="AF1104" s="9">
        <v>3</v>
      </c>
      <c r="AG1104" s="9">
        <v>7</v>
      </c>
      <c r="AH1104" s="3">
        <v>0</v>
      </c>
      <c r="AI1104" s="3">
        <v>2</v>
      </c>
      <c r="AJ1104" s="3">
        <v>2</v>
      </c>
      <c r="AK1104" s="3">
        <v>2</v>
      </c>
      <c r="AL1104" s="3">
        <v>3</v>
      </c>
      <c r="AM1104" s="3">
        <v>4</v>
      </c>
      <c r="AN1104" s="3">
        <v>0</v>
      </c>
      <c r="AO1104" s="3">
        <v>1</v>
      </c>
      <c r="AP1104" s="3">
        <v>0</v>
      </c>
      <c r="AQ1104" s="3">
        <v>0</v>
      </c>
      <c r="AR1104" s="2" t="s">
        <v>5</v>
      </c>
      <c r="AS1104" s="2" t="s">
        <v>5</v>
      </c>
      <c r="AU1104" s="5" t="str">
        <f>HYPERLINK("https://creighton-primo.hosted.exlibrisgroup.com/primo-explore/search?tab=default_tab&amp;search_scope=EVERYTHING&amp;vid=01CRU&amp;lang=en_US&amp;offset=0&amp;query=any,contains,991001973909702656","Catalog Record")</f>
        <v>Catalog Record</v>
      </c>
      <c r="AV1104" s="5" t="str">
        <f>HYPERLINK("http://www.worldcat.org/oclc/254284","WorldCat Record")</f>
        <v>WorldCat Record</v>
      </c>
      <c r="AW1104" s="2" t="s">
        <v>13626</v>
      </c>
      <c r="AX1104" s="2" t="s">
        <v>13627</v>
      </c>
      <c r="AY1104" s="2" t="s">
        <v>13628</v>
      </c>
      <c r="AZ1104" s="2" t="s">
        <v>13628</v>
      </c>
      <c r="BA1104" s="2" t="s">
        <v>13629</v>
      </c>
      <c r="BB1104" s="2" t="s">
        <v>20</v>
      </c>
      <c r="BE1104" s="2" t="s">
        <v>13630</v>
      </c>
      <c r="BF1104" s="2" t="s">
        <v>13631</v>
      </c>
    </row>
    <row r="1105" spans="1:58" ht="39.75" customHeight="1" x14ac:dyDescent="0.25">
      <c r="A1105" s="7" t="s">
        <v>5</v>
      </c>
      <c r="B1105" s="1" t="s">
        <v>0</v>
      </c>
      <c r="C1105" s="1" t="s">
        <v>1</v>
      </c>
      <c r="D1105" s="1" t="s">
        <v>13632</v>
      </c>
      <c r="E1105" s="1" t="s">
        <v>13633</v>
      </c>
      <c r="F1105" s="1" t="s">
        <v>13634</v>
      </c>
      <c r="H1105" s="2" t="s">
        <v>5</v>
      </c>
      <c r="I1105" s="2" t="s">
        <v>6</v>
      </c>
      <c r="J1105" s="2" t="s">
        <v>5</v>
      </c>
      <c r="K1105" s="2" t="s">
        <v>5</v>
      </c>
      <c r="L1105" s="2" t="s">
        <v>7</v>
      </c>
      <c r="M1105" s="1" t="s">
        <v>13622</v>
      </c>
      <c r="N1105" s="1" t="s">
        <v>13635</v>
      </c>
      <c r="O1105" s="2" t="s">
        <v>524</v>
      </c>
      <c r="P1105" s="1" t="s">
        <v>7339</v>
      </c>
      <c r="Q1105" s="2" t="s">
        <v>1151</v>
      </c>
      <c r="R1105" s="2" t="s">
        <v>234</v>
      </c>
      <c r="S1105" s="1" t="s">
        <v>13636</v>
      </c>
      <c r="T1105" s="2" t="s">
        <v>13</v>
      </c>
      <c r="U1105" s="3">
        <v>1</v>
      </c>
      <c r="V1105" s="3">
        <v>1</v>
      </c>
      <c r="W1105" s="4" t="s">
        <v>10532</v>
      </c>
      <c r="X1105" s="4" t="s">
        <v>10532</v>
      </c>
      <c r="Y1105" s="4" t="s">
        <v>13574</v>
      </c>
      <c r="Z1105" s="4" t="s">
        <v>13574</v>
      </c>
      <c r="AA1105" s="3">
        <v>75</v>
      </c>
      <c r="AB1105" s="3">
        <v>62</v>
      </c>
      <c r="AC1105" s="3">
        <v>72</v>
      </c>
      <c r="AD1105" s="3">
        <v>2</v>
      </c>
      <c r="AE1105" s="9">
        <v>2</v>
      </c>
      <c r="AF1105" s="9">
        <v>4</v>
      </c>
      <c r="AG1105" s="9">
        <v>4</v>
      </c>
      <c r="AH1105" s="3">
        <v>1</v>
      </c>
      <c r="AI1105" s="3">
        <v>1</v>
      </c>
      <c r="AJ1105" s="3">
        <v>2</v>
      </c>
      <c r="AK1105" s="3">
        <v>2</v>
      </c>
      <c r="AL1105" s="3">
        <v>2</v>
      </c>
      <c r="AM1105" s="3">
        <v>2</v>
      </c>
      <c r="AN1105" s="3">
        <v>1</v>
      </c>
      <c r="AO1105" s="3">
        <v>1</v>
      </c>
      <c r="AP1105" s="3">
        <v>0</v>
      </c>
      <c r="AQ1105" s="3">
        <v>0</v>
      </c>
      <c r="AR1105" s="2" t="s">
        <v>5</v>
      </c>
      <c r="AS1105" s="2" t="s">
        <v>46</v>
      </c>
      <c r="AT1105" s="5" t="str">
        <f>HYPERLINK("http://catalog.hathitrust.org/Record/006683757","HathiTrust Record")</f>
        <v>HathiTrust Record</v>
      </c>
      <c r="AU1105" s="5" t="str">
        <f>HYPERLINK("https://creighton-primo.hosted.exlibrisgroup.com/primo-explore/search?tab=default_tab&amp;search_scope=EVERYTHING&amp;vid=01CRU&amp;lang=en_US&amp;offset=0&amp;query=any,contains,991004027459702656","Catalog Record")</f>
        <v>Catalog Record</v>
      </c>
      <c r="AV1105" s="5" t="str">
        <f>HYPERLINK("http://www.worldcat.org/oclc/2140779","WorldCat Record")</f>
        <v>WorldCat Record</v>
      </c>
      <c r="AW1105" s="2" t="s">
        <v>13637</v>
      </c>
      <c r="AX1105" s="2" t="s">
        <v>13638</v>
      </c>
      <c r="AY1105" s="2" t="s">
        <v>13639</v>
      </c>
      <c r="AZ1105" s="2" t="s">
        <v>13639</v>
      </c>
      <c r="BA1105" s="2" t="s">
        <v>13640</v>
      </c>
      <c r="BB1105" s="2" t="s">
        <v>20</v>
      </c>
      <c r="BE1105" s="2" t="s">
        <v>13641</v>
      </c>
      <c r="BF1105" s="2" t="s">
        <v>13642</v>
      </c>
    </row>
    <row r="1106" spans="1:58" ht="39.75" customHeight="1" x14ac:dyDescent="0.25">
      <c r="A1106" s="7" t="s">
        <v>5</v>
      </c>
      <c r="B1106" s="1" t="s">
        <v>0</v>
      </c>
      <c r="C1106" s="1" t="s">
        <v>1</v>
      </c>
      <c r="D1106" s="1" t="s">
        <v>13643</v>
      </c>
      <c r="E1106" s="1" t="s">
        <v>13644</v>
      </c>
      <c r="F1106" s="1" t="s">
        <v>13645</v>
      </c>
      <c r="H1106" s="2" t="s">
        <v>5</v>
      </c>
      <c r="I1106" s="2" t="s">
        <v>6</v>
      </c>
      <c r="J1106" s="2" t="s">
        <v>5</v>
      </c>
      <c r="K1106" s="2" t="s">
        <v>46</v>
      </c>
      <c r="L1106" s="2" t="s">
        <v>7</v>
      </c>
      <c r="M1106" s="1" t="s">
        <v>13622</v>
      </c>
      <c r="N1106" s="1" t="s">
        <v>12704</v>
      </c>
      <c r="O1106" s="2" t="s">
        <v>291</v>
      </c>
      <c r="Q1106" s="2" t="s">
        <v>1151</v>
      </c>
      <c r="R1106" s="2" t="s">
        <v>4146</v>
      </c>
      <c r="S1106" s="1" t="s">
        <v>13646</v>
      </c>
      <c r="T1106" s="2" t="s">
        <v>13</v>
      </c>
      <c r="U1106" s="3">
        <v>1</v>
      </c>
      <c r="V1106" s="3">
        <v>1</v>
      </c>
      <c r="W1106" s="4" t="s">
        <v>10532</v>
      </c>
      <c r="X1106" s="4" t="s">
        <v>10532</v>
      </c>
      <c r="Y1106" s="4" t="s">
        <v>10532</v>
      </c>
      <c r="Z1106" s="4" t="s">
        <v>10532</v>
      </c>
      <c r="AA1106" s="3">
        <v>134</v>
      </c>
      <c r="AB1106" s="3">
        <v>97</v>
      </c>
      <c r="AC1106" s="3">
        <v>360</v>
      </c>
      <c r="AD1106" s="3">
        <v>2</v>
      </c>
      <c r="AE1106" s="9">
        <v>2</v>
      </c>
      <c r="AF1106" s="9">
        <v>5</v>
      </c>
      <c r="AG1106" s="9">
        <v>19</v>
      </c>
      <c r="AH1106" s="3">
        <v>1</v>
      </c>
      <c r="AI1106" s="3">
        <v>8</v>
      </c>
      <c r="AJ1106" s="3">
        <v>3</v>
      </c>
      <c r="AK1106" s="3">
        <v>5</v>
      </c>
      <c r="AL1106" s="3">
        <v>2</v>
      </c>
      <c r="AM1106" s="3">
        <v>12</v>
      </c>
      <c r="AN1106" s="3">
        <v>1</v>
      </c>
      <c r="AO1106" s="3">
        <v>1</v>
      </c>
      <c r="AP1106" s="3">
        <v>0</v>
      </c>
      <c r="AQ1106" s="3">
        <v>0</v>
      </c>
      <c r="AR1106" s="2" t="s">
        <v>5</v>
      </c>
      <c r="AS1106" s="2" t="s">
        <v>46</v>
      </c>
      <c r="AT1106" s="5" t="str">
        <f>HYPERLINK("http://catalog.hathitrust.org/Record/000030044","HathiTrust Record")</f>
        <v>HathiTrust Record</v>
      </c>
      <c r="AU1106" s="5" t="str">
        <f>HYPERLINK("https://creighton-primo.hosted.exlibrisgroup.com/primo-explore/search?tab=default_tab&amp;search_scope=EVERYTHING&amp;vid=01CRU&amp;lang=en_US&amp;offset=0&amp;query=any,contains,991003682969702656","Catalog Record")</f>
        <v>Catalog Record</v>
      </c>
      <c r="AV1106" s="5" t="str">
        <f>HYPERLINK("http://www.worldcat.org/oclc/3857065","WorldCat Record")</f>
        <v>WorldCat Record</v>
      </c>
      <c r="AW1106" s="2" t="s">
        <v>13647</v>
      </c>
      <c r="AX1106" s="2" t="s">
        <v>13648</v>
      </c>
      <c r="AY1106" s="2" t="s">
        <v>13649</v>
      </c>
      <c r="AZ1106" s="2" t="s">
        <v>13649</v>
      </c>
      <c r="BA1106" s="2" t="s">
        <v>13650</v>
      </c>
      <c r="BB1106" s="2" t="s">
        <v>20</v>
      </c>
      <c r="BE1106" s="2" t="s">
        <v>13651</v>
      </c>
      <c r="BF1106" s="2" t="s">
        <v>13652</v>
      </c>
    </row>
    <row r="1107" spans="1:58" ht="39.75" customHeight="1" x14ac:dyDescent="0.25">
      <c r="A1107" s="7" t="s">
        <v>5</v>
      </c>
      <c r="B1107" s="1" t="s">
        <v>0</v>
      </c>
      <c r="C1107" s="1" t="s">
        <v>1</v>
      </c>
      <c r="D1107" s="1" t="s">
        <v>13653</v>
      </c>
      <c r="E1107" s="1" t="s">
        <v>13654</v>
      </c>
      <c r="F1107" s="1" t="s">
        <v>13655</v>
      </c>
      <c r="H1107" s="2" t="s">
        <v>5</v>
      </c>
      <c r="I1107" s="2" t="s">
        <v>6</v>
      </c>
      <c r="J1107" s="2" t="s">
        <v>5</v>
      </c>
      <c r="K1107" s="2" t="s">
        <v>5</v>
      </c>
      <c r="L1107" s="2" t="s">
        <v>7</v>
      </c>
      <c r="M1107" s="1" t="s">
        <v>13622</v>
      </c>
      <c r="N1107" s="1" t="s">
        <v>13656</v>
      </c>
      <c r="O1107" s="2" t="s">
        <v>1418</v>
      </c>
      <c r="P1107" s="1" t="s">
        <v>6210</v>
      </c>
      <c r="Q1107" s="2" t="s">
        <v>60</v>
      </c>
      <c r="R1107" s="2" t="s">
        <v>9488</v>
      </c>
      <c r="S1107" s="1" t="s">
        <v>13657</v>
      </c>
      <c r="T1107" s="2" t="s">
        <v>13</v>
      </c>
      <c r="U1107" s="3">
        <v>1</v>
      </c>
      <c r="V1107" s="3">
        <v>1</v>
      </c>
      <c r="W1107" s="4" t="s">
        <v>10532</v>
      </c>
      <c r="X1107" s="4" t="s">
        <v>10532</v>
      </c>
      <c r="Y1107" s="4" t="s">
        <v>13574</v>
      </c>
      <c r="Z1107" s="4" t="s">
        <v>13574</v>
      </c>
      <c r="AA1107" s="3">
        <v>46</v>
      </c>
      <c r="AB1107" s="3">
        <v>31</v>
      </c>
      <c r="AC1107" s="3">
        <v>36</v>
      </c>
      <c r="AD1107" s="3">
        <v>2</v>
      </c>
      <c r="AE1107" s="9">
        <v>2</v>
      </c>
      <c r="AF1107" s="9">
        <v>1</v>
      </c>
      <c r="AG1107" s="9">
        <v>1</v>
      </c>
      <c r="AH1107" s="3">
        <v>0</v>
      </c>
      <c r="AI1107" s="3">
        <v>0</v>
      </c>
      <c r="AJ1107" s="3">
        <v>0</v>
      </c>
      <c r="AK1107" s="3">
        <v>0</v>
      </c>
      <c r="AL1107" s="3">
        <v>0</v>
      </c>
      <c r="AM1107" s="3">
        <v>0</v>
      </c>
      <c r="AN1107" s="3">
        <v>1</v>
      </c>
      <c r="AO1107" s="3">
        <v>1</v>
      </c>
      <c r="AP1107" s="3">
        <v>0</v>
      </c>
      <c r="AQ1107" s="3">
        <v>0</v>
      </c>
      <c r="AR1107" s="2" t="s">
        <v>5</v>
      </c>
      <c r="AS1107" s="2" t="s">
        <v>5</v>
      </c>
      <c r="AU1107" s="5" t="str">
        <f>HYPERLINK("https://creighton-primo.hosted.exlibrisgroup.com/primo-explore/search?tab=default_tab&amp;search_scope=EVERYTHING&amp;vid=01CRU&amp;lang=en_US&amp;offset=0&amp;query=any,contains,991003966999702656","Catalog Record")</f>
        <v>Catalog Record</v>
      </c>
      <c r="AV1107" s="5" t="str">
        <f>HYPERLINK("http://www.worldcat.org/oclc/1987032","WorldCat Record")</f>
        <v>WorldCat Record</v>
      </c>
      <c r="AW1107" s="2" t="s">
        <v>13658</v>
      </c>
      <c r="AX1107" s="2" t="s">
        <v>13659</v>
      </c>
      <c r="AY1107" s="2" t="s">
        <v>13660</v>
      </c>
      <c r="AZ1107" s="2" t="s">
        <v>13660</v>
      </c>
      <c r="BA1107" s="2" t="s">
        <v>13661</v>
      </c>
      <c r="BB1107" s="2" t="s">
        <v>20</v>
      </c>
      <c r="BE1107" s="2" t="s">
        <v>13662</v>
      </c>
      <c r="BF1107" s="2" t="s">
        <v>13663</v>
      </c>
    </row>
    <row r="1108" spans="1:58" ht="39.75" customHeight="1" x14ac:dyDescent="0.25">
      <c r="A1108" s="7" t="s">
        <v>5</v>
      </c>
      <c r="B1108" s="1" t="s">
        <v>0</v>
      </c>
      <c r="C1108" s="1" t="s">
        <v>1</v>
      </c>
      <c r="D1108" s="1" t="s">
        <v>13664</v>
      </c>
      <c r="E1108" s="1" t="s">
        <v>13665</v>
      </c>
      <c r="F1108" s="1" t="s">
        <v>13666</v>
      </c>
      <c r="H1108" s="2" t="s">
        <v>5</v>
      </c>
      <c r="I1108" s="2" t="s">
        <v>6</v>
      </c>
      <c r="J1108" s="2" t="s">
        <v>5</v>
      </c>
      <c r="K1108" s="2" t="s">
        <v>5</v>
      </c>
      <c r="L1108" s="2" t="s">
        <v>7</v>
      </c>
      <c r="M1108" s="1" t="s">
        <v>13667</v>
      </c>
      <c r="N1108" s="1" t="s">
        <v>13668</v>
      </c>
      <c r="O1108" s="2" t="s">
        <v>736</v>
      </c>
      <c r="Q1108" s="2" t="s">
        <v>1151</v>
      </c>
      <c r="R1108" s="2" t="s">
        <v>9488</v>
      </c>
      <c r="S1108" s="1" t="s">
        <v>13483</v>
      </c>
      <c r="T1108" s="2" t="s">
        <v>13</v>
      </c>
      <c r="U1108" s="3">
        <v>6</v>
      </c>
      <c r="V1108" s="3">
        <v>6</v>
      </c>
      <c r="W1108" s="4" t="s">
        <v>10532</v>
      </c>
      <c r="X1108" s="4" t="s">
        <v>10532</v>
      </c>
      <c r="Y1108" s="4" t="s">
        <v>9517</v>
      </c>
      <c r="Z1108" s="4" t="s">
        <v>9517</v>
      </c>
      <c r="AA1108" s="3">
        <v>77</v>
      </c>
      <c r="AB1108" s="3">
        <v>64</v>
      </c>
      <c r="AC1108" s="3">
        <v>64</v>
      </c>
      <c r="AD1108" s="3">
        <v>1</v>
      </c>
      <c r="AE1108" s="9">
        <v>1</v>
      </c>
      <c r="AF1108" s="9">
        <v>2</v>
      </c>
      <c r="AG1108" s="9">
        <v>2</v>
      </c>
      <c r="AH1108" s="3">
        <v>0</v>
      </c>
      <c r="AI1108" s="3">
        <v>0</v>
      </c>
      <c r="AJ1108" s="3">
        <v>1</v>
      </c>
      <c r="AK1108" s="3">
        <v>1</v>
      </c>
      <c r="AL1108" s="3">
        <v>1</v>
      </c>
      <c r="AM1108" s="3">
        <v>1</v>
      </c>
      <c r="AN1108" s="3">
        <v>0</v>
      </c>
      <c r="AO1108" s="3">
        <v>0</v>
      </c>
      <c r="AP1108" s="3">
        <v>0</v>
      </c>
      <c r="AQ1108" s="3">
        <v>0</v>
      </c>
      <c r="AR1108" s="2" t="s">
        <v>5</v>
      </c>
      <c r="AS1108" s="2" t="s">
        <v>5</v>
      </c>
      <c r="AU1108" s="5" t="str">
        <f>HYPERLINK("https://creighton-primo.hosted.exlibrisgroup.com/primo-explore/search?tab=default_tab&amp;search_scope=EVERYTHING&amp;vid=01CRU&amp;lang=en_US&amp;offset=0&amp;query=any,contains,991001937499702656","Catalog Record")</f>
        <v>Catalog Record</v>
      </c>
      <c r="AV1108" s="5" t="str">
        <f>HYPERLINK("http://www.worldcat.org/oclc/24468508","WorldCat Record")</f>
        <v>WorldCat Record</v>
      </c>
      <c r="AW1108" s="2" t="s">
        <v>13669</v>
      </c>
      <c r="AX1108" s="2" t="s">
        <v>13670</v>
      </c>
      <c r="AY1108" s="2" t="s">
        <v>13671</v>
      </c>
      <c r="AZ1108" s="2" t="s">
        <v>13671</v>
      </c>
      <c r="BA1108" s="2" t="s">
        <v>13672</v>
      </c>
      <c r="BB1108" s="2" t="s">
        <v>20</v>
      </c>
      <c r="BE1108" s="2" t="s">
        <v>13673</v>
      </c>
      <c r="BF1108" s="2" t="s">
        <v>13674</v>
      </c>
    </row>
    <row r="1109" spans="1:58" ht="39.75" customHeight="1" x14ac:dyDescent="0.25">
      <c r="A1109" s="7" t="s">
        <v>5</v>
      </c>
      <c r="B1109" s="1" t="s">
        <v>0</v>
      </c>
      <c r="C1109" s="1" t="s">
        <v>1</v>
      </c>
      <c r="D1109" s="1" t="s">
        <v>13675</v>
      </c>
      <c r="E1109" s="1" t="s">
        <v>13676</v>
      </c>
      <c r="F1109" s="1" t="s">
        <v>13677</v>
      </c>
      <c r="H1109" s="2" t="s">
        <v>5</v>
      </c>
      <c r="I1109" s="2" t="s">
        <v>6</v>
      </c>
      <c r="J1109" s="2" t="s">
        <v>5</v>
      </c>
      <c r="K1109" s="2" t="s">
        <v>5</v>
      </c>
      <c r="L1109" s="2" t="s">
        <v>7</v>
      </c>
      <c r="M1109" s="1" t="s">
        <v>13678</v>
      </c>
      <c r="N1109" s="1" t="s">
        <v>13679</v>
      </c>
      <c r="O1109" s="2" t="s">
        <v>639</v>
      </c>
      <c r="Q1109" s="2" t="s">
        <v>1151</v>
      </c>
      <c r="R1109" s="2" t="s">
        <v>4146</v>
      </c>
      <c r="S1109" s="1" t="s">
        <v>13680</v>
      </c>
      <c r="T1109" s="2" t="s">
        <v>13</v>
      </c>
      <c r="U1109" s="3">
        <v>1</v>
      </c>
      <c r="V1109" s="3">
        <v>1</v>
      </c>
      <c r="W1109" s="4" t="s">
        <v>10532</v>
      </c>
      <c r="X1109" s="4" t="s">
        <v>10532</v>
      </c>
      <c r="Y1109" s="4" t="s">
        <v>10532</v>
      </c>
      <c r="Z1109" s="4" t="s">
        <v>10532</v>
      </c>
      <c r="AA1109" s="3">
        <v>117</v>
      </c>
      <c r="AB1109" s="3">
        <v>77</v>
      </c>
      <c r="AC1109" s="3">
        <v>79</v>
      </c>
      <c r="AD1109" s="3">
        <v>2</v>
      </c>
      <c r="AE1109" s="9">
        <v>2</v>
      </c>
      <c r="AF1109" s="9">
        <v>5</v>
      </c>
      <c r="AG1109" s="9">
        <v>5</v>
      </c>
      <c r="AH1109" s="3">
        <v>0</v>
      </c>
      <c r="AI1109" s="3">
        <v>0</v>
      </c>
      <c r="AJ1109" s="3">
        <v>3</v>
      </c>
      <c r="AK1109" s="3">
        <v>3</v>
      </c>
      <c r="AL1109" s="3">
        <v>3</v>
      </c>
      <c r="AM1109" s="3">
        <v>3</v>
      </c>
      <c r="AN1109" s="3">
        <v>1</v>
      </c>
      <c r="AO1109" s="3">
        <v>1</v>
      </c>
      <c r="AP1109" s="3">
        <v>0</v>
      </c>
      <c r="AQ1109" s="3">
        <v>0</v>
      </c>
      <c r="AR1109" s="2" t="s">
        <v>5</v>
      </c>
      <c r="AS1109" s="2" t="s">
        <v>46</v>
      </c>
      <c r="AT1109" s="5" t="str">
        <f>HYPERLINK("http://catalog.hathitrust.org/Record/002791432","HathiTrust Record")</f>
        <v>HathiTrust Record</v>
      </c>
      <c r="AU1109" s="5" t="str">
        <f>HYPERLINK("https://creighton-primo.hosted.exlibrisgroup.com/primo-explore/search?tab=default_tab&amp;search_scope=EVERYTHING&amp;vid=01CRU&amp;lang=en_US&amp;offset=0&amp;query=any,contains,991003681509702656","Catalog Record")</f>
        <v>Catalog Record</v>
      </c>
      <c r="AV1109" s="5" t="str">
        <f>HYPERLINK("http://www.worldcat.org/oclc/20846842","WorldCat Record")</f>
        <v>WorldCat Record</v>
      </c>
      <c r="AW1109" s="2" t="s">
        <v>13681</v>
      </c>
      <c r="AX1109" s="2" t="s">
        <v>13682</v>
      </c>
      <c r="AY1109" s="2" t="s">
        <v>13683</v>
      </c>
      <c r="AZ1109" s="2" t="s">
        <v>13683</v>
      </c>
      <c r="BA1109" s="2" t="s">
        <v>13684</v>
      </c>
      <c r="BB1109" s="2" t="s">
        <v>20</v>
      </c>
      <c r="BD1109" s="2" t="s">
        <v>13685</v>
      </c>
      <c r="BE1109" s="2" t="s">
        <v>13686</v>
      </c>
      <c r="BF1109" s="2" t="s">
        <v>13687</v>
      </c>
    </row>
    <row r="1110" spans="1:58" ht="39.75" customHeight="1" x14ac:dyDescent="0.25">
      <c r="A1110" s="7" t="s">
        <v>5</v>
      </c>
      <c r="B1110" s="1" t="s">
        <v>0</v>
      </c>
      <c r="C1110" s="1" t="s">
        <v>1</v>
      </c>
      <c r="D1110" s="1" t="s">
        <v>13688</v>
      </c>
      <c r="E1110" s="1" t="s">
        <v>13689</v>
      </c>
      <c r="F1110" s="1" t="s">
        <v>13690</v>
      </c>
      <c r="H1110" s="2" t="s">
        <v>5</v>
      </c>
      <c r="I1110" s="2" t="s">
        <v>6</v>
      </c>
      <c r="J1110" s="2" t="s">
        <v>5</v>
      </c>
      <c r="K1110" s="2" t="s">
        <v>5</v>
      </c>
      <c r="L1110" s="2" t="s">
        <v>7</v>
      </c>
      <c r="M1110" s="1" t="s">
        <v>9485</v>
      </c>
      <c r="N1110" s="1" t="s">
        <v>13691</v>
      </c>
      <c r="O1110" s="2" t="s">
        <v>162</v>
      </c>
      <c r="P1110" s="1" t="s">
        <v>5291</v>
      </c>
      <c r="Q1110" s="2" t="s">
        <v>1151</v>
      </c>
      <c r="R1110" s="2" t="s">
        <v>1152</v>
      </c>
      <c r="S1110" s="1" t="s">
        <v>8086</v>
      </c>
      <c r="T1110" s="2" t="s">
        <v>13</v>
      </c>
      <c r="U1110" s="3">
        <v>0</v>
      </c>
      <c r="V1110" s="3">
        <v>0</v>
      </c>
      <c r="W1110" s="4" t="s">
        <v>13692</v>
      </c>
      <c r="X1110" s="4" t="s">
        <v>13692</v>
      </c>
      <c r="Y1110" s="4" t="s">
        <v>10496</v>
      </c>
      <c r="Z1110" s="4" t="s">
        <v>10496</v>
      </c>
      <c r="AA1110" s="3">
        <v>287</v>
      </c>
      <c r="AB1110" s="3">
        <v>244</v>
      </c>
      <c r="AC1110" s="3">
        <v>715</v>
      </c>
      <c r="AD1110" s="3">
        <v>3</v>
      </c>
      <c r="AE1110" s="9">
        <v>5</v>
      </c>
      <c r="AF1110" s="9">
        <v>6</v>
      </c>
      <c r="AG1110" s="9">
        <v>33</v>
      </c>
      <c r="AH1110" s="3">
        <v>1</v>
      </c>
      <c r="AI1110" s="3">
        <v>15</v>
      </c>
      <c r="AJ1110" s="3">
        <v>2</v>
      </c>
      <c r="AK1110" s="3">
        <v>9</v>
      </c>
      <c r="AL1110" s="3">
        <v>2</v>
      </c>
      <c r="AM1110" s="3">
        <v>13</v>
      </c>
      <c r="AN1110" s="3">
        <v>2</v>
      </c>
      <c r="AO1110" s="3">
        <v>4</v>
      </c>
      <c r="AP1110" s="3">
        <v>0</v>
      </c>
      <c r="AQ1110" s="3">
        <v>0</v>
      </c>
      <c r="AR1110" s="2" t="s">
        <v>5</v>
      </c>
      <c r="AS1110" s="2" t="s">
        <v>46</v>
      </c>
      <c r="AT1110" s="5" t="str">
        <f>HYPERLINK("http://catalog.hathitrust.org/Record/000761749","HathiTrust Record")</f>
        <v>HathiTrust Record</v>
      </c>
      <c r="AU1110" s="5" t="str">
        <f>HYPERLINK("https://creighton-primo.hosted.exlibrisgroup.com/primo-explore/search?tab=default_tab&amp;search_scope=EVERYTHING&amp;vid=01CRU&amp;lang=en_US&amp;offset=0&amp;query=any,contains,991002199679702656","Catalog Record")</f>
        <v>Catalog Record</v>
      </c>
      <c r="AV1110" s="5" t="str">
        <f>HYPERLINK("http://www.worldcat.org/oclc/283929","WorldCat Record")</f>
        <v>WorldCat Record</v>
      </c>
      <c r="AW1110" s="2" t="s">
        <v>13693</v>
      </c>
      <c r="AX1110" s="2" t="s">
        <v>13694</v>
      </c>
      <c r="AY1110" s="2" t="s">
        <v>13695</v>
      </c>
      <c r="AZ1110" s="2" t="s">
        <v>13695</v>
      </c>
      <c r="BA1110" s="2" t="s">
        <v>13696</v>
      </c>
      <c r="BB1110" s="2" t="s">
        <v>20</v>
      </c>
      <c r="BE1110" s="2" t="s">
        <v>13697</v>
      </c>
      <c r="BF1110" s="2" t="s">
        <v>13698</v>
      </c>
    </row>
    <row r="1111" spans="1:58" ht="39.75" customHeight="1" x14ac:dyDescent="0.25">
      <c r="A1111" s="7" t="s">
        <v>5</v>
      </c>
      <c r="B1111" s="1" t="s">
        <v>0</v>
      </c>
      <c r="C1111" s="1" t="s">
        <v>1</v>
      </c>
      <c r="D1111" s="1" t="s">
        <v>13699</v>
      </c>
      <c r="E1111" s="1" t="s">
        <v>13700</v>
      </c>
      <c r="F1111" s="1" t="s">
        <v>13701</v>
      </c>
      <c r="H1111" s="2" t="s">
        <v>5</v>
      </c>
      <c r="I1111" s="2" t="s">
        <v>6</v>
      </c>
      <c r="J1111" s="2" t="s">
        <v>5</v>
      </c>
      <c r="K1111" s="2" t="s">
        <v>5</v>
      </c>
      <c r="L1111" s="2" t="s">
        <v>7</v>
      </c>
      <c r="M1111" s="1" t="s">
        <v>13702</v>
      </c>
      <c r="N1111" s="1" t="s">
        <v>13703</v>
      </c>
      <c r="O1111" s="2" t="s">
        <v>3817</v>
      </c>
      <c r="P1111" s="1" t="s">
        <v>13704</v>
      </c>
      <c r="Q1111" s="2" t="s">
        <v>1151</v>
      </c>
      <c r="R1111" s="2" t="s">
        <v>9488</v>
      </c>
      <c r="S1111" s="1" t="s">
        <v>13470</v>
      </c>
      <c r="T1111" s="2" t="s">
        <v>13</v>
      </c>
      <c r="U1111" s="3">
        <v>1</v>
      </c>
      <c r="V1111" s="3">
        <v>1</v>
      </c>
      <c r="W1111" s="4" t="s">
        <v>11207</v>
      </c>
      <c r="X1111" s="4" t="s">
        <v>11207</v>
      </c>
      <c r="Y1111" s="4" t="s">
        <v>11207</v>
      </c>
      <c r="Z1111" s="4" t="s">
        <v>11207</v>
      </c>
      <c r="AA1111" s="3">
        <v>93</v>
      </c>
      <c r="AB1111" s="3">
        <v>71</v>
      </c>
      <c r="AC1111" s="3">
        <v>71</v>
      </c>
      <c r="AD1111" s="3">
        <v>1</v>
      </c>
      <c r="AE1111" s="9">
        <v>1</v>
      </c>
      <c r="AF1111" s="9">
        <v>2</v>
      </c>
      <c r="AG1111" s="9">
        <v>2</v>
      </c>
      <c r="AH1111" s="3">
        <v>0</v>
      </c>
      <c r="AI1111" s="3">
        <v>0</v>
      </c>
      <c r="AJ1111" s="3">
        <v>1</v>
      </c>
      <c r="AK1111" s="3">
        <v>1</v>
      </c>
      <c r="AL1111" s="3">
        <v>2</v>
      </c>
      <c r="AM1111" s="3">
        <v>2</v>
      </c>
      <c r="AN1111" s="3">
        <v>0</v>
      </c>
      <c r="AO1111" s="3">
        <v>0</v>
      </c>
      <c r="AP1111" s="3">
        <v>0</v>
      </c>
      <c r="AQ1111" s="3">
        <v>0</v>
      </c>
      <c r="AR1111" s="2" t="s">
        <v>5</v>
      </c>
      <c r="AS1111" s="2" t="s">
        <v>5</v>
      </c>
      <c r="AU1111" s="5" t="str">
        <f>HYPERLINK("https://creighton-primo.hosted.exlibrisgroup.com/primo-explore/search?tab=default_tab&amp;search_scope=EVERYTHING&amp;vid=01CRU&amp;lang=en_US&amp;offset=0&amp;query=any,contains,991004027909702656","Catalog Record")</f>
        <v>Catalog Record</v>
      </c>
      <c r="AV1111" s="5" t="str">
        <f>HYPERLINK("http://www.worldcat.org/oclc/37655032","WorldCat Record")</f>
        <v>WorldCat Record</v>
      </c>
      <c r="AW1111" s="2" t="s">
        <v>13705</v>
      </c>
      <c r="AX1111" s="2" t="s">
        <v>13706</v>
      </c>
      <c r="AY1111" s="2" t="s">
        <v>13707</v>
      </c>
      <c r="AZ1111" s="2" t="s">
        <v>13707</v>
      </c>
      <c r="BA1111" s="2" t="s">
        <v>13708</v>
      </c>
      <c r="BB1111" s="2" t="s">
        <v>20</v>
      </c>
      <c r="BD1111" s="2" t="s">
        <v>13709</v>
      </c>
      <c r="BE1111" s="2" t="s">
        <v>13710</v>
      </c>
      <c r="BF1111" s="2" t="s">
        <v>13711</v>
      </c>
    </row>
    <row r="1112" spans="1:58" ht="39.75" customHeight="1" x14ac:dyDescent="0.25">
      <c r="A1112" s="7" t="s">
        <v>5</v>
      </c>
      <c r="B1112" s="1" t="s">
        <v>0</v>
      </c>
      <c r="C1112" s="1" t="s">
        <v>1</v>
      </c>
      <c r="D1112" s="1" t="s">
        <v>13712</v>
      </c>
      <c r="E1112" s="1" t="s">
        <v>13713</v>
      </c>
      <c r="F1112" s="1" t="s">
        <v>13714</v>
      </c>
      <c r="H1112" s="2" t="s">
        <v>5</v>
      </c>
      <c r="I1112" s="2" t="s">
        <v>6</v>
      </c>
      <c r="J1112" s="2" t="s">
        <v>5</v>
      </c>
      <c r="K1112" s="2" t="s">
        <v>5</v>
      </c>
      <c r="L1112" s="2" t="s">
        <v>7</v>
      </c>
      <c r="M1112" s="1" t="s">
        <v>13715</v>
      </c>
      <c r="N1112" s="1" t="s">
        <v>13716</v>
      </c>
      <c r="O1112" s="2" t="s">
        <v>3817</v>
      </c>
      <c r="Q1112" s="2" t="s">
        <v>1151</v>
      </c>
      <c r="R1112" s="2" t="s">
        <v>9488</v>
      </c>
      <c r="S1112" s="1" t="s">
        <v>13717</v>
      </c>
      <c r="T1112" s="2" t="s">
        <v>13</v>
      </c>
      <c r="U1112" s="3">
        <v>1</v>
      </c>
      <c r="V1112" s="3">
        <v>1</v>
      </c>
      <c r="W1112" s="4" t="s">
        <v>1338</v>
      </c>
      <c r="X1112" s="4" t="s">
        <v>1338</v>
      </c>
      <c r="Y1112" s="4" t="s">
        <v>1338</v>
      </c>
      <c r="Z1112" s="4" t="s">
        <v>1338</v>
      </c>
      <c r="AA1112" s="3">
        <v>82</v>
      </c>
      <c r="AB1112" s="3">
        <v>63</v>
      </c>
      <c r="AC1112" s="3">
        <v>70</v>
      </c>
      <c r="AD1112" s="3">
        <v>2</v>
      </c>
      <c r="AE1112" s="9">
        <v>2</v>
      </c>
      <c r="AF1112" s="9">
        <v>2</v>
      </c>
      <c r="AG1112" s="9">
        <v>2</v>
      </c>
      <c r="AH1112" s="3">
        <v>0</v>
      </c>
      <c r="AI1112" s="3">
        <v>0</v>
      </c>
      <c r="AJ1112" s="3">
        <v>1</v>
      </c>
      <c r="AK1112" s="3">
        <v>1</v>
      </c>
      <c r="AL1112" s="3">
        <v>1</v>
      </c>
      <c r="AM1112" s="3">
        <v>1</v>
      </c>
      <c r="AN1112" s="3">
        <v>1</v>
      </c>
      <c r="AO1112" s="3">
        <v>1</v>
      </c>
      <c r="AP1112" s="3">
        <v>0</v>
      </c>
      <c r="AQ1112" s="3">
        <v>0</v>
      </c>
      <c r="AR1112" s="2" t="s">
        <v>5</v>
      </c>
      <c r="AS1112" s="2" t="s">
        <v>46</v>
      </c>
      <c r="AT1112" s="5" t="str">
        <f>HYPERLINK("http://catalog.hathitrust.org/Record/003300263","HathiTrust Record")</f>
        <v>HathiTrust Record</v>
      </c>
      <c r="AU1112" s="5" t="str">
        <f>HYPERLINK("https://creighton-primo.hosted.exlibrisgroup.com/primo-explore/search?tab=default_tab&amp;search_scope=EVERYTHING&amp;vid=01CRU&amp;lang=en_US&amp;offset=0&amp;query=any,contains,991003721099702656","Catalog Record")</f>
        <v>Catalog Record</v>
      </c>
      <c r="AV1112" s="5" t="str">
        <f>HYPERLINK("http://www.worldcat.org/oclc/38574332","WorldCat Record")</f>
        <v>WorldCat Record</v>
      </c>
      <c r="AW1112" s="2" t="s">
        <v>13718</v>
      </c>
      <c r="AX1112" s="2" t="s">
        <v>13719</v>
      </c>
      <c r="AY1112" s="2" t="s">
        <v>13720</v>
      </c>
      <c r="AZ1112" s="2" t="s">
        <v>13720</v>
      </c>
      <c r="BA1112" s="2" t="s">
        <v>13721</v>
      </c>
      <c r="BB1112" s="2" t="s">
        <v>20</v>
      </c>
      <c r="BE1112" s="2" t="s">
        <v>13722</v>
      </c>
      <c r="BF1112" s="2" t="s">
        <v>13723</v>
      </c>
    </row>
    <row r="1113" spans="1:58" ht="39.75" customHeight="1" x14ac:dyDescent="0.25">
      <c r="A1113" s="7" t="s">
        <v>5</v>
      </c>
      <c r="B1113" s="1" t="s">
        <v>0</v>
      </c>
      <c r="C1113" s="1" t="s">
        <v>1</v>
      </c>
      <c r="D1113" s="1" t="s">
        <v>13724</v>
      </c>
      <c r="E1113" s="1" t="s">
        <v>13725</v>
      </c>
      <c r="F1113" s="1" t="s">
        <v>13726</v>
      </c>
      <c r="H1113" s="2" t="s">
        <v>5</v>
      </c>
      <c r="I1113" s="2" t="s">
        <v>6</v>
      </c>
      <c r="J1113" s="2" t="s">
        <v>5</v>
      </c>
      <c r="K1113" s="2" t="s">
        <v>5</v>
      </c>
      <c r="L1113" s="2" t="s">
        <v>7</v>
      </c>
      <c r="M1113" s="1" t="s">
        <v>13727</v>
      </c>
      <c r="N1113" s="1" t="s">
        <v>13728</v>
      </c>
      <c r="O1113" s="2" t="s">
        <v>261</v>
      </c>
      <c r="Q1113" s="2" t="s">
        <v>60</v>
      </c>
      <c r="R1113" s="2" t="s">
        <v>5056</v>
      </c>
      <c r="S1113" s="1" t="s">
        <v>13729</v>
      </c>
      <c r="T1113" s="2" t="s">
        <v>13</v>
      </c>
      <c r="U1113" s="3">
        <v>1</v>
      </c>
      <c r="V1113" s="3">
        <v>1</v>
      </c>
      <c r="W1113" s="4" t="s">
        <v>9883</v>
      </c>
      <c r="X1113" s="4" t="s">
        <v>9883</v>
      </c>
      <c r="Y1113" s="4" t="s">
        <v>9883</v>
      </c>
      <c r="Z1113" s="4" t="s">
        <v>9883</v>
      </c>
      <c r="AA1113" s="3">
        <v>117</v>
      </c>
      <c r="AB1113" s="3">
        <v>83</v>
      </c>
      <c r="AC1113" s="3">
        <v>91</v>
      </c>
      <c r="AD1113" s="3">
        <v>2</v>
      </c>
      <c r="AE1113" s="9">
        <v>2</v>
      </c>
      <c r="AF1113" s="9">
        <v>3</v>
      </c>
      <c r="AG1113" s="9">
        <v>3</v>
      </c>
      <c r="AH1113" s="3">
        <v>0</v>
      </c>
      <c r="AI1113" s="3">
        <v>0</v>
      </c>
      <c r="AJ1113" s="3">
        <v>0</v>
      </c>
      <c r="AK1113" s="3">
        <v>0</v>
      </c>
      <c r="AL1113" s="3">
        <v>2</v>
      </c>
      <c r="AM1113" s="3">
        <v>2</v>
      </c>
      <c r="AN1113" s="3">
        <v>1</v>
      </c>
      <c r="AO1113" s="3">
        <v>1</v>
      </c>
      <c r="AP1113" s="3">
        <v>0</v>
      </c>
      <c r="AQ1113" s="3">
        <v>0</v>
      </c>
      <c r="AR1113" s="2" t="s">
        <v>5</v>
      </c>
      <c r="AS1113" s="2" t="s">
        <v>46</v>
      </c>
      <c r="AT1113" s="5" t="str">
        <f>HYPERLINK("http://catalog.hathitrust.org/Record/004531446","HathiTrust Record")</f>
        <v>HathiTrust Record</v>
      </c>
      <c r="AU1113" s="5" t="str">
        <f>HYPERLINK("https://creighton-primo.hosted.exlibrisgroup.com/primo-explore/search?tab=default_tab&amp;search_scope=EVERYTHING&amp;vid=01CRU&amp;lang=en_US&amp;offset=0&amp;query=any,contains,991004027789702656","Catalog Record")</f>
        <v>Catalog Record</v>
      </c>
      <c r="AV1113" s="5" t="str">
        <f>HYPERLINK("http://www.worldcat.org/oclc/9539104","WorldCat Record")</f>
        <v>WorldCat Record</v>
      </c>
      <c r="AW1113" s="2" t="s">
        <v>13730</v>
      </c>
      <c r="AX1113" s="2" t="s">
        <v>13731</v>
      </c>
      <c r="AY1113" s="2" t="s">
        <v>13732</v>
      </c>
      <c r="AZ1113" s="2" t="s">
        <v>13732</v>
      </c>
      <c r="BA1113" s="2" t="s">
        <v>13733</v>
      </c>
      <c r="BB1113" s="2" t="s">
        <v>20</v>
      </c>
      <c r="BE1113" s="2" t="s">
        <v>13734</v>
      </c>
      <c r="BF1113" s="2" t="s">
        <v>13735</v>
      </c>
    </row>
    <row r="1114" spans="1:58" ht="39.75" customHeight="1" x14ac:dyDescent="0.25">
      <c r="A1114" s="7" t="s">
        <v>5</v>
      </c>
      <c r="B1114" s="1" t="s">
        <v>0</v>
      </c>
      <c r="C1114" s="1" t="s">
        <v>1</v>
      </c>
      <c r="D1114" s="1" t="s">
        <v>13736</v>
      </c>
      <c r="E1114" s="1" t="s">
        <v>13737</v>
      </c>
      <c r="F1114" s="1" t="s">
        <v>13738</v>
      </c>
      <c r="H1114" s="2" t="s">
        <v>5</v>
      </c>
      <c r="I1114" s="2" t="s">
        <v>6</v>
      </c>
      <c r="J1114" s="2" t="s">
        <v>5</v>
      </c>
      <c r="K1114" s="2" t="s">
        <v>5</v>
      </c>
      <c r="L1114" s="2" t="s">
        <v>7</v>
      </c>
      <c r="M1114" s="1" t="s">
        <v>13739</v>
      </c>
      <c r="N1114" s="1" t="s">
        <v>13740</v>
      </c>
      <c r="O1114" s="2" t="s">
        <v>3817</v>
      </c>
      <c r="Q1114" s="2" t="s">
        <v>1151</v>
      </c>
      <c r="R1114" s="2" t="s">
        <v>9488</v>
      </c>
      <c r="T1114" s="2" t="s">
        <v>13</v>
      </c>
      <c r="U1114" s="3">
        <v>1</v>
      </c>
      <c r="V1114" s="3">
        <v>1</v>
      </c>
      <c r="W1114" s="4" t="s">
        <v>11207</v>
      </c>
      <c r="X1114" s="4" t="s">
        <v>11207</v>
      </c>
      <c r="Y1114" s="4" t="s">
        <v>11207</v>
      </c>
      <c r="Z1114" s="4" t="s">
        <v>11207</v>
      </c>
      <c r="AA1114" s="3">
        <v>73</v>
      </c>
      <c r="AB1114" s="3">
        <v>66</v>
      </c>
      <c r="AC1114" s="3">
        <v>71</v>
      </c>
      <c r="AD1114" s="3">
        <v>1</v>
      </c>
      <c r="AE1114" s="9">
        <v>1</v>
      </c>
      <c r="AF1114" s="9">
        <v>3</v>
      </c>
      <c r="AG1114" s="9">
        <v>3</v>
      </c>
      <c r="AH1114" s="3">
        <v>0</v>
      </c>
      <c r="AI1114" s="3">
        <v>0</v>
      </c>
      <c r="AJ1114" s="3">
        <v>1</v>
      </c>
      <c r="AK1114" s="3">
        <v>1</v>
      </c>
      <c r="AL1114" s="3">
        <v>3</v>
      </c>
      <c r="AM1114" s="3">
        <v>3</v>
      </c>
      <c r="AN1114" s="3">
        <v>0</v>
      </c>
      <c r="AO1114" s="3">
        <v>0</v>
      </c>
      <c r="AP1114" s="3">
        <v>0</v>
      </c>
      <c r="AQ1114" s="3">
        <v>0</v>
      </c>
      <c r="AR1114" s="2" t="s">
        <v>5</v>
      </c>
      <c r="AS1114" s="2" t="s">
        <v>46</v>
      </c>
      <c r="AT1114" s="5" t="str">
        <f>HYPERLINK("http://catalog.hathitrust.org/Record/003979449","HathiTrust Record")</f>
        <v>HathiTrust Record</v>
      </c>
      <c r="AU1114" s="5" t="str">
        <f>HYPERLINK("https://creighton-primo.hosted.exlibrisgroup.com/primo-explore/search?tab=default_tab&amp;search_scope=EVERYTHING&amp;vid=01CRU&amp;lang=en_US&amp;offset=0&amp;query=any,contains,991004028259702656","Catalog Record")</f>
        <v>Catalog Record</v>
      </c>
      <c r="AV1114" s="5" t="str">
        <f>HYPERLINK("http://www.worldcat.org/oclc/38753150","WorldCat Record")</f>
        <v>WorldCat Record</v>
      </c>
      <c r="AW1114" s="2" t="s">
        <v>13741</v>
      </c>
      <c r="AX1114" s="2" t="s">
        <v>13742</v>
      </c>
      <c r="AY1114" s="2" t="s">
        <v>13743</v>
      </c>
      <c r="AZ1114" s="2" t="s">
        <v>13743</v>
      </c>
      <c r="BA1114" s="2" t="s">
        <v>13744</v>
      </c>
      <c r="BB1114" s="2" t="s">
        <v>20</v>
      </c>
      <c r="BE1114" s="2" t="s">
        <v>13745</v>
      </c>
      <c r="BF1114" s="2" t="s">
        <v>13746</v>
      </c>
    </row>
    <row r="1115" spans="1:58" ht="39.75" customHeight="1" x14ac:dyDescent="0.25">
      <c r="A1115" s="7" t="s">
        <v>5</v>
      </c>
      <c r="B1115" s="1" t="s">
        <v>0</v>
      </c>
      <c r="C1115" s="1" t="s">
        <v>1</v>
      </c>
      <c r="D1115" s="1" t="s">
        <v>13747</v>
      </c>
      <c r="E1115" s="1" t="s">
        <v>13748</v>
      </c>
      <c r="F1115" s="1" t="s">
        <v>13749</v>
      </c>
      <c r="H1115" s="2" t="s">
        <v>5</v>
      </c>
      <c r="I1115" s="2" t="s">
        <v>6</v>
      </c>
      <c r="J1115" s="2" t="s">
        <v>5</v>
      </c>
      <c r="K1115" s="2" t="s">
        <v>5</v>
      </c>
      <c r="L1115" s="2" t="s">
        <v>7</v>
      </c>
      <c r="M1115" s="1" t="s">
        <v>13750</v>
      </c>
      <c r="N1115" s="1" t="s">
        <v>13751</v>
      </c>
      <c r="O1115" s="2" t="s">
        <v>584</v>
      </c>
      <c r="Q1115" s="2" t="s">
        <v>1151</v>
      </c>
      <c r="R1115" s="2" t="s">
        <v>1152</v>
      </c>
      <c r="S1115" s="1" t="s">
        <v>13752</v>
      </c>
      <c r="T1115" s="2" t="s">
        <v>13</v>
      </c>
      <c r="U1115" s="3">
        <v>4</v>
      </c>
      <c r="V1115" s="3">
        <v>4</v>
      </c>
      <c r="W1115" s="4" t="s">
        <v>13753</v>
      </c>
      <c r="X1115" s="4" t="s">
        <v>13753</v>
      </c>
      <c r="Y1115" s="4" t="s">
        <v>13574</v>
      </c>
      <c r="Z1115" s="4" t="s">
        <v>13574</v>
      </c>
      <c r="AA1115" s="3">
        <v>104</v>
      </c>
      <c r="AB1115" s="3">
        <v>81</v>
      </c>
      <c r="AC1115" s="3">
        <v>88</v>
      </c>
      <c r="AD1115" s="3">
        <v>2</v>
      </c>
      <c r="AE1115" s="9">
        <v>2</v>
      </c>
      <c r="AF1115" s="9">
        <v>4</v>
      </c>
      <c r="AG1115" s="9">
        <v>4</v>
      </c>
      <c r="AH1115" s="3">
        <v>1</v>
      </c>
      <c r="AI1115" s="3">
        <v>1</v>
      </c>
      <c r="AJ1115" s="3">
        <v>1</v>
      </c>
      <c r="AK1115" s="3">
        <v>1</v>
      </c>
      <c r="AL1115" s="3">
        <v>1</v>
      </c>
      <c r="AM1115" s="3">
        <v>1</v>
      </c>
      <c r="AN1115" s="3">
        <v>1</v>
      </c>
      <c r="AO1115" s="3">
        <v>1</v>
      </c>
      <c r="AP1115" s="3">
        <v>0</v>
      </c>
      <c r="AQ1115" s="3">
        <v>0</v>
      </c>
      <c r="AR1115" s="2" t="s">
        <v>5</v>
      </c>
      <c r="AS1115" s="2" t="s">
        <v>46</v>
      </c>
      <c r="AT1115" s="5" t="str">
        <f>HYPERLINK("http://catalog.hathitrust.org/Record/001051943","HathiTrust Record")</f>
        <v>HathiTrust Record</v>
      </c>
      <c r="AU1115" s="5" t="str">
        <f>HYPERLINK("https://creighton-primo.hosted.exlibrisgroup.com/primo-explore/search?tab=default_tab&amp;search_scope=EVERYTHING&amp;vid=01CRU&amp;lang=en_US&amp;offset=0&amp;query=any,contains,991004166419702656","Catalog Record")</f>
        <v>Catalog Record</v>
      </c>
      <c r="AV1115" s="5" t="str">
        <f>HYPERLINK("http://www.worldcat.org/oclc/2567892","WorldCat Record")</f>
        <v>WorldCat Record</v>
      </c>
      <c r="AW1115" s="2" t="s">
        <v>13754</v>
      </c>
      <c r="AX1115" s="2" t="s">
        <v>13755</v>
      </c>
      <c r="AY1115" s="2" t="s">
        <v>13756</v>
      </c>
      <c r="AZ1115" s="2" t="s">
        <v>13756</v>
      </c>
      <c r="BA1115" s="2" t="s">
        <v>13757</v>
      </c>
      <c r="BB1115" s="2" t="s">
        <v>20</v>
      </c>
      <c r="BE1115" s="2" t="s">
        <v>13758</v>
      </c>
      <c r="BF1115" s="2" t="s">
        <v>13759</v>
      </c>
    </row>
    <row r="1116" spans="1:58" ht="39.75" customHeight="1" x14ac:dyDescent="0.25">
      <c r="A1116" s="7" t="s">
        <v>5</v>
      </c>
      <c r="B1116" s="1" t="s">
        <v>0</v>
      </c>
      <c r="C1116" s="1" t="s">
        <v>1</v>
      </c>
      <c r="D1116" s="1" t="s">
        <v>13760</v>
      </c>
      <c r="E1116" s="1" t="s">
        <v>13761</v>
      </c>
      <c r="F1116" s="1" t="s">
        <v>13762</v>
      </c>
      <c r="H1116" s="2" t="s">
        <v>5</v>
      </c>
      <c r="I1116" s="2" t="s">
        <v>6</v>
      </c>
      <c r="J1116" s="2" t="s">
        <v>5</v>
      </c>
      <c r="K1116" s="2" t="s">
        <v>46</v>
      </c>
      <c r="L1116" s="2" t="s">
        <v>7</v>
      </c>
      <c r="M1116" s="1" t="s">
        <v>13763</v>
      </c>
      <c r="N1116" s="1" t="s">
        <v>13764</v>
      </c>
      <c r="O1116" s="2" t="s">
        <v>322</v>
      </c>
      <c r="P1116" s="1" t="s">
        <v>5911</v>
      </c>
      <c r="Q1116" s="2" t="s">
        <v>1151</v>
      </c>
      <c r="R1116" s="2" t="s">
        <v>4146</v>
      </c>
      <c r="S1116" s="1" t="s">
        <v>9773</v>
      </c>
      <c r="T1116" s="2" t="s">
        <v>13</v>
      </c>
      <c r="U1116" s="3">
        <v>1</v>
      </c>
      <c r="V1116" s="3">
        <v>1</v>
      </c>
      <c r="W1116" s="4" t="s">
        <v>5417</v>
      </c>
      <c r="X1116" s="4" t="s">
        <v>5417</v>
      </c>
      <c r="Y1116" s="4" t="s">
        <v>5417</v>
      </c>
      <c r="Z1116" s="4" t="s">
        <v>5417</v>
      </c>
      <c r="AA1116" s="3">
        <v>78</v>
      </c>
      <c r="AB1116" s="3">
        <v>62</v>
      </c>
      <c r="AC1116" s="3">
        <v>138</v>
      </c>
      <c r="AD1116" s="3">
        <v>1</v>
      </c>
      <c r="AE1116" s="9">
        <v>1</v>
      </c>
      <c r="AF1116" s="9">
        <v>0</v>
      </c>
      <c r="AG1116" s="9">
        <v>2</v>
      </c>
      <c r="AH1116" s="3">
        <v>0</v>
      </c>
      <c r="AI1116" s="3">
        <v>1</v>
      </c>
      <c r="AJ1116" s="3">
        <v>0</v>
      </c>
      <c r="AK1116" s="3">
        <v>1</v>
      </c>
      <c r="AL1116" s="3">
        <v>0</v>
      </c>
      <c r="AM1116" s="3">
        <v>0</v>
      </c>
      <c r="AN1116" s="3">
        <v>0</v>
      </c>
      <c r="AO1116" s="3">
        <v>0</v>
      </c>
      <c r="AP1116" s="3">
        <v>0</v>
      </c>
      <c r="AQ1116" s="3">
        <v>0</v>
      </c>
      <c r="AR1116" s="2" t="s">
        <v>5</v>
      </c>
      <c r="AS1116" s="2" t="s">
        <v>5</v>
      </c>
      <c r="AU1116" s="5" t="str">
        <f>HYPERLINK("https://creighton-primo.hosted.exlibrisgroup.com/primo-explore/search?tab=default_tab&amp;search_scope=EVERYTHING&amp;vid=01CRU&amp;lang=en_US&amp;offset=0&amp;query=any,contains,991003816709702656","Catalog Record")</f>
        <v>Catalog Record</v>
      </c>
      <c r="AV1116" s="5" t="str">
        <f>HYPERLINK("http://www.worldcat.org/oclc/30676056","WorldCat Record")</f>
        <v>WorldCat Record</v>
      </c>
      <c r="AW1116" s="2" t="s">
        <v>13765</v>
      </c>
      <c r="AX1116" s="2" t="s">
        <v>13766</v>
      </c>
      <c r="AY1116" s="2" t="s">
        <v>13767</v>
      </c>
      <c r="AZ1116" s="2" t="s">
        <v>13767</v>
      </c>
      <c r="BA1116" s="2" t="s">
        <v>13768</v>
      </c>
      <c r="BB1116" s="2" t="s">
        <v>20</v>
      </c>
      <c r="BD1116" s="2" t="s">
        <v>13769</v>
      </c>
      <c r="BE1116" s="2" t="s">
        <v>13770</v>
      </c>
      <c r="BF1116" s="2" t="s">
        <v>13771</v>
      </c>
    </row>
    <row r="1117" spans="1:58" ht="39.75" customHeight="1" x14ac:dyDescent="0.25">
      <c r="A1117" s="7" t="s">
        <v>5</v>
      </c>
      <c r="B1117" s="1" t="s">
        <v>0</v>
      </c>
      <c r="C1117" s="1" t="s">
        <v>1</v>
      </c>
      <c r="D1117" s="1" t="s">
        <v>13772</v>
      </c>
      <c r="E1117" s="1" t="s">
        <v>13773</v>
      </c>
      <c r="F1117" s="1" t="s">
        <v>13762</v>
      </c>
      <c r="H1117" s="2" t="s">
        <v>5</v>
      </c>
      <c r="I1117" s="2" t="s">
        <v>6</v>
      </c>
      <c r="J1117" s="2" t="s">
        <v>5</v>
      </c>
      <c r="K1117" s="2" t="s">
        <v>46</v>
      </c>
      <c r="L1117" s="2" t="s">
        <v>7</v>
      </c>
      <c r="M1117" s="1" t="s">
        <v>13763</v>
      </c>
      <c r="N1117" s="1" t="s">
        <v>13774</v>
      </c>
      <c r="O1117" s="2" t="s">
        <v>322</v>
      </c>
      <c r="P1117" s="1" t="s">
        <v>2908</v>
      </c>
      <c r="Q1117" s="2" t="s">
        <v>1151</v>
      </c>
      <c r="R1117" s="2" t="s">
        <v>4146</v>
      </c>
      <c r="S1117" s="1" t="s">
        <v>10033</v>
      </c>
      <c r="T1117" s="2" t="s">
        <v>13</v>
      </c>
      <c r="U1117" s="3">
        <v>3</v>
      </c>
      <c r="V1117" s="3">
        <v>3</v>
      </c>
      <c r="W1117" s="4" t="s">
        <v>13753</v>
      </c>
      <c r="X1117" s="4" t="s">
        <v>13753</v>
      </c>
      <c r="Y1117" s="4" t="s">
        <v>2031</v>
      </c>
      <c r="Z1117" s="4" t="s">
        <v>2031</v>
      </c>
      <c r="AA1117" s="3">
        <v>35</v>
      </c>
      <c r="AB1117" s="3">
        <v>24</v>
      </c>
      <c r="AC1117" s="3">
        <v>138</v>
      </c>
      <c r="AD1117" s="3">
        <v>1</v>
      </c>
      <c r="AE1117" s="9">
        <v>1</v>
      </c>
      <c r="AF1117" s="9">
        <v>1</v>
      </c>
      <c r="AG1117" s="9">
        <v>2</v>
      </c>
      <c r="AH1117" s="3">
        <v>1</v>
      </c>
      <c r="AI1117" s="3">
        <v>1</v>
      </c>
      <c r="AJ1117" s="3">
        <v>0</v>
      </c>
      <c r="AK1117" s="3">
        <v>1</v>
      </c>
      <c r="AL1117" s="3">
        <v>0</v>
      </c>
      <c r="AM1117" s="3">
        <v>0</v>
      </c>
      <c r="AN1117" s="3">
        <v>0</v>
      </c>
      <c r="AO1117" s="3">
        <v>0</v>
      </c>
      <c r="AP1117" s="3">
        <v>0</v>
      </c>
      <c r="AQ1117" s="3">
        <v>0</v>
      </c>
      <c r="AR1117" s="2" t="s">
        <v>5</v>
      </c>
      <c r="AS1117" s="2" t="s">
        <v>5</v>
      </c>
      <c r="AU1117" s="5" t="str">
        <f>HYPERLINK("https://creighton-primo.hosted.exlibrisgroup.com/primo-explore/search?tab=default_tab&amp;search_scope=EVERYTHING&amp;vid=01CRU&amp;lang=en_US&amp;offset=0&amp;query=any,contains,991002575529702656","Catalog Record")</f>
        <v>Catalog Record</v>
      </c>
      <c r="AV1117" s="5" t="str">
        <f>HYPERLINK("http://www.worldcat.org/oclc/33502574","WorldCat Record")</f>
        <v>WorldCat Record</v>
      </c>
      <c r="AW1117" s="2" t="s">
        <v>13765</v>
      </c>
      <c r="AX1117" s="2" t="s">
        <v>13775</v>
      </c>
      <c r="AY1117" s="2" t="s">
        <v>13776</v>
      </c>
      <c r="AZ1117" s="2" t="s">
        <v>13776</v>
      </c>
      <c r="BA1117" s="2" t="s">
        <v>13777</v>
      </c>
      <c r="BB1117" s="2" t="s">
        <v>20</v>
      </c>
      <c r="BD1117" s="2" t="s">
        <v>13778</v>
      </c>
      <c r="BE1117" s="2" t="s">
        <v>13779</v>
      </c>
      <c r="BF1117" s="2" t="s">
        <v>13780</v>
      </c>
    </row>
    <row r="1118" spans="1:58" ht="39.75" customHeight="1" x14ac:dyDescent="0.25">
      <c r="A1118" s="7" t="s">
        <v>5</v>
      </c>
      <c r="B1118" s="1" t="s">
        <v>0</v>
      </c>
      <c r="C1118" s="1" t="s">
        <v>1</v>
      </c>
      <c r="D1118" s="1" t="s">
        <v>13781</v>
      </c>
      <c r="E1118" s="1" t="s">
        <v>13782</v>
      </c>
      <c r="F1118" s="1" t="s">
        <v>13783</v>
      </c>
      <c r="H1118" s="2" t="s">
        <v>5</v>
      </c>
      <c r="I1118" s="2" t="s">
        <v>6</v>
      </c>
      <c r="J1118" s="2" t="s">
        <v>5</v>
      </c>
      <c r="K1118" s="2" t="s">
        <v>5</v>
      </c>
      <c r="L1118" s="2" t="s">
        <v>7</v>
      </c>
      <c r="M1118" s="1" t="s">
        <v>13784</v>
      </c>
      <c r="N1118" s="1" t="s">
        <v>13785</v>
      </c>
      <c r="O1118" s="2" t="s">
        <v>421</v>
      </c>
      <c r="Q1118" s="2" t="s">
        <v>1151</v>
      </c>
      <c r="R1118" s="2" t="s">
        <v>1152</v>
      </c>
      <c r="S1118" s="1" t="s">
        <v>13786</v>
      </c>
      <c r="T1118" s="2" t="s">
        <v>13</v>
      </c>
      <c r="U1118" s="3">
        <v>4</v>
      </c>
      <c r="V1118" s="3">
        <v>4</v>
      </c>
      <c r="W1118" s="4" t="s">
        <v>13753</v>
      </c>
      <c r="X1118" s="4" t="s">
        <v>13753</v>
      </c>
      <c r="Y1118" s="4" t="s">
        <v>9517</v>
      </c>
      <c r="Z1118" s="4" t="s">
        <v>9517</v>
      </c>
      <c r="AA1118" s="3">
        <v>163</v>
      </c>
      <c r="AB1118" s="3">
        <v>120</v>
      </c>
      <c r="AC1118" s="3">
        <v>126</v>
      </c>
      <c r="AD1118" s="3">
        <v>2</v>
      </c>
      <c r="AE1118" s="9">
        <v>2</v>
      </c>
      <c r="AF1118" s="9">
        <v>8</v>
      </c>
      <c r="AG1118" s="9">
        <v>8</v>
      </c>
      <c r="AH1118" s="3">
        <v>1</v>
      </c>
      <c r="AI1118" s="3">
        <v>1</v>
      </c>
      <c r="AJ1118" s="3">
        <v>2</v>
      </c>
      <c r="AK1118" s="3">
        <v>2</v>
      </c>
      <c r="AL1118" s="3">
        <v>5</v>
      </c>
      <c r="AM1118" s="3">
        <v>5</v>
      </c>
      <c r="AN1118" s="3">
        <v>1</v>
      </c>
      <c r="AO1118" s="3">
        <v>1</v>
      </c>
      <c r="AP1118" s="3">
        <v>0</v>
      </c>
      <c r="AQ1118" s="3">
        <v>0</v>
      </c>
      <c r="AR1118" s="2" t="s">
        <v>5</v>
      </c>
      <c r="AS1118" s="2" t="s">
        <v>5</v>
      </c>
      <c r="AU1118" s="5" t="str">
        <f>HYPERLINK("https://creighton-primo.hosted.exlibrisgroup.com/primo-explore/search?tab=default_tab&amp;search_scope=EVERYTHING&amp;vid=01CRU&amp;lang=en_US&amp;offset=0&amp;query=any,contains,991000467899702656","Catalog Record")</f>
        <v>Catalog Record</v>
      </c>
      <c r="AV1118" s="5" t="str">
        <f>HYPERLINK("http://www.worldcat.org/oclc/10989332","WorldCat Record")</f>
        <v>WorldCat Record</v>
      </c>
      <c r="AW1118" s="2" t="s">
        <v>13787</v>
      </c>
      <c r="AX1118" s="2" t="s">
        <v>13788</v>
      </c>
      <c r="AY1118" s="2" t="s">
        <v>13789</v>
      </c>
      <c r="AZ1118" s="2" t="s">
        <v>13789</v>
      </c>
      <c r="BA1118" s="2" t="s">
        <v>13790</v>
      </c>
      <c r="BB1118" s="2" t="s">
        <v>20</v>
      </c>
      <c r="BD1118" s="2" t="s">
        <v>13791</v>
      </c>
      <c r="BE1118" s="2" t="s">
        <v>13792</v>
      </c>
      <c r="BF1118" s="2" t="s">
        <v>13793</v>
      </c>
    </row>
    <row r="1119" spans="1:58" ht="39.75" customHeight="1" x14ac:dyDescent="0.25">
      <c r="A1119" s="7" t="s">
        <v>5</v>
      </c>
      <c r="B1119" s="1" t="s">
        <v>0</v>
      </c>
      <c r="C1119" s="1" t="s">
        <v>1</v>
      </c>
      <c r="D1119" s="1" t="s">
        <v>13794</v>
      </c>
      <c r="E1119" s="1" t="s">
        <v>13795</v>
      </c>
      <c r="F1119" s="1" t="s">
        <v>13796</v>
      </c>
      <c r="H1119" s="2" t="s">
        <v>5</v>
      </c>
      <c r="I1119" s="2" t="s">
        <v>6</v>
      </c>
      <c r="J1119" s="2" t="s">
        <v>5</v>
      </c>
      <c r="K1119" s="2" t="s">
        <v>5</v>
      </c>
      <c r="L1119" s="2" t="s">
        <v>7</v>
      </c>
      <c r="M1119" s="1" t="s">
        <v>13797</v>
      </c>
      <c r="N1119" s="1" t="s">
        <v>13798</v>
      </c>
      <c r="O1119" s="2" t="s">
        <v>1515</v>
      </c>
      <c r="Q1119" s="2" t="s">
        <v>1151</v>
      </c>
      <c r="R1119" s="2" t="s">
        <v>3002</v>
      </c>
      <c r="S1119" s="1" t="s">
        <v>13799</v>
      </c>
      <c r="T1119" s="2" t="s">
        <v>13</v>
      </c>
      <c r="U1119" s="3">
        <v>4</v>
      </c>
      <c r="V1119" s="3">
        <v>4</v>
      </c>
      <c r="W1119" s="4" t="s">
        <v>13753</v>
      </c>
      <c r="X1119" s="4" t="s">
        <v>13753</v>
      </c>
      <c r="Y1119" s="4" t="s">
        <v>9517</v>
      </c>
      <c r="Z1119" s="4" t="s">
        <v>9517</v>
      </c>
      <c r="AA1119" s="3">
        <v>205</v>
      </c>
      <c r="AB1119" s="3">
        <v>156</v>
      </c>
      <c r="AC1119" s="3">
        <v>164</v>
      </c>
      <c r="AD1119" s="3">
        <v>1</v>
      </c>
      <c r="AE1119" s="9">
        <v>1</v>
      </c>
      <c r="AF1119" s="9">
        <v>8</v>
      </c>
      <c r="AG1119" s="9">
        <v>8</v>
      </c>
      <c r="AH1119" s="3">
        <v>2</v>
      </c>
      <c r="AI1119" s="3">
        <v>2</v>
      </c>
      <c r="AJ1119" s="3">
        <v>4</v>
      </c>
      <c r="AK1119" s="3">
        <v>4</v>
      </c>
      <c r="AL1119" s="3">
        <v>5</v>
      </c>
      <c r="AM1119" s="3">
        <v>5</v>
      </c>
      <c r="AN1119" s="3">
        <v>0</v>
      </c>
      <c r="AO1119" s="3">
        <v>0</v>
      </c>
      <c r="AP1119" s="3">
        <v>0</v>
      </c>
      <c r="AQ1119" s="3">
        <v>0</v>
      </c>
      <c r="AR1119" s="2" t="s">
        <v>5</v>
      </c>
      <c r="AS1119" s="2" t="s">
        <v>46</v>
      </c>
      <c r="AT1119" s="5" t="str">
        <f>HYPERLINK("http://catalog.hathitrust.org/Record/000285515","HathiTrust Record")</f>
        <v>HathiTrust Record</v>
      </c>
      <c r="AU1119" s="5" t="str">
        <f>HYPERLINK("https://creighton-primo.hosted.exlibrisgroup.com/primo-explore/search?tab=default_tab&amp;search_scope=EVERYTHING&amp;vid=01CRU&amp;lang=en_US&amp;offset=0&amp;query=any,contains,991005041389702656","Catalog Record")</f>
        <v>Catalog Record</v>
      </c>
      <c r="AV1119" s="5" t="str">
        <f>HYPERLINK("http://www.worldcat.org/oclc/6795622","WorldCat Record")</f>
        <v>WorldCat Record</v>
      </c>
      <c r="AW1119" s="2" t="s">
        <v>13800</v>
      </c>
      <c r="AX1119" s="2" t="s">
        <v>13801</v>
      </c>
      <c r="AY1119" s="2" t="s">
        <v>13802</v>
      </c>
      <c r="AZ1119" s="2" t="s">
        <v>13802</v>
      </c>
      <c r="BA1119" s="2" t="s">
        <v>13803</v>
      </c>
      <c r="BB1119" s="2" t="s">
        <v>20</v>
      </c>
      <c r="BE1119" s="2" t="s">
        <v>13804</v>
      </c>
      <c r="BF1119" s="2" t="s">
        <v>13805</v>
      </c>
    </row>
    <row r="1120" spans="1:58" ht="39.75" customHeight="1" x14ac:dyDescent="0.25">
      <c r="A1120" s="7" t="s">
        <v>5</v>
      </c>
      <c r="B1120" s="1" t="s">
        <v>0</v>
      </c>
      <c r="C1120" s="1" t="s">
        <v>1</v>
      </c>
      <c r="D1120" s="1" t="s">
        <v>13806</v>
      </c>
      <c r="E1120" s="1" t="s">
        <v>13807</v>
      </c>
      <c r="F1120" s="1" t="s">
        <v>13808</v>
      </c>
      <c r="H1120" s="2" t="s">
        <v>5</v>
      </c>
      <c r="I1120" s="2" t="s">
        <v>6</v>
      </c>
      <c r="J1120" s="2" t="s">
        <v>5</v>
      </c>
      <c r="K1120" s="2" t="s">
        <v>46</v>
      </c>
      <c r="L1120" s="2" t="s">
        <v>7</v>
      </c>
      <c r="M1120" s="1" t="s">
        <v>13809</v>
      </c>
      <c r="N1120" s="1" t="s">
        <v>13810</v>
      </c>
      <c r="O1120" s="2" t="s">
        <v>91</v>
      </c>
      <c r="P1120" s="1" t="s">
        <v>12908</v>
      </c>
      <c r="Q1120" s="2" t="s">
        <v>1151</v>
      </c>
      <c r="R1120" s="2" t="s">
        <v>9488</v>
      </c>
      <c r="S1120" s="1" t="s">
        <v>13811</v>
      </c>
      <c r="T1120" s="2" t="s">
        <v>13</v>
      </c>
      <c r="U1120" s="3">
        <v>2</v>
      </c>
      <c r="V1120" s="3">
        <v>2</v>
      </c>
      <c r="W1120" s="4" t="s">
        <v>13812</v>
      </c>
      <c r="X1120" s="4" t="s">
        <v>13812</v>
      </c>
      <c r="Y1120" s="4" t="s">
        <v>93</v>
      </c>
      <c r="Z1120" s="4" t="s">
        <v>93</v>
      </c>
      <c r="AA1120" s="3">
        <v>6</v>
      </c>
      <c r="AB1120" s="3">
        <v>5</v>
      </c>
      <c r="AC1120" s="3">
        <v>311</v>
      </c>
      <c r="AD1120" s="3">
        <v>1</v>
      </c>
      <c r="AE1120" s="9">
        <v>2</v>
      </c>
      <c r="AF1120" s="9">
        <v>0</v>
      </c>
      <c r="AG1120" s="9">
        <v>13</v>
      </c>
      <c r="AH1120" s="3">
        <v>0</v>
      </c>
      <c r="AI1120" s="3">
        <v>4</v>
      </c>
      <c r="AJ1120" s="3">
        <v>0</v>
      </c>
      <c r="AK1120" s="3">
        <v>3</v>
      </c>
      <c r="AL1120" s="3">
        <v>0</v>
      </c>
      <c r="AM1120" s="3">
        <v>8</v>
      </c>
      <c r="AN1120" s="3">
        <v>0</v>
      </c>
      <c r="AO1120" s="3">
        <v>1</v>
      </c>
      <c r="AP1120" s="3">
        <v>0</v>
      </c>
      <c r="AQ1120" s="3">
        <v>0</v>
      </c>
      <c r="AR1120" s="2" t="s">
        <v>5</v>
      </c>
      <c r="AS1120" s="2" t="s">
        <v>5</v>
      </c>
      <c r="AU1120" s="5" t="str">
        <f>HYPERLINK("https://creighton-primo.hosted.exlibrisgroup.com/primo-explore/search?tab=default_tab&amp;search_scope=EVERYTHING&amp;vid=01CRU&amp;lang=en_US&amp;offset=0&amp;query=any,contains,991002310209702656","Catalog Record")</f>
        <v>Catalog Record</v>
      </c>
      <c r="AV1120" s="5" t="str">
        <f>HYPERLINK("http://www.worldcat.org/oclc/29972926","WorldCat Record")</f>
        <v>WorldCat Record</v>
      </c>
      <c r="AW1120" s="2" t="s">
        <v>13813</v>
      </c>
      <c r="AX1120" s="2" t="s">
        <v>13814</v>
      </c>
      <c r="AY1120" s="2" t="s">
        <v>13815</v>
      </c>
      <c r="AZ1120" s="2" t="s">
        <v>13815</v>
      </c>
      <c r="BA1120" s="2" t="s">
        <v>13816</v>
      </c>
      <c r="BB1120" s="2" t="s">
        <v>20</v>
      </c>
      <c r="BD1120" s="2" t="s">
        <v>13817</v>
      </c>
      <c r="BE1120" s="2" t="s">
        <v>13818</v>
      </c>
      <c r="BF1120" s="2" t="s">
        <v>13819</v>
      </c>
    </row>
    <row r="1121" spans="1:58" ht="39.75" customHeight="1" x14ac:dyDescent="0.25">
      <c r="A1121" s="7" t="s">
        <v>5</v>
      </c>
      <c r="B1121" s="1" t="s">
        <v>0</v>
      </c>
      <c r="C1121" s="1" t="s">
        <v>1</v>
      </c>
      <c r="D1121" s="1" t="s">
        <v>13820</v>
      </c>
      <c r="E1121" s="1" t="s">
        <v>13821</v>
      </c>
      <c r="F1121" s="1" t="s">
        <v>13822</v>
      </c>
      <c r="H1121" s="2" t="s">
        <v>5</v>
      </c>
      <c r="I1121" s="2" t="s">
        <v>6</v>
      </c>
      <c r="J1121" s="2" t="s">
        <v>5</v>
      </c>
      <c r="K1121" s="2" t="s">
        <v>46</v>
      </c>
      <c r="L1121" s="2" t="s">
        <v>7</v>
      </c>
      <c r="M1121" s="1" t="s">
        <v>13568</v>
      </c>
      <c r="N1121" s="1" t="s">
        <v>13823</v>
      </c>
      <c r="O1121" s="2" t="s">
        <v>276</v>
      </c>
      <c r="Q1121" s="2" t="s">
        <v>1151</v>
      </c>
      <c r="R1121" s="2" t="s">
        <v>4146</v>
      </c>
      <c r="S1121" s="1" t="s">
        <v>13824</v>
      </c>
      <c r="T1121" s="2" t="s">
        <v>13</v>
      </c>
      <c r="U1121" s="3">
        <v>2</v>
      </c>
      <c r="V1121" s="3">
        <v>2</v>
      </c>
      <c r="W1121" s="4" t="s">
        <v>10532</v>
      </c>
      <c r="X1121" s="4" t="s">
        <v>10532</v>
      </c>
      <c r="Y1121" s="4" t="s">
        <v>10532</v>
      </c>
      <c r="Z1121" s="4" t="s">
        <v>10532</v>
      </c>
      <c r="AA1121" s="3">
        <v>73</v>
      </c>
      <c r="AB1121" s="3">
        <v>52</v>
      </c>
      <c r="AC1121" s="3">
        <v>692</v>
      </c>
      <c r="AD1121" s="3">
        <v>1</v>
      </c>
      <c r="AE1121" s="9">
        <v>3</v>
      </c>
      <c r="AF1121" s="9">
        <v>1</v>
      </c>
      <c r="AG1121" s="9">
        <v>23</v>
      </c>
      <c r="AH1121" s="3">
        <v>0</v>
      </c>
      <c r="AI1121" s="3">
        <v>10</v>
      </c>
      <c r="AJ1121" s="3">
        <v>1</v>
      </c>
      <c r="AK1121" s="3">
        <v>7</v>
      </c>
      <c r="AL1121" s="3">
        <v>0</v>
      </c>
      <c r="AM1121" s="3">
        <v>13</v>
      </c>
      <c r="AN1121" s="3">
        <v>0</v>
      </c>
      <c r="AO1121" s="3">
        <v>2</v>
      </c>
      <c r="AP1121" s="3">
        <v>0</v>
      </c>
      <c r="AQ1121" s="3">
        <v>0</v>
      </c>
      <c r="AR1121" s="2" t="s">
        <v>5</v>
      </c>
      <c r="AS1121" s="2" t="s">
        <v>5</v>
      </c>
      <c r="AU1121" s="5" t="str">
        <f>HYPERLINK("https://creighton-primo.hosted.exlibrisgroup.com/primo-explore/search?tab=default_tab&amp;search_scope=EVERYTHING&amp;vid=01CRU&amp;lang=en_US&amp;offset=0&amp;query=any,contains,991003683259702656","Catalog Record")</f>
        <v>Catalog Record</v>
      </c>
      <c r="AV1121" s="5" t="str">
        <f>HYPERLINK("http://www.worldcat.org/oclc/3857088","WorldCat Record")</f>
        <v>WorldCat Record</v>
      </c>
      <c r="AW1121" s="2" t="s">
        <v>13825</v>
      </c>
      <c r="AX1121" s="2" t="s">
        <v>13826</v>
      </c>
      <c r="AY1121" s="2" t="s">
        <v>13827</v>
      </c>
      <c r="AZ1121" s="2" t="s">
        <v>13827</v>
      </c>
      <c r="BA1121" s="2" t="s">
        <v>13828</v>
      </c>
      <c r="BB1121" s="2" t="s">
        <v>20</v>
      </c>
      <c r="BE1121" s="2" t="s">
        <v>13829</v>
      </c>
      <c r="BF1121" s="2" t="s">
        <v>13830</v>
      </c>
    </row>
    <row r="1122" spans="1:58" ht="39.75" customHeight="1" x14ac:dyDescent="0.25">
      <c r="A1122" s="7" t="s">
        <v>5</v>
      </c>
      <c r="B1122" s="1" t="s">
        <v>0</v>
      </c>
      <c r="C1122" s="1" t="s">
        <v>1</v>
      </c>
      <c r="D1122" s="1" t="s">
        <v>13831</v>
      </c>
      <c r="E1122" s="1" t="s">
        <v>13832</v>
      </c>
      <c r="F1122" s="1" t="s">
        <v>13833</v>
      </c>
      <c r="H1122" s="2" t="s">
        <v>5</v>
      </c>
      <c r="I1122" s="2" t="s">
        <v>6</v>
      </c>
      <c r="J1122" s="2" t="s">
        <v>5</v>
      </c>
      <c r="K1122" s="2" t="s">
        <v>5</v>
      </c>
      <c r="L1122" s="2" t="s">
        <v>7</v>
      </c>
      <c r="M1122" s="1" t="s">
        <v>13834</v>
      </c>
      <c r="N1122" s="1" t="s">
        <v>13835</v>
      </c>
      <c r="O1122" s="2" t="s">
        <v>3941</v>
      </c>
      <c r="P1122" s="1" t="s">
        <v>5373</v>
      </c>
      <c r="Q1122" s="2" t="s">
        <v>1151</v>
      </c>
      <c r="R1122" s="2" t="s">
        <v>9488</v>
      </c>
      <c r="S1122" s="1" t="s">
        <v>13470</v>
      </c>
      <c r="T1122" s="2" t="s">
        <v>13</v>
      </c>
      <c r="U1122" s="3">
        <v>1</v>
      </c>
      <c r="V1122" s="3">
        <v>1</v>
      </c>
      <c r="W1122" s="4" t="s">
        <v>11207</v>
      </c>
      <c r="X1122" s="4" t="s">
        <v>11207</v>
      </c>
      <c r="Y1122" s="4" t="s">
        <v>11207</v>
      </c>
      <c r="Z1122" s="4" t="s">
        <v>11207</v>
      </c>
      <c r="AA1122" s="3">
        <v>106</v>
      </c>
      <c r="AB1122" s="3">
        <v>87</v>
      </c>
      <c r="AC1122" s="3">
        <v>92</v>
      </c>
      <c r="AD1122" s="3">
        <v>2</v>
      </c>
      <c r="AE1122" s="9">
        <v>2</v>
      </c>
      <c r="AF1122" s="9">
        <v>6</v>
      </c>
      <c r="AG1122" s="9">
        <v>6</v>
      </c>
      <c r="AH1122" s="3">
        <v>1</v>
      </c>
      <c r="AI1122" s="3">
        <v>1</v>
      </c>
      <c r="AJ1122" s="3">
        <v>1</v>
      </c>
      <c r="AK1122" s="3">
        <v>1</v>
      </c>
      <c r="AL1122" s="3">
        <v>5</v>
      </c>
      <c r="AM1122" s="3">
        <v>5</v>
      </c>
      <c r="AN1122" s="3">
        <v>1</v>
      </c>
      <c r="AO1122" s="3">
        <v>1</v>
      </c>
      <c r="AP1122" s="3">
        <v>0</v>
      </c>
      <c r="AQ1122" s="3">
        <v>0</v>
      </c>
      <c r="AR1122" s="2" t="s">
        <v>5</v>
      </c>
      <c r="AS1122" s="2" t="s">
        <v>46</v>
      </c>
      <c r="AT1122" s="5" t="str">
        <f>HYPERLINK("http://catalog.hathitrust.org/Record/004147020","HathiTrust Record")</f>
        <v>HathiTrust Record</v>
      </c>
      <c r="AU1122" s="5" t="str">
        <f>HYPERLINK("https://creighton-primo.hosted.exlibrisgroup.com/primo-explore/search?tab=default_tab&amp;search_scope=EVERYTHING&amp;vid=01CRU&amp;lang=en_US&amp;offset=0&amp;query=any,contains,991004028019702656","Catalog Record")</f>
        <v>Catalog Record</v>
      </c>
      <c r="AV1122" s="5" t="str">
        <f>HYPERLINK("http://www.worldcat.org/oclc/45878503","WorldCat Record")</f>
        <v>WorldCat Record</v>
      </c>
      <c r="AW1122" s="2" t="s">
        <v>13836</v>
      </c>
      <c r="AX1122" s="2" t="s">
        <v>13837</v>
      </c>
      <c r="AY1122" s="2" t="s">
        <v>13838</v>
      </c>
      <c r="AZ1122" s="2" t="s">
        <v>13838</v>
      </c>
      <c r="BA1122" s="2" t="s">
        <v>13839</v>
      </c>
      <c r="BB1122" s="2" t="s">
        <v>20</v>
      </c>
      <c r="BD1122" s="2" t="s">
        <v>13840</v>
      </c>
      <c r="BE1122" s="2" t="s">
        <v>13841</v>
      </c>
      <c r="BF1122" s="2" t="s">
        <v>13842</v>
      </c>
    </row>
    <row r="1123" spans="1:58" ht="39.75" customHeight="1" x14ac:dyDescent="0.25">
      <c r="A1123" s="7" t="s">
        <v>5</v>
      </c>
      <c r="B1123" s="1" t="s">
        <v>0</v>
      </c>
      <c r="C1123" s="1" t="s">
        <v>1</v>
      </c>
      <c r="D1123" s="1" t="s">
        <v>13843</v>
      </c>
      <c r="E1123" s="1" t="s">
        <v>13844</v>
      </c>
      <c r="F1123" s="1" t="s">
        <v>13845</v>
      </c>
      <c r="H1123" s="2" t="s">
        <v>5</v>
      </c>
      <c r="I1123" s="2" t="s">
        <v>6</v>
      </c>
      <c r="J1123" s="2" t="s">
        <v>5</v>
      </c>
      <c r="K1123" s="2" t="s">
        <v>5</v>
      </c>
      <c r="L1123" s="2" t="s">
        <v>7</v>
      </c>
      <c r="M1123" s="1" t="s">
        <v>13834</v>
      </c>
      <c r="N1123" s="1" t="s">
        <v>13518</v>
      </c>
      <c r="O1123" s="2" t="s">
        <v>3941</v>
      </c>
      <c r="P1123" s="1" t="s">
        <v>2908</v>
      </c>
      <c r="Q1123" s="2" t="s">
        <v>1151</v>
      </c>
      <c r="R1123" s="2" t="s">
        <v>9488</v>
      </c>
      <c r="S1123" s="1" t="s">
        <v>13470</v>
      </c>
      <c r="T1123" s="2" t="s">
        <v>13</v>
      </c>
      <c r="U1123" s="3">
        <v>1</v>
      </c>
      <c r="V1123" s="3">
        <v>1</v>
      </c>
      <c r="W1123" s="4" t="s">
        <v>11207</v>
      </c>
      <c r="X1123" s="4" t="s">
        <v>11207</v>
      </c>
      <c r="Y1123" s="4" t="s">
        <v>11207</v>
      </c>
      <c r="Z1123" s="4" t="s">
        <v>11207</v>
      </c>
      <c r="AA1123" s="3">
        <v>107</v>
      </c>
      <c r="AB1123" s="3">
        <v>85</v>
      </c>
      <c r="AC1123" s="3">
        <v>87</v>
      </c>
      <c r="AD1123" s="3">
        <v>2</v>
      </c>
      <c r="AE1123" s="9">
        <v>2</v>
      </c>
      <c r="AF1123" s="9">
        <v>5</v>
      </c>
      <c r="AG1123" s="9">
        <v>5</v>
      </c>
      <c r="AH1123" s="3">
        <v>1</v>
      </c>
      <c r="AI1123" s="3">
        <v>1</v>
      </c>
      <c r="AJ1123" s="3">
        <v>0</v>
      </c>
      <c r="AK1123" s="3">
        <v>0</v>
      </c>
      <c r="AL1123" s="3">
        <v>4</v>
      </c>
      <c r="AM1123" s="3">
        <v>4</v>
      </c>
      <c r="AN1123" s="3">
        <v>1</v>
      </c>
      <c r="AO1123" s="3">
        <v>1</v>
      </c>
      <c r="AP1123" s="3">
        <v>0</v>
      </c>
      <c r="AQ1123" s="3">
        <v>0</v>
      </c>
      <c r="AR1123" s="2" t="s">
        <v>5</v>
      </c>
      <c r="AS1123" s="2" t="s">
        <v>46</v>
      </c>
      <c r="AT1123" s="5" t="str">
        <f>HYPERLINK("http://catalog.hathitrust.org/Record/004252367","HathiTrust Record")</f>
        <v>HathiTrust Record</v>
      </c>
      <c r="AU1123" s="5" t="str">
        <f>HYPERLINK("https://creighton-primo.hosted.exlibrisgroup.com/primo-explore/search?tab=default_tab&amp;search_scope=EVERYTHING&amp;vid=01CRU&amp;lang=en_US&amp;offset=0&amp;query=any,contains,991004027969702656","Catalog Record")</f>
        <v>Catalog Record</v>
      </c>
      <c r="AV1123" s="5" t="str">
        <f>HYPERLINK("http://www.worldcat.org/oclc/49821556","WorldCat Record")</f>
        <v>WorldCat Record</v>
      </c>
      <c r="AW1123" s="2" t="s">
        <v>13846</v>
      </c>
      <c r="AX1123" s="2" t="s">
        <v>13847</v>
      </c>
      <c r="AY1123" s="2" t="s">
        <v>13848</v>
      </c>
      <c r="AZ1123" s="2" t="s">
        <v>13848</v>
      </c>
      <c r="BA1123" s="2" t="s">
        <v>13849</v>
      </c>
      <c r="BB1123" s="2" t="s">
        <v>20</v>
      </c>
      <c r="BD1123" s="2" t="s">
        <v>13850</v>
      </c>
      <c r="BE1123" s="2" t="s">
        <v>13851</v>
      </c>
      <c r="BF1123" s="2" t="s">
        <v>13852</v>
      </c>
    </row>
    <row r="1124" spans="1:58" ht="39.75" customHeight="1" x14ac:dyDescent="0.25">
      <c r="A1124" s="7" t="s">
        <v>5</v>
      </c>
      <c r="B1124" s="1" t="s">
        <v>0</v>
      </c>
      <c r="C1124" s="1" t="s">
        <v>1</v>
      </c>
      <c r="D1124" s="1" t="s">
        <v>13853</v>
      </c>
      <c r="E1124" s="1" t="s">
        <v>13854</v>
      </c>
      <c r="F1124" s="1" t="s">
        <v>13855</v>
      </c>
      <c r="H1124" s="2" t="s">
        <v>5</v>
      </c>
      <c r="I1124" s="2" t="s">
        <v>6</v>
      </c>
      <c r="J1124" s="2" t="s">
        <v>5</v>
      </c>
      <c r="K1124" s="2" t="s">
        <v>5</v>
      </c>
      <c r="L1124" s="2" t="s">
        <v>7</v>
      </c>
      <c r="M1124" s="1" t="s">
        <v>13856</v>
      </c>
      <c r="N1124" s="1" t="s">
        <v>13857</v>
      </c>
      <c r="O1124" s="2" t="s">
        <v>569</v>
      </c>
      <c r="Q1124" s="2" t="s">
        <v>1151</v>
      </c>
      <c r="R1124" s="2" t="s">
        <v>9488</v>
      </c>
      <c r="T1124" s="2" t="s">
        <v>13</v>
      </c>
      <c r="U1124" s="3">
        <v>1</v>
      </c>
      <c r="V1124" s="3">
        <v>1</v>
      </c>
      <c r="W1124" s="4" t="s">
        <v>5941</v>
      </c>
      <c r="X1124" s="4" t="s">
        <v>5941</v>
      </c>
      <c r="Y1124" s="4" t="s">
        <v>5450</v>
      </c>
      <c r="Z1124" s="4" t="s">
        <v>5450</v>
      </c>
      <c r="AA1124" s="3">
        <v>13</v>
      </c>
      <c r="AB1124" s="3">
        <v>11</v>
      </c>
      <c r="AC1124" s="3">
        <v>67</v>
      </c>
      <c r="AD1124" s="3">
        <v>1</v>
      </c>
      <c r="AE1124" s="9">
        <v>1</v>
      </c>
      <c r="AF1124" s="9">
        <v>0</v>
      </c>
      <c r="AG1124" s="9">
        <v>0</v>
      </c>
      <c r="AH1124" s="3">
        <v>0</v>
      </c>
      <c r="AI1124" s="3">
        <v>0</v>
      </c>
      <c r="AJ1124" s="3">
        <v>0</v>
      </c>
      <c r="AK1124" s="3">
        <v>0</v>
      </c>
      <c r="AL1124" s="3">
        <v>0</v>
      </c>
      <c r="AM1124" s="3">
        <v>0</v>
      </c>
      <c r="AN1124" s="3">
        <v>0</v>
      </c>
      <c r="AO1124" s="3">
        <v>0</v>
      </c>
      <c r="AP1124" s="3">
        <v>0</v>
      </c>
      <c r="AQ1124" s="3">
        <v>0</v>
      </c>
      <c r="AR1124" s="2" t="s">
        <v>5</v>
      </c>
      <c r="AS1124" s="2" t="s">
        <v>5</v>
      </c>
      <c r="AU1124" s="5" t="str">
        <f>HYPERLINK("https://creighton-primo.hosted.exlibrisgroup.com/primo-explore/search?tab=default_tab&amp;search_scope=EVERYTHING&amp;vid=01CRU&amp;lang=en_US&amp;offset=0&amp;query=any,contains,991003772679702656","Catalog Record")</f>
        <v>Catalog Record</v>
      </c>
      <c r="AV1124" s="5" t="str">
        <f>HYPERLINK("http://www.worldcat.org/oclc/44121874","WorldCat Record")</f>
        <v>WorldCat Record</v>
      </c>
      <c r="AW1124" s="2" t="s">
        <v>13858</v>
      </c>
      <c r="AX1124" s="2" t="s">
        <v>13859</v>
      </c>
      <c r="AY1124" s="2" t="s">
        <v>13860</v>
      </c>
      <c r="AZ1124" s="2" t="s">
        <v>13860</v>
      </c>
      <c r="BA1124" s="2" t="s">
        <v>13861</v>
      </c>
      <c r="BB1124" s="2" t="s">
        <v>20</v>
      </c>
      <c r="BE1124" s="2" t="s">
        <v>13862</v>
      </c>
      <c r="BF1124" s="2" t="s">
        <v>13863</v>
      </c>
    </row>
    <row r="1125" spans="1:58" ht="39.75" customHeight="1" x14ac:dyDescent="0.25">
      <c r="A1125" s="7" t="s">
        <v>5</v>
      </c>
      <c r="B1125" s="1" t="s">
        <v>0</v>
      </c>
      <c r="C1125" s="1" t="s">
        <v>1</v>
      </c>
      <c r="D1125" s="1" t="s">
        <v>13864</v>
      </c>
      <c r="E1125" s="1" t="s">
        <v>13865</v>
      </c>
      <c r="F1125" s="1" t="s">
        <v>13866</v>
      </c>
      <c r="H1125" s="2" t="s">
        <v>5</v>
      </c>
      <c r="I1125" s="2" t="s">
        <v>6</v>
      </c>
      <c r="J1125" s="2" t="s">
        <v>5</v>
      </c>
      <c r="K1125" s="2" t="s">
        <v>5</v>
      </c>
      <c r="L1125" s="2" t="s">
        <v>7</v>
      </c>
      <c r="M1125" s="1" t="s">
        <v>13867</v>
      </c>
      <c r="N1125" s="1" t="s">
        <v>13868</v>
      </c>
      <c r="O1125" s="2" t="s">
        <v>2610</v>
      </c>
      <c r="P1125" s="1" t="s">
        <v>5939</v>
      </c>
      <c r="Q1125" s="2" t="s">
        <v>1151</v>
      </c>
      <c r="R1125" s="2" t="s">
        <v>13869</v>
      </c>
      <c r="S1125" s="1" t="s">
        <v>13870</v>
      </c>
      <c r="T1125" s="2" t="s">
        <v>13</v>
      </c>
      <c r="U1125" s="3">
        <v>0</v>
      </c>
      <c r="V1125" s="3">
        <v>0</v>
      </c>
      <c r="W1125" s="4" t="s">
        <v>2410</v>
      </c>
      <c r="X1125" s="4" t="s">
        <v>2410</v>
      </c>
      <c r="Y1125" s="4" t="s">
        <v>9659</v>
      </c>
      <c r="Z1125" s="4" t="s">
        <v>9659</v>
      </c>
      <c r="AA1125" s="3">
        <v>10</v>
      </c>
      <c r="AB1125" s="3">
        <v>9</v>
      </c>
      <c r="AC1125" s="3">
        <v>413</v>
      </c>
      <c r="AD1125" s="3">
        <v>1</v>
      </c>
      <c r="AE1125" s="9">
        <v>4</v>
      </c>
      <c r="AF1125" s="9">
        <v>0</v>
      </c>
      <c r="AG1125" s="9">
        <v>23</v>
      </c>
      <c r="AH1125" s="3">
        <v>0</v>
      </c>
      <c r="AI1125" s="3">
        <v>7</v>
      </c>
      <c r="AJ1125" s="3">
        <v>0</v>
      </c>
      <c r="AK1125" s="3">
        <v>5</v>
      </c>
      <c r="AL1125" s="3">
        <v>0</v>
      </c>
      <c r="AM1125" s="3">
        <v>12</v>
      </c>
      <c r="AN1125" s="3">
        <v>0</v>
      </c>
      <c r="AO1125" s="3">
        <v>3</v>
      </c>
      <c r="AP1125" s="3">
        <v>0</v>
      </c>
      <c r="AQ1125" s="3">
        <v>0</v>
      </c>
      <c r="AR1125" s="2" t="s">
        <v>5</v>
      </c>
      <c r="AS1125" s="2" t="s">
        <v>5</v>
      </c>
      <c r="AU1125" s="5" t="str">
        <f>HYPERLINK("https://creighton-primo.hosted.exlibrisgroup.com/primo-explore/search?tab=default_tab&amp;search_scope=EVERYTHING&amp;vid=01CRU&amp;lang=en_US&amp;offset=0&amp;query=any,contains,991001851649702656","Catalog Record")</f>
        <v>Catalog Record</v>
      </c>
      <c r="AV1125" s="5" t="str">
        <f>HYPERLINK("http://www.worldcat.org/oclc/23231610","WorldCat Record")</f>
        <v>WorldCat Record</v>
      </c>
      <c r="AW1125" s="2" t="s">
        <v>13871</v>
      </c>
      <c r="AX1125" s="2" t="s">
        <v>13872</v>
      </c>
      <c r="AY1125" s="2" t="s">
        <v>13873</v>
      </c>
      <c r="AZ1125" s="2" t="s">
        <v>13873</v>
      </c>
      <c r="BA1125" s="2" t="s">
        <v>13874</v>
      </c>
      <c r="BB1125" s="2" t="s">
        <v>20</v>
      </c>
      <c r="BE1125" s="2" t="s">
        <v>13875</v>
      </c>
      <c r="BF1125" s="2" t="s">
        <v>13876</v>
      </c>
    </row>
    <row r="1126" spans="1:58" ht="39.75" customHeight="1" x14ac:dyDescent="0.25">
      <c r="A1126" s="7" t="s">
        <v>5</v>
      </c>
      <c r="B1126" s="1" t="s">
        <v>0</v>
      </c>
      <c r="C1126" s="1" t="s">
        <v>1</v>
      </c>
      <c r="D1126" s="1" t="s">
        <v>13877</v>
      </c>
      <c r="E1126" s="1" t="s">
        <v>13878</v>
      </c>
      <c r="F1126" s="1" t="s">
        <v>13879</v>
      </c>
      <c r="H1126" s="2" t="s">
        <v>5</v>
      </c>
      <c r="I1126" s="2" t="s">
        <v>6</v>
      </c>
      <c r="J1126" s="2" t="s">
        <v>5</v>
      </c>
      <c r="K1126" s="2" t="s">
        <v>5</v>
      </c>
      <c r="L1126" s="2" t="s">
        <v>7</v>
      </c>
      <c r="M1126" s="1" t="s">
        <v>13880</v>
      </c>
      <c r="N1126" s="1" t="s">
        <v>13881</v>
      </c>
      <c r="O1126" s="2" t="s">
        <v>480</v>
      </c>
      <c r="Q1126" s="2" t="s">
        <v>1151</v>
      </c>
      <c r="R1126" s="2" t="s">
        <v>234</v>
      </c>
      <c r="T1126" s="2" t="s">
        <v>13</v>
      </c>
      <c r="U1126" s="3">
        <v>1</v>
      </c>
      <c r="V1126" s="3">
        <v>1</v>
      </c>
      <c r="W1126" s="4" t="s">
        <v>13237</v>
      </c>
      <c r="X1126" s="4" t="s">
        <v>13237</v>
      </c>
      <c r="Y1126" s="4" t="s">
        <v>13574</v>
      </c>
      <c r="Z1126" s="4" t="s">
        <v>13574</v>
      </c>
      <c r="AA1126" s="3">
        <v>70</v>
      </c>
      <c r="AB1126" s="3">
        <v>62</v>
      </c>
      <c r="AC1126" s="3">
        <v>125</v>
      </c>
      <c r="AD1126" s="3">
        <v>2</v>
      </c>
      <c r="AE1126" s="9">
        <v>2</v>
      </c>
      <c r="AF1126" s="9">
        <v>2</v>
      </c>
      <c r="AG1126" s="9">
        <v>4</v>
      </c>
      <c r="AH1126" s="3">
        <v>0</v>
      </c>
      <c r="AI1126" s="3">
        <v>0</v>
      </c>
      <c r="AJ1126" s="3">
        <v>1</v>
      </c>
      <c r="AK1126" s="3">
        <v>3</v>
      </c>
      <c r="AL1126" s="3">
        <v>0</v>
      </c>
      <c r="AM1126" s="3">
        <v>1</v>
      </c>
      <c r="AN1126" s="3">
        <v>1</v>
      </c>
      <c r="AO1126" s="3">
        <v>1</v>
      </c>
      <c r="AP1126" s="3">
        <v>0</v>
      </c>
      <c r="AQ1126" s="3">
        <v>0</v>
      </c>
      <c r="AR1126" s="2" t="s">
        <v>5</v>
      </c>
      <c r="AS1126" s="2" t="s">
        <v>5</v>
      </c>
      <c r="AU1126" s="5" t="str">
        <f>HYPERLINK("https://creighton-primo.hosted.exlibrisgroup.com/primo-explore/search?tab=default_tab&amp;search_scope=EVERYTHING&amp;vid=01CRU&amp;lang=en_US&amp;offset=0&amp;query=any,contains,991003565949702656","Catalog Record")</f>
        <v>Catalog Record</v>
      </c>
      <c r="AV1126" s="5" t="str">
        <f>HYPERLINK("http://www.worldcat.org/oclc/1138449","WorldCat Record")</f>
        <v>WorldCat Record</v>
      </c>
      <c r="AW1126" s="2" t="s">
        <v>13882</v>
      </c>
      <c r="AX1126" s="2" t="s">
        <v>13883</v>
      </c>
      <c r="AY1126" s="2" t="s">
        <v>13884</v>
      </c>
      <c r="AZ1126" s="2" t="s">
        <v>13884</v>
      </c>
      <c r="BA1126" s="2" t="s">
        <v>13885</v>
      </c>
      <c r="BB1126" s="2" t="s">
        <v>20</v>
      </c>
      <c r="BE1126" s="2" t="s">
        <v>13886</v>
      </c>
      <c r="BF1126" s="2" t="s">
        <v>13887</v>
      </c>
    </row>
    <row r="1127" spans="1:58" ht="39.75" customHeight="1" x14ac:dyDescent="0.25">
      <c r="A1127" s="7" t="s">
        <v>5</v>
      </c>
      <c r="B1127" s="1" t="s">
        <v>0</v>
      </c>
      <c r="C1127" s="1" t="s">
        <v>1</v>
      </c>
      <c r="D1127" s="1" t="s">
        <v>13888</v>
      </c>
      <c r="E1127" s="1" t="s">
        <v>13889</v>
      </c>
      <c r="F1127" s="1" t="s">
        <v>13890</v>
      </c>
      <c r="H1127" s="2" t="s">
        <v>5</v>
      </c>
      <c r="I1127" s="2" t="s">
        <v>6</v>
      </c>
      <c r="J1127" s="2" t="s">
        <v>5</v>
      </c>
      <c r="K1127" s="2" t="s">
        <v>5</v>
      </c>
      <c r="L1127" s="2" t="s">
        <v>7</v>
      </c>
      <c r="M1127" s="1" t="s">
        <v>13891</v>
      </c>
      <c r="N1127" s="1" t="s">
        <v>13892</v>
      </c>
      <c r="O1127" s="2" t="s">
        <v>1473</v>
      </c>
      <c r="P1127" s="1" t="s">
        <v>5911</v>
      </c>
      <c r="Q1127" s="2" t="s">
        <v>1151</v>
      </c>
      <c r="R1127" s="2" t="s">
        <v>9488</v>
      </c>
      <c r="S1127" s="1" t="s">
        <v>13519</v>
      </c>
      <c r="T1127" s="2" t="s">
        <v>13</v>
      </c>
      <c r="U1127" s="3">
        <v>2</v>
      </c>
      <c r="V1127" s="3">
        <v>2</v>
      </c>
      <c r="W1127" s="4" t="s">
        <v>13893</v>
      </c>
      <c r="X1127" s="4" t="s">
        <v>13893</v>
      </c>
      <c r="Y1127" s="4" t="s">
        <v>13893</v>
      </c>
      <c r="Z1127" s="4" t="s">
        <v>13893</v>
      </c>
      <c r="AA1127" s="3">
        <v>63</v>
      </c>
      <c r="AB1127" s="3">
        <v>47</v>
      </c>
      <c r="AC1127" s="3">
        <v>66</v>
      </c>
      <c r="AD1127" s="3">
        <v>1</v>
      </c>
      <c r="AE1127" s="9">
        <v>1</v>
      </c>
      <c r="AF1127" s="9">
        <v>1</v>
      </c>
      <c r="AG1127" s="9">
        <v>2</v>
      </c>
      <c r="AH1127" s="3">
        <v>0</v>
      </c>
      <c r="AI1127" s="3">
        <v>0</v>
      </c>
      <c r="AJ1127" s="3">
        <v>0</v>
      </c>
      <c r="AK1127" s="3">
        <v>0</v>
      </c>
      <c r="AL1127" s="3">
        <v>1</v>
      </c>
      <c r="AM1127" s="3">
        <v>2</v>
      </c>
      <c r="AN1127" s="3">
        <v>0</v>
      </c>
      <c r="AO1127" s="3">
        <v>0</v>
      </c>
      <c r="AP1127" s="3">
        <v>0</v>
      </c>
      <c r="AQ1127" s="3">
        <v>0</v>
      </c>
      <c r="AR1127" s="2" t="s">
        <v>5</v>
      </c>
      <c r="AS1127" s="2" t="s">
        <v>46</v>
      </c>
      <c r="AT1127" s="5" t="str">
        <f>HYPERLINK("http://catalog.hathitrust.org/Record/004306704","HathiTrust Record")</f>
        <v>HathiTrust Record</v>
      </c>
      <c r="AU1127" s="5" t="str">
        <f>HYPERLINK("https://creighton-primo.hosted.exlibrisgroup.com/primo-explore/search?tab=default_tab&amp;search_scope=EVERYTHING&amp;vid=01CRU&amp;lang=en_US&amp;offset=0&amp;query=any,contains,991004168829702656","Catalog Record")</f>
        <v>Catalog Record</v>
      </c>
      <c r="AV1127" s="5" t="str">
        <f>HYPERLINK("http://www.worldcat.org/oclc/52049454","WorldCat Record")</f>
        <v>WorldCat Record</v>
      </c>
      <c r="AW1127" s="2" t="s">
        <v>13894</v>
      </c>
      <c r="AX1127" s="2" t="s">
        <v>13895</v>
      </c>
      <c r="AY1127" s="2" t="s">
        <v>13896</v>
      </c>
      <c r="AZ1127" s="2" t="s">
        <v>13896</v>
      </c>
      <c r="BA1127" s="2" t="s">
        <v>13897</v>
      </c>
      <c r="BB1127" s="2" t="s">
        <v>20</v>
      </c>
      <c r="BD1127" s="2" t="s">
        <v>13898</v>
      </c>
      <c r="BE1127" s="2" t="s">
        <v>13899</v>
      </c>
      <c r="BF1127" s="2" t="s">
        <v>13900</v>
      </c>
    </row>
    <row r="1128" spans="1:58" ht="39.75" customHeight="1" x14ac:dyDescent="0.25">
      <c r="A1128" s="7" t="s">
        <v>5</v>
      </c>
      <c r="B1128" s="1" t="s">
        <v>0</v>
      </c>
      <c r="C1128" s="1" t="s">
        <v>1</v>
      </c>
      <c r="D1128" s="1" t="s">
        <v>13901</v>
      </c>
      <c r="E1128" s="1" t="s">
        <v>13902</v>
      </c>
      <c r="F1128" s="1" t="s">
        <v>13903</v>
      </c>
      <c r="H1128" s="2" t="s">
        <v>5</v>
      </c>
      <c r="I1128" s="2" t="s">
        <v>6</v>
      </c>
      <c r="J1128" s="2" t="s">
        <v>5</v>
      </c>
      <c r="K1128" s="2" t="s">
        <v>5</v>
      </c>
      <c r="L1128" s="2" t="s">
        <v>7</v>
      </c>
      <c r="M1128" s="1" t="s">
        <v>13904</v>
      </c>
      <c r="N1128" s="1" t="s">
        <v>13905</v>
      </c>
      <c r="O1128" s="2" t="s">
        <v>584</v>
      </c>
      <c r="Q1128" s="2" t="s">
        <v>1151</v>
      </c>
      <c r="R1128" s="2" t="s">
        <v>9488</v>
      </c>
      <c r="T1128" s="2" t="s">
        <v>13</v>
      </c>
      <c r="U1128" s="3">
        <v>1</v>
      </c>
      <c r="V1128" s="3">
        <v>1</v>
      </c>
      <c r="W1128" s="4" t="s">
        <v>5377</v>
      </c>
      <c r="X1128" s="4" t="s">
        <v>5377</v>
      </c>
      <c r="Y1128" s="4" t="s">
        <v>13574</v>
      </c>
      <c r="Z1128" s="4" t="s">
        <v>13574</v>
      </c>
      <c r="AA1128" s="3">
        <v>51</v>
      </c>
      <c r="AB1128" s="3">
        <v>39</v>
      </c>
      <c r="AC1128" s="3">
        <v>98</v>
      </c>
      <c r="AD1128" s="3">
        <v>2</v>
      </c>
      <c r="AE1128" s="9">
        <v>2</v>
      </c>
      <c r="AF1128" s="9">
        <v>2</v>
      </c>
      <c r="AG1128" s="9">
        <v>3</v>
      </c>
      <c r="AH1128" s="3">
        <v>0</v>
      </c>
      <c r="AI1128" s="3">
        <v>0</v>
      </c>
      <c r="AJ1128" s="3">
        <v>0</v>
      </c>
      <c r="AK1128" s="3">
        <v>0</v>
      </c>
      <c r="AL1128" s="3">
        <v>1</v>
      </c>
      <c r="AM1128" s="3">
        <v>2</v>
      </c>
      <c r="AN1128" s="3">
        <v>1</v>
      </c>
      <c r="AO1128" s="3">
        <v>1</v>
      </c>
      <c r="AP1128" s="3">
        <v>0</v>
      </c>
      <c r="AQ1128" s="3">
        <v>0</v>
      </c>
      <c r="AR1128" s="2" t="s">
        <v>5</v>
      </c>
      <c r="AS1128" s="2" t="s">
        <v>46</v>
      </c>
      <c r="AT1128" s="5" t="str">
        <f>HYPERLINK("http://catalog.hathitrust.org/Record/001721190","HathiTrust Record")</f>
        <v>HathiTrust Record</v>
      </c>
      <c r="AU1128" s="5" t="str">
        <f>HYPERLINK("https://creighton-primo.hosted.exlibrisgroup.com/primo-explore/search?tab=default_tab&amp;search_scope=EVERYTHING&amp;vid=01CRU&amp;lang=en_US&amp;offset=0&amp;query=any,contains,991005031769702656","Catalog Record")</f>
        <v>Catalog Record</v>
      </c>
      <c r="AV1128" s="5" t="str">
        <f>HYPERLINK("http://www.worldcat.org/oclc/6730404","WorldCat Record")</f>
        <v>WorldCat Record</v>
      </c>
      <c r="AW1128" s="2" t="s">
        <v>13906</v>
      </c>
      <c r="AX1128" s="2" t="s">
        <v>13907</v>
      </c>
      <c r="AY1128" s="2" t="s">
        <v>13908</v>
      </c>
      <c r="AZ1128" s="2" t="s">
        <v>13908</v>
      </c>
      <c r="BA1128" s="2" t="s">
        <v>13909</v>
      </c>
      <c r="BB1128" s="2" t="s">
        <v>20</v>
      </c>
      <c r="BE1128" s="2" t="s">
        <v>13910</v>
      </c>
      <c r="BF1128" s="2" t="s">
        <v>13911</v>
      </c>
    </row>
    <row r="1129" spans="1:58" ht="39.75" customHeight="1" x14ac:dyDescent="0.25">
      <c r="A1129" s="7" t="s">
        <v>5</v>
      </c>
      <c r="B1129" s="1" t="s">
        <v>0</v>
      </c>
      <c r="C1129" s="1" t="s">
        <v>1</v>
      </c>
      <c r="D1129" s="1" t="s">
        <v>13912</v>
      </c>
      <c r="E1129" s="1" t="s">
        <v>13913</v>
      </c>
      <c r="F1129" s="1" t="s">
        <v>13914</v>
      </c>
      <c r="H1129" s="2" t="s">
        <v>5</v>
      </c>
      <c r="I1129" s="2" t="s">
        <v>6</v>
      </c>
      <c r="J1129" s="2" t="s">
        <v>5</v>
      </c>
      <c r="K1129" s="2" t="s">
        <v>5</v>
      </c>
      <c r="L1129" s="2" t="s">
        <v>7</v>
      </c>
      <c r="M1129" s="1" t="s">
        <v>13915</v>
      </c>
      <c r="N1129" s="1" t="s">
        <v>13916</v>
      </c>
      <c r="O1129" s="2" t="s">
        <v>2448</v>
      </c>
      <c r="P1129" s="1" t="s">
        <v>2908</v>
      </c>
      <c r="Q1129" s="2" t="s">
        <v>1151</v>
      </c>
      <c r="R1129" s="2" t="s">
        <v>1152</v>
      </c>
      <c r="T1129" s="2" t="s">
        <v>13</v>
      </c>
      <c r="U1129" s="3">
        <v>1</v>
      </c>
      <c r="V1129" s="3">
        <v>1</v>
      </c>
      <c r="W1129" s="4" t="s">
        <v>13917</v>
      </c>
      <c r="X1129" s="4" t="s">
        <v>13917</v>
      </c>
      <c r="Y1129" s="4" t="s">
        <v>13917</v>
      </c>
      <c r="Z1129" s="4" t="s">
        <v>13917</v>
      </c>
      <c r="AA1129" s="3">
        <v>184</v>
      </c>
      <c r="AB1129" s="3">
        <v>143</v>
      </c>
      <c r="AC1129" s="3">
        <v>210</v>
      </c>
      <c r="AD1129" s="3">
        <v>1</v>
      </c>
      <c r="AE1129" s="9">
        <v>1</v>
      </c>
      <c r="AF1129" s="9">
        <v>4</v>
      </c>
      <c r="AG1129" s="9">
        <v>5</v>
      </c>
      <c r="AH1129" s="3">
        <v>2</v>
      </c>
      <c r="AI1129" s="3">
        <v>2</v>
      </c>
      <c r="AJ1129" s="3">
        <v>2</v>
      </c>
      <c r="AK1129" s="3">
        <v>3</v>
      </c>
      <c r="AL1129" s="3">
        <v>2</v>
      </c>
      <c r="AM1129" s="3">
        <v>3</v>
      </c>
      <c r="AN1129" s="3">
        <v>0</v>
      </c>
      <c r="AO1129" s="3">
        <v>0</v>
      </c>
      <c r="AP1129" s="3">
        <v>0</v>
      </c>
      <c r="AQ1129" s="3">
        <v>0</v>
      </c>
      <c r="AR1129" s="2" t="s">
        <v>5</v>
      </c>
      <c r="AS1129" s="2" t="s">
        <v>46</v>
      </c>
      <c r="AT1129" s="5" t="str">
        <f>HYPERLINK("http://catalog.hathitrust.org/Record/004249408","HathiTrust Record")</f>
        <v>HathiTrust Record</v>
      </c>
      <c r="AU1129" s="5" t="str">
        <f>HYPERLINK("https://creighton-primo.hosted.exlibrisgroup.com/primo-explore/search?tab=default_tab&amp;search_scope=EVERYTHING&amp;vid=01CRU&amp;lang=en_US&amp;offset=0&amp;query=any,contains,991003254999702656","Catalog Record")</f>
        <v>Catalog Record</v>
      </c>
      <c r="AV1129" s="5" t="str">
        <f>HYPERLINK("http://www.worldcat.org/oclc/47013325","WorldCat Record")</f>
        <v>WorldCat Record</v>
      </c>
      <c r="AW1129" s="2" t="s">
        <v>13918</v>
      </c>
      <c r="AX1129" s="2" t="s">
        <v>13919</v>
      </c>
      <c r="AY1129" s="2" t="s">
        <v>13920</v>
      </c>
      <c r="AZ1129" s="2" t="s">
        <v>13920</v>
      </c>
      <c r="BA1129" s="2" t="s">
        <v>13921</v>
      </c>
      <c r="BB1129" s="2" t="s">
        <v>20</v>
      </c>
      <c r="BD1129" s="2" t="s">
        <v>13922</v>
      </c>
      <c r="BE1129" s="2" t="s">
        <v>13923</v>
      </c>
      <c r="BF1129" s="2" t="s">
        <v>13924</v>
      </c>
    </row>
    <row r="1130" spans="1:58" ht="39.75" customHeight="1" x14ac:dyDescent="0.25">
      <c r="A1130" s="7" t="s">
        <v>5</v>
      </c>
      <c r="B1130" s="1" t="s">
        <v>0</v>
      </c>
      <c r="C1130" s="1" t="s">
        <v>1</v>
      </c>
      <c r="D1130" s="1" t="s">
        <v>13925</v>
      </c>
      <c r="E1130" s="1" t="s">
        <v>13926</v>
      </c>
      <c r="F1130" s="1" t="s">
        <v>13927</v>
      </c>
      <c r="H1130" s="2" t="s">
        <v>5</v>
      </c>
      <c r="I1130" s="2" t="s">
        <v>6</v>
      </c>
      <c r="J1130" s="2" t="s">
        <v>5</v>
      </c>
      <c r="K1130" s="2" t="s">
        <v>5</v>
      </c>
      <c r="L1130" s="2" t="s">
        <v>7</v>
      </c>
      <c r="M1130" s="1" t="s">
        <v>13915</v>
      </c>
      <c r="N1130" s="1" t="s">
        <v>13928</v>
      </c>
      <c r="O1130" s="2" t="s">
        <v>3941</v>
      </c>
      <c r="P1130" s="1" t="s">
        <v>2908</v>
      </c>
      <c r="Q1130" s="2" t="s">
        <v>1151</v>
      </c>
      <c r="R1130" s="2" t="s">
        <v>1152</v>
      </c>
      <c r="T1130" s="2" t="s">
        <v>13</v>
      </c>
      <c r="U1130" s="3">
        <v>1</v>
      </c>
      <c r="V1130" s="3">
        <v>1</v>
      </c>
      <c r="W1130" s="4" t="s">
        <v>5692</v>
      </c>
      <c r="X1130" s="4" t="s">
        <v>5692</v>
      </c>
      <c r="Y1130" s="4" t="s">
        <v>511</v>
      </c>
      <c r="Z1130" s="4" t="s">
        <v>511</v>
      </c>
      <c r="AA1130" s="3">
        <v>114</v>
      </c>
      <c r="AB1130" s="3">
        <v>87</v>
      </c>
      <c r="AC1130" s="3">
        <v>171</v>
      </c>
      <c r="AD1130" s="3">
        <v>1</v>
      </c>
      <c r="AE1130" s="9">
        <v>2</v>
      </c>
      <c r="AF1130" s="9">
        <v>2</v>
      </c>
      <c r="AG1130" s="9">
        <v>5</v>
      </c>
      <c r="AH1130" s="3">
        <v>1</v>
      </c>
      <c r="AI1130" s="3">
        <v>2</v>
      </c>
      <c r="AJ1130" s="3">
        <v>1</v>
      </c>
      <c r="AK1130" s="3">
        <v>2</v>
      </c>
      <c r="AL1130" s="3">
        <v>0</v>
      </c>
      <c r="AM1130" s="3">
        <v>1</v>
      </c>
      <c r="AN1130" s="3">
        <v>0</v>
      </c>
      <c r="AO1130" s="3">
        <v>1</v>
      </c>
      <c r="AP1130" s="3">
        <v>0</v>
      </c>
      <c r="AQ1130" s="3">
        <v>0</v>
      </c>
      <c r="AR1130" s="2" t="s">
        <v>5</v>
      </c>
      <c r="AS1130" s="2" t="s">
        <v>46</v>
      </c>
      <c r="AT1130" s="5" t="str">
        <f>HYPERLINK("http://catalog.hathitrust.org/Record/004216523","HathiTrust Record")</f>
        <v>HathiTrust Record</v>
      </c>
      <c r="AU1130" s="5" t="str">
        <f>HYPERLINK("https://creighton-primo.hosted.exlibrisgroup.com/primo-explore/search?tab=default_tab&amp;search_scope=EVERYTHING&amp;vid=01CRU&amp;lang=en_US&amp;offset=0&amp;query=any,contains,991003805849702656","Catalog Record")</f>
        <v>Catalog Record</v>
      </c>
      <c r="AV1130" s="5" t="str">
        <f>HYPERLINK("http://www.worldcat.org/oclc/48041549","WorldCat Record")</f>
        <v>WorldCat Record</v>
      </c>
      <c r="AW1130" s="2" t="s">
        <v>13929</v>
      </c>
      <c r="AX1130" s="2" t="s">
        <v>13930</v>
      </c>
      <c r="AY1130" s="2" t="s">
        <v>13931</v>
      </c>
      <c r="AZ1130" s="2" t="s">
        <v>13931</v>
      </c>
      <c r="BA1130" s="2" t="s">
        <v>13932</v>
      </c>
      <c r="BB1130" s="2" t="s">
        <v>20</v>
      </c>
      <c r="BD1130" s="2" t="s">
        <v>13933</v>
      </c>
      <c r="BE1130" s="2" t="s">
        <v>13934</v>
      </c>
      <c r="BF1130" s="2" t="s">
        <v>13935</v>
      </c>
    </row>
    <row r="1131" spans="1:58" ht="39.75" customHeight="1" x14ac:dyDescent="0.25">
      <c r="A1131" s="7" t="s">
        <v>5</v>
      </c>
      <c r="B1131" s="1" t="s">
        <v>0</v>
      </c>
      <c r="C1131" s="1" t="s">
        <v>1</v>
      </c>
      <c r="D1131" s="1" t="s">
        <v>13936</v>
      </c>
      <c r="E1131" s="1" t="s">
        <v>13937</v>
      </c>
      <c r="F1131" s="1" t="s">
        <v>13938</v>
      </c>
      <c r="H1131" s="2" t="s">
        <v>5</v>
      </c>
      <c r="I1131" s="2" t="s">
        <v>6</v>
      </c>
      <c r="J1131" s="2" t="s">
        <v>5</v>
      </c>
      <c r="K1131" s="2" t="s">
        <v>5</v>
      </c>
      <c r="L1131" s="2" t="s">
        <v>7</v>
      </c>
      <c r="M1131" s="1" t="s">
        <v>13915</v>
      </c>
      <c r="N1131" s="1" t="s">
        <v>13939</v>
      </c>
      <c r="O1131" s="2" t="s">
        <v>421</v>
      </c>
      <c r="Q1131" s="2" t="s">
        <v>1151</v>
      </c>
      <c r="R1131" s="2" t="s">
        <v>9502</v>
      </c>
      <c r="S1131" s="1" t="s">
        <v>13324</v>
      </c>
      <c r="T1131" s="2" t="s">
        <v>13</v>
      </c>
      <c r="U1131" s="3">
        <v>1</v>
      </c>
      <c r="V1131" s="3">
        <v>1</v>
      </c>
      <c r="W1131" s="4" t="s">
        <v>6701</v>
      </c>
      <c r="X1131" s="4" t="s">
        <v>6701</v>
      </c>
      <c r="Y1131" s="4" t="s">
        <v>6702</v>
      </c>
      <c r="Z1131" s="4" t="s">
        <v>6702</v>
      </c>
      <c r="AA1131" s="3">
        <v>18</v>
      </c>
      <c r="AB1131" s="3">
        <v>11</v>
      </c>
      <c r="AC1131" s="3">
        <v>271</v>
      </c>
      <c r="AD1131" s="3">
        <v>1</v>
      </c>
      <c r="AE1131" s="9">
        <v>2</v>
      </c>
      <c r="AF1131" s="9">
        <v>0</v>
      </c>
      <c r="AG1131" s="9">
        <v>10</v>
      </c>
      <c r="AH1131" s="3">
        <v>0</v>
      </c>
      <c r="AI1131" s="3">
        <v>4</v>
      </c>
      <c r="AJ1131" s="3">
        <v>0</v>
      </c>
      <c r="AK1131" s="3">
        <v>4</v>
      </c>
      <c r="AL1131" s="3">
        <v>0</v>
      </c>
      <c r="AM1131" s="3">
        <v>4</v>
      </c>
      <c r="AN1131" s="3">
        <v>0</v>
      </c>
      <c r="AO1131" s="3">
        <v>1</v>
      </c>
      <c r="AP1131" s="3">
        <v>0</v>
      </c>
      <c r="AQ1131" s="3">
        <v>0</v>
      </c>
      <c r="AR1131" s="2" t="s">
        <v>5</v>
      </c>
      <c r="AS1131" s="2" t="s">
        <v>5</v>
      </c>
      <c r="AU1131" s="5" t="str">
        <f>HYPERLINK("https://creighton-primo.hosted.exlibrisgroup.com/primo-explore/search?tab=default_tab&amp;search_scope=EVERYTHING&amp;vid=01CRU&amp;lang=en_US&amp;offset=0&amp;query=any,contains,991003758779702656","Catalog Record")</f>
        <v>Catalog Record</v>
      </c>
      <c r="AV1131" s="5" t="str">
        <f>HYPERLINK("http://www.worldcat.org/oclc/10596881","WorldCat Record")</f>
        <v>WorldCat Record</v>
      </c>
      <c r="AW1131" s="2" t="s">
        <v>13940</v>
      </c>
      <c r="AX1131" s="2" t="s">
        <v>13941</v>
      </c>
      <c r="AY1131" s="2" t="s">
        <v>13942</v>
      </c>
      <c r="AZ1131" s="2" t="s">
        <v>13942</v>
      </c>
      <c r="BA1131" s="2" t="s">
        <v>13943</v>
      </c>
      <c r="BB1131" s="2" t="s">
        <v>20</v>
      </c>
      <c r="BE1131" s="2" t="s">
        <v>13944</v>
      </c>
      <c r="BF1131" s="2" t="s">
        <v>13945</v>
      </c>
    </row>
    <row r="1132" spans="1:58" ht="39.75" customHeight="1" x14ac:dyDescent="0.25">
      <c r="A1132" s="7" t="s">
        <v>5</v>
      </c>
      <c r="B1132" s="1" t="s">
        <v>0</v>
      </c>
      <c r="C1132" s="1" t="s">
        <v>1</v>
      </c>
      <c r="D1132" s="1" t="s">
        <v>13946</v>
      </c>
      <c r="E1132" s="1" t="s">
        <v>13947</v>
      </c>
      <c r="F1132" s="1" t="s">
        <v>13948</v>
      </c>
      <c r="H1132" s="2" t="s">
        <v>5</v>
      </c>
      <c r="I1132" s="2" t="s">
        <v>6</v>
      </c>
      <c r="J1132" s="2" t="s">
        <v>5</v>
      </c>
      <c r="K1132" s="2" t="s">
        <v>5</v>
      </c>
      <c r="L1132" s="2" t="s">
        <v>7</v>
      </c>
      <c r="M1132" s="1" t="s">
        <v>13949</v>
      </c>
      <c r="N1132" s="1" t="s">
        <v>13950</v>
      </c>
      <c r="O1132" s="2" t="s">
        <v>42</v>
      </c>
      <c r="Q1132" s="2" t="s">
        <v>1151</v>
      </c>
      <c r="R1132" s="2" t="s">
        <v>28</v>
      </c>
      <c r="S1132" s="1" t="s">
        <v>13951</v>
      </c>
      <c r="T1132" s="2" t="s">
        <v>13</v>
      </c>
      <c r="U1132" s="3">
        <v>2</v>
      </c>
      <c r="V1132" s="3">
        <v>2</v>
      </c>
      <c r="W1132" s="4" t="s">
        <v>13952</v>
      </c>
      <c r="X1132" s="4" t="s">
        <v>13952</v>
      </c>
      <c r="Y1132" s="4" t="s">
        <v>13953</v>
      </c>
      <c r="Z1132" s="4" t="s">
        <v>13953</v>
      </c>
      <c r="AA1132" s="3">
        <v>167</v>
      </c>
      <c r="AB1132" s="3">
        <v>136</v>
      </c>
      <c r="AC1132" s="3">
        <v>184</v>
      </c>
      <c r="AD1132" s="3">
        <v>2</v>
      </c>
      <c r="AE1132" s="9">
        <v>2</v>
      </c>
      <c r="AF1132" s="9">
        <v>7</v>
      </c>
      <c r="AG1132" s="9">
        <v>10</v>
      </c>
      <c r="AH1132" s="3">
        <v>2</v>
      </c>
      <c r="AI1132" s="3">
        <v>2</v>
      </c>
      <c r="AJ1132" s="3">
        <v>2</v>
      </c>
      <c r="AK1132" s="3">
        <v>3</v>
      </c>
      <c r="AL1132" s="3">
        <v>3</v>
      </c>
      <c r="AM1132" s="3">
        <v>6</v>
      </c>
      <c r="AN1132" s="3">
        <v>1</v>
      </c>
      <c r="AO1132" s="3">
        <v>1</v>
      </c>
      <c r="AP1132" s="3">
        <v>0</v>
      </c>
      <c r="AQ1132" s="3">
        <v>0</v>
      </c>
      <c r="AR1132" s="2" t="s">
        <v>5</v>
      </c>
      <c r="AS1132" s="2" t="s">
        <v>46</v>
      </c>
      <c r="AT1132" s="5" t="str">
        <f>HYPERLINK("http://catalog.hathitrust.org/Record/002446642","HathiTrust Record")</f>
        <v>HathiTrust Record</v>
      </c>
      <c r="AU1132" s="5" t="str">
        <f>HYPERLINK("https://creighton-primo.hosted.exlibrisgroup.com/primo-explore/search?tab=default_tab&amp;search_scope=EVERYTHING&amp;vid=01CRU&amp;lang=en_US&amp;offset=0&amp;query=any,contains,991001789149702656","Catalog Record")</f>
        <v>Catalog Record</v>
      </c>
      <c r="AV1132" s="5" t="str">
        <f>HYPERLINK("http://www.worldcat.org/oclc/22515625","WorldCat Record")</f>
        <v>WorldCat Record</v>
      </c>
      <c r="AW1132" s="2" t="s">
        <v>13954</v>
      </c>
      <c r="AX1132" s="2" t="s">
        <v>13955</v>
      </c>
      <c r="AY1132" s="2" t="s">
        <v>13956</v>
      </c>
      <c r="AZ1132" s="2" t="s">
        <v>13956</v>
      </c>
      <c r="BA1132" s="2" t="s">
        <v>13957</v>
      </c>
      <c r="BB1132" s="2" t="s">
        <v>20</v>
      </c>
      <c r="BD1132" s="2" t="s">
        <v>13958</v>
      </c>
      <c r="BE1132" s="2" t="s">
        <v>13959</v>
      </c>
      <c r="BF1132" s="2" t="s">
        <v>13960</v>
      </c>
    </row>
    <row r="1133" spans="1:58" ht="39.75" customHeight="1" x14ac:dyDescent="0.25">
      <c r="A1133" s="7" t="s">
        <v>5</v>
      </c>
      <c r="B1133" s="1" t="s">
        <v>0</v>
      </c>
      <c r="C1133" s="1" t="s">
        <v>1</v>
      </c>
      <c r="D1133" s="1" t="s">
        <v>13961</v>
      </c>
      <c r="E1133" s="1" t="s">
        <v>13962</v>
      </c>
      <c r="F1133" s="1" t="s">
        <v>13963</v>
      </c>
      <c r="H1133" s="2" t="s">
        <v>5</v>
      </c>
      <c r="I1133" s="2" t="s">
        <v>6</v>
      </c>
      <c r="J1133" s="2" t="s">
        <v>5</v>
      </c>
      <c r="K1133" s="2" t="s">
        <v>5</v>
      </c>
      <c r="L1133" s="2" t="s">
        <v>7</v>
      </c>
      <c r="M1133" s="1" t="s">
        <v>13964</v>
      </c>
      <c r="N1133" s="1" t="s">
        <v>2208</v>
      </c>
      <c r="O1133" s="2" t="s">
        <v>1515</v>
      </c>
      <c r="Q1133" s="2" t="s">
        <v>60</v>
      </c>
      <c r="R1133" s="2" t="s">
        <v>277</v>
      </c>
      <c r="S1133" s="1" t="s">
        <v>13965</v>
      </c>
      <c r="T1133" s="2" t="s">
        <v>13</v>
      </c>
      <c r="U1133" s="3">
        <v>2</v>
      </c>
      <c r="V1133" s="3">
        <v>2</v>
      </c>
      <c r="W1133" s="4" t="s">
        <v>13966</v>
      </c>
      <c r="X1133" s="4" t="s">
        <v>13966</v>
      </c>
      <c r="Y1133" s="4" t="s">
        <v>12606</v>
      </c>
      <c r="Z1133" s="4" t="s">
        <v>12606</v>
      </c>
      <c r="AA1133" s="3">
        <v>391</v>
      </c>
      <c r="AB1133" s="3">
        <v>349</v>
      </c>
      <c r="AC1133" s="3">
        <v>356</v>
      </c>
      <c r="AD1133" s="3">
        <v>3</v>
      </c>
      <c r="AE1133" s="9">
        <v>3</v>
      </c>
      <c r="AF1133" s="9">
        <v>16</v>
      </c>
      <c r="AG1133" s="9">
        <v>16</v>
      </c>
      <c r="AH1133" s="3">
        <v>7</v>
      </c>
      <c r="AI1133" s="3">
        <v>7</v>
      </c>
      <c r="AJ1133" s="3">
        <v>5</v>
      </c>
      <c r="AK1133" s="3">
        <v>5</v>
      </c>
      <c r="AL1133" s="3">
        <v>7</v>
      </c>
      <c r="AM1133" s="3">
        <v>7</v>
      </c>
      <c r="AN1133" s="3">
        <v>2</v>
      </c>
      <c r="AO1133" s="3">
        <v>2</v>
      </c>
      <c r="AP1133" s="3">
        <v>0</v>
      </c>
      <c r="AQ1133" s="3">
        <v>0</v>
      </c>
      <c r="AR1133" s="2" t="s">
        <v>5</v>
      </c>
      <c r="AS1133" s="2" t="s">
        <v>46</v>
      </c>
      <c r="AT1133" s="5" t="str">
        <f>HYPERLINK("http://catalog.hathitrust.org/Record/000303472","HathiTrust Record")</f>
        <v>HathiTrust Record</v>
      </c>
      <c r="AU1133" s="5" t="str">
        <f>HYPERLINK("https://creighton-primo.hosted.exlibrisgroup.com/primo-explore/search?tab=default_tab&amp;search_scope=EVERYTHING&amp;vid=01CRU&amp;lang=en_US&amp;offset=0&amp;query=any,contains,991004778389702656","Catalog Record")</f>
        <v>Catalog Record</v>
      </c>
      <c r="AV1133" s="5" t="str">
        <f>HYPERLINK("http://www.worldcat.org/oclc/5101867","WorldCat Record")</f>
        <v>WorldCat Record</v>
      </c>
      <c r="AW1133" s="2" t="s">
        <v>13967</v>
      </c>
      <c r="AX1133" s="2" t="s">
        <v>13968</v>
      </c>
      <c r="AY1133" s="2" t="s">
        <v>13969</v>
      </c>
      <c r="AZ1133" s="2" t="s">
        <v>13969</v>
      </c>
      <c r="BA1133" s="2" t="s">
        <v>13970</v>
      </c>
      <c r="BB1133" s="2" t="s">
        <v>20</v>
      </c>
      <c r="BD1133" s="2" t="s">
        <v>13971</v>
      </c>
      <c r="BE1133" s="2" t="s">
        <v>13972</v>
      </c>
      <c r="BF1133" s="2" t="s">
        <v>13973</v>
      </c>
    </row>
    <row r="1134" spans="1:58" ht="39.75" customHeight="1" x14ac:dyDescent="0.25">
      <c r="A1134" s="7" t="s">
        <v>5</v>
      </c>
      <c r="B1134" s="1" t="s">
        <v>0</v>
      </c>
      <c r="C1134" s="1" t="s">
        <v>1</v>
      </c>
      <c r="D1134" s="1" t="s">
        <v>13974</v>
      </c>
      <c r="E1134" s="1" t="s">
        <v>13975</v>
      </c>
      <c r="F1134" s="1" t="s">
        <v>13976</v>
      </c>
      <c r="H1134" s="2" t="s">
        <v>5</v>
      </c>
      <c r="I1134" s="2" t="s">
        <v>6</v>
      </c>
      <c r="J1134" s="2" t="s">
        <v>5</v>
      </c>
      <c r="K1134" s="2" t="s">
        <v>46</v>
      </c>
      <c r="L1134" s="2" t="s">
        <v>7</v>
      </c>
      <c r="M1134" s="1" t="s">
        <v>13977</v>
      </c>
      <c r="N1134" s="1" t="s">
        <v>12618</v>
      </c>
      <c r="O1134" s="2" t="s">
        <v>494</v>
      </c>
      <c r="Q1134" s="2" t="s">
        <v>1151</v>
      </c>
      <c r="R1134" s="2" t="s">
        <v>4146</v>
      </c>
      <c r="S1134" s="1" t="s">
        <v>13978</v>
      </c>
      <c r="T1134" s="2" t="s">
        <v>13</v>
      </c>
      <c r="U1134" s="3">
        <v>1</v>
      </c>
      <c r="V1134" s="3">
        <v>1</v>
      </c>
      <c r="W1134" s="4" t="s">
        <v>10532</v>
      </c>
      <c r="X1134" s="4" t="s">
        <v>10532</v>
      </c>
      <c r="Y1134" s="4" t="s">
        <v>10532</v>
      </c>
      <c r="Z1134" s="4" t="s">
        <v>10532</v>
      </c>
      <c r="AA1134" s="3">
        <v>128</v>
      </c>
      <c r="AB1134" s="3">
        <v>93</v>
      </c>
      <c r="AC1134" s="3">
        <v>1028</v>
      </c>
      <c r="AD1134" s="3">
        <v>2</v>
      </c>
      <c r="AE1134" s="9">
        <v>5</v>
      </c>
      <c r="AF1134" s="9">
        <v>4</v>
      </c>
      <c r="AG1134" s="9">
        <v>37</v>
      </c>
      <c r="AH1134" s="3">
        <v>0</v>
      </c>
      <c r="AI1134" s="3">
        <v>16</v>
      </c>
      <c r="AJ1134" s="3">
        <v>2</v>
      </c>
      <c r="AK1134" s="3">
        <v>9</v>
      </c>
      <c r="AL1134" s="3">
        <v>2</v>
      </c>
      <c r="AM1134" s="3">
        <v>17</v>
      </c>
      <c r="AN1134" s="3">
        <v>1</v>
      </c>
      <c r="AO1134" s="3">
        <v>4</v>
      </c>
      <c r="AP1134" s="3">
        <v>0</v>
      </c>
      <c r="AQ1134" s="3">
        <v>0</v>
      </c>
      <c r="AR1134" s="2" t="s">
        <v>5</v>
      </c>
      <c r="AS1134" s="2" t="s">
        <v>46</v>
      </c>
      <c r="AT1134" s="5" t="str">
        <f>HYPERLINK("http://catalog.hathitrust.org/Record/000877601","HathiTrust Record")</f>
        <v>HathiTrust Record</v>
      </c>
      <c r="AU1134" s="5" t="str">
        <f>HYPERLINK("https://creighton-primo.hosted.exlibrisgroup.com/primo-explore/search?tab=default_tab&amp;search_scope=EVERYTHING&amp;vid=01CRU&amp;lang=en_US&amp;offset=0&amp;query=any,contains,991003682659702656","Catalog Record")</f>
        <v>Catalog Record</v>
      </c>
      <c r="AV1134" s="5" t="str">
        <f>HYPERLINK("http://www.worldcat.org/oclc/6197752","WorldCat Record")</f>
        <v>WorldCat Record</v>
      </c>
      <c r="AW1134" s="2" t="s">
        <v>13979</v>
      </c>
      <c r="AX1134" s="2" t="s">
        <v>13980</v>
      </c>
      <c r="AY1134" s="2" t="s">
        <v>13981</v>
      </c>
      <c r="AZ1134" s="2" t="s">
        <v>13981</v>
      </c>
      <c r="BA1134" s="2" t="s">
        <v>13982</v>
      </c>
      <c r="BB1134" s="2" t="s">
        <v>20</v>
      </c>
      <c r="BE1134" s="2" t="s">
        <v>13983</v>
      </c>
      <c r="BF1134" s="2" t="s">
        <v>13984</v>
      </c>
    </row>
    <row r="1135" spans="1:58" ht="39.75" customHeight="1" x14ac:dyDescent="0.25">
      <c r="A1135" s="7" t="s">
        <v>5</v>
      </c>
      <c r="B1135" s="1" t="s">
        <v>0</v>
      </c>
      <c r="C1135" s="1" t="s">
        <v>1</v>
      </c>
      <c r="D1135" s="1" t="s">
        <v>13985</v>
      </c>
      <c r="E1135" s="1" t="s">
        <v>13986</v>
      </c>
      <c r="F1135" s="1" t="s">
        <v>13987</v>
      </c>
      <c r="H1135" s="2" t="s">
        <v>5</v>
      </c>
      <c r="I1135" s="2" t="s">
        <v>6</v>
      </c>
      <c r="J1135" s="2" t="s">
        <v>5</v>
      </c>
      <c r="K1135" s="2" t="s">
        <v>46</v>
      </c>
      <c r="L1135" s="2" t="s">
        <v>7</v>
      </c>
      <c r="M1135" s="1" t="s">
        <v>13988</v>
      </c>
      <c r="N1135" s="1" t="s">
        <v>13823</v>
      </c>
      <c r="O1135" s="2" t="s">
        <v>276</v>
      </c>
      <c r="Q1135" s="2" t="s">
        <v>1151</v>
      </c>
      <c r="R1135" s="2" t="s">
        <v>4146</v>
      </c>
      <c r="S1135" s="1" t="s">
        <v>13989</v>
      </c>
      <c r="T1135" s="2" t="s">
        <v>13</v>
      </c>
      <c r="U1135" s="3">
        <v>1</v>
      </c>
      <c r="V1135" s="3">
        <v>1</v>
      </c>
      <c r="W1135" s="4" t="s">
        <v>13990</v>
      </c>
      <c r="X1135" s="4" t="s">
        <v>13990</v>
      </c>
      <c r="Y1135" s="4" t="s">
        <v>10532</v>
      </c>
      <c r="Z1135" s="4" t="s">
        <v>10532</v>
      </c>
      <c r="AA1135" s="3">
        <v>114</v>
      </c>
      <c r="AB1135" s="3">
        <v>81</v>
      </c>
      <c r="AC1135" s="3">
        <v>955</v>
      </c>
      <c r="AD1135" s="3">
        <v>1</v>
      </c>
      <c r="AE1135" s="9">
        <v>7</v>
      </c>
      <c r="AF1135" s="9">
        <v>3</v>
      </c>
      <c r="AG1135" s="9">
        <v>46</v>
      </c>
      <c r="AH1135" s="3">
        <v>1</v>
      </c>
      <c r="AI1135" s="3">
        <v>20</v>
      </c>
      <c r="AJ1135" s="3">
        <v>2</v>
      </c>
      <c r="AK1135" s="3">
        <v>10</v>
      </c>
      <c r="AL1135" s="3">
        <v>2</v>
      </c>
      <c r="AM1135" s="3">
        <v>20</v>
      </c>
      <c r="AN1135" s="3">
        <v>0</v>
      </c>
      <c r="AO1135" s="3">
        <v>6</v>
      </c>
      <c r="AP1135" s="3">
        <v>0</v>
      </c>
      <c r="AQ1135" s="3">
        <v>0</v>
      </c>
      <c r="AR1135" s="2" t="s">
        <v>5</v>
      </c>
      <c r="AS1135" s="2" t="s">
        <v>46</v>
      </c>
      <c r="AT1135" s="5" t="str">
        <f>HYPERLINK("http://catalog.hathitrust.org/Record/000133191","HathiTrust Record")</f>
        <v>HathiTrust Record</v>
      </c>
      <c r="AU1135" s="5" t="str">
        <f>HYPERLINK("https://creighton-primo.hosted.exlibrisgroup.com/primo-explore/search?tab=default_tab&amp;search_scope=EVERYTHING&amp;vid=01CRU&amp;lang=en_US&amp;offset=0&amp;query=any,contains,991003683219702656","Catalog Record")</f>
        <v>Catalog Record</v>
      </c>
      <c r="AV1135" s="5" t="str">
        <f>HYPERLINK("http://www.worldcat.org/oclc/6196982","WorldCat Record")</f>
        <v>WorldCat Record</v>
      </c>
      <c r="AW1135" s="2" t="s">
        <v>13991</v>
      </c>
      <c r="AX1135" s="2" t="s">
        <v>13992</v>
      </c>
      <c r="AY1135" s="2" t="s">
        <v>13993</v>
      </c>
      <c r="AZ1135" s="2" t="s">
        <v>13993</v>
      </c>
      <c r="BA1135" s="2" t="s">
        <v>13994</v>
      </c>
      <c r="BB1135" s="2" t="s">
        <v>20</v>
      </c>
      <c r="BE1135" s="2" t="s">
        <v>13995</v>
      </c>
      <c r="BF1135" s="2" t="s">
        <v>13996</v>
      </c>
    </row>
    <row r="1136" spans="1:58" ht="39.75" customHeight="1" x14ac:dyDescent="0.25">
      <c r="A1136" s="7" t="s">
        <v>5</v>
      </c>
      <c r="B1136" s="1" t="s">
        <v>0</v>
      </c>
      <c r="C1136" s="1" t="s">
        <v>1</v>
      </c>
      <c r="D1136" s="1" t="s">
        <v>13997</v>
      </c>
      <c r="E1136" s="1" t="s">
        <v>13998</v>
      </c>
      <c r="F1136" s="1" t="s">
        <v>13999</v>
      </c>
      <c r="H1136" s="2" t="s">
        <v>5</v>
      </c>
      <c r="I1136" s="2" t="s">
        <v>6</v>
      </c>
      <c r="J1136" s="2" t="s">
        <v>5</v>
      </c>
      <c r="K1136" s="2" t="s">
        <v>5</v>
      </c>
      <c r="L1136" s="2" t="s">
        <v>7</v>
      </c>
      <c r="M1136" s="1" t="s">
        <v>14000</v>
      </c>
      <c r="N1136" s="1" t="s">
        <v>14001</v>
      </c>
      <c r="O1136" s="2" t="s">
        <v>494</v>
      </c>
      <c r="Q1136" s="2" t="s">
        <v>1151</v>
      </c>
      <c r="R1136" s="2" t="s">
        <v>4146</v>
      </c>
      <c r="S1136" s="1" t="s">
        <v>14002</v>
      </c>
      <c r="T1136" s="2" t="s">
        <v>13</v>
      </c>
      <c r="U1136" s="3">
        <v>1</v>
      </c>
      <c r="V1136" s="3">
        <v>1</v>
      </c>
      <c r="W1136" s="4" t="s">
        <v>10532</v>
      </c>
      <c r="X1136" s="4" t="s">
        <v>10532</v>
      </c>
      <c r="Y1136" s="4" t="s">
        <v>10532</v>
      </c>
      <c r="Z1136" s="4" t="s">
        <v>10532</v>
      </c>
      <c r="AA1136" s="3">
        <v>136</v>
      </c>
      <c r="AB1136" s="3">
        <v>101</v>
      </c>
      <c r="AC1136" s="3">
        <v>116</v>
      </c>
      <c r="AD1136" s="3">
        <v>2</v>
      </c>
      <c r="AE1136" s="9">
        <v>2</v>
      </c>
      <c r="AF1136" s="9">
        <v>6</v>
      </c>
      <c r="AG1136" s="9">
        <v>6</v>
      </c>
      <c r="AH1136" s="3">
        <v>0</v>
      </c>
      <c r="AI1136" s="3">
        <v>0</v>
      </c>
      <c r="AJ1136" s="3">
        <v>4</v>
      </c>
      <c r="AK1136" s="3">
        <v>4</v>
      </c>
      <c r="AL1136" s="3">
        <v>3</v>
      </c>
      <c r="AM1136" s="3">
        <v>3</v>
      </c>
      <c r="AN1136" s="3">
        <v>1</v>
      </c>
      <c r="AO1136" s="3">
        <v>1</v>
      </c>
      <c r="AP1136" s="3">
        <v>0</v>
      </c>
      <c r="AQ1136" s="3">
        <v>0</v>
      </c>
      <c r="AR1136" s="2" t="s">
        <v>5</v>
      </c>
      <c r="AS1136" s="2" t="s">
        <v>46</v>
      </c>
      <c r="AT1136" s="5" t="str">
        <f>HYPERLINK("http://catalog.hathitrust.org/Record/000694636","HathiTrust Record")</f>
        <v>HathiTrust Record</v>
      </c>
      <c r="AU1136" s="5" t="str">
        <f>HYPERLINK("https://creighton-primo.hosted.exlibrisgroup.com/primo-explore/search?tab=default_tab&amp;search_scope=EVERYTHING&amp;vid=01CRU&amp;lang=en_US&amp;offset=0&amp;query=any,contains,991003682089702656","Catalog Record")</f>
        <v>Catalog Record</v>
      </c>
      <c r="AV1136" s="5" t="str">
        <f>HYPERLINK("http://www.worldcat.org/oclc/6196985","WorldCat Record")</f>
        <v>WorldCat Record</v>
      </c>
      <c r="AW1136" s="2" t="s">
        <v>14003</v>
      </c>
      <c r="AX1136" s="2" t="s">
        <v>14004</v>
      </c>
      <c r="AY1136" s="2" t="s">
        <v>14005</v>
      </c>
      <c r="AZ1136" s="2" t="s">
        <v>14005</v>
      </c>
      <c r="BA1136" s="2" t="s">
        <v>14006</v>
      </c>
      <c r="BB1136" s="2" t="s">
        <v>20</v>
      </c>
      <c r="BD1136" s="2" t="s">
        <v>14007</v>
      </c>
      <c r="BE1136" s="2" t="s">
        <v>14008</v>
      </c>
      <c r="BF1136" s="2" t="s">
        <v>14009</v>
      </c>
    </row>
    <row r="1137" spans="1:58" ht="39.75" customHeight="1" x14ac:dyDescent="0.25">
      <c r="A1137" s="7" t="s">
        <v>5</v>
      </c>
      <c r="B1137" s="1" t="s">
        <v>0</v>
      </c>
      <c r="C1137" s="1" t="s">
        <v>1</v>
      </c>
      <c r="D1137" s="1" t="s">
        <v>14010</v>
      </c>
      <c r="E1137" s="1" t="s">
        <v>14011</v>
      </c>
      <c r="F1137" s="1" t="s">
        <v>14012</v>
      </c>
      <c r="H1137" s="2" t="s">
        <v>5</v>
      </c>
      <c r="I1137" s="2" t="s">
        <v>6</v>
      </c>
      <c r="J1137" s="2" t="s">
        <v>5</v>
      </c>
      <c r="K1137" s="2" t="s">
        <v>5</v>
      </c>
      <c r="L1137" s="2" t="s">
        <v>7</v>
      </c>
      <c r="M1137" s="1" t="s">
        <v>13949</v>
      </c>
      <c r="N1137" s="1" t="s">
        <v>14013</v>
      </c>
      <c r="O1137" s="2" t="s">
        <v>584</v>
      </c>
      <c r="P1137" s="1" t="s">
        <v>14014</v>
      </c>
      <c r="Q1137" s="2" t="s">
        <v>1151</v>
      </c>
      <c r="R1137" s="2" t="s">
        <v>1152</v>
      </c>
      <c r="T1137" s="2" t="s">
        <v>13</v>
      </c>
      <c r="U1137" s="3">
        <v>1</v>
      </c>
      <c r="V1137" s="3">
        <v>1</v>
      </c>
      <c r="W1137" s="4" t="s">
        <v>14015</v>
      </c>
      <c r="X1137" s="4" t="s">
        <v>14015</v>
      </c>
      <c r="Y1137" s="4" t="s">
        <v>13574</v>
      </c>
      <c r="Z1137" s="4" t="s">
        <v>13574</v>
      </c>
      <c r="AA1137" s="3">
        <v>220</v>
      </c>
      <c r="AB1137" s="3">
        <v>209</v>
      </c>
      <c r="AC1137" s="3">
        <v>216</v>
      </c>
      <c r="AD1137" s="3">
        <v>4</v>
      </c>
      <c r="AE1137" s="9">
        <v>4</v>
      </c>
      <c r="AF1137" s="9">
        <v>14</v>
      </c>
      <c r="AG1137" s="9">
        <v>14</v>
      </c>
      <c r="AH1137" s="3">
        <v>4</v>
      </c>
      <c r="AI1137" s="3">
        <v>4</v>
      </c>
      <c r="AJ1137" s="3">
        <v>2</v>
      </c>
      <c r="AK1137" s="3">
        <v>2</v>
      </c>
      <c r="AL1137" s="3">
        <v>9</v>
      </c>
      <c r="AM1137" s="3">
        <v>9</v>
      </c>
      <c r="AN1137" s="3">
        <v>3</v>
      </c>
      <c r="AO1137" s="3">
        <v>3</v>
      </c>
      <c r="AP1137" s="3">
        <v>0</v>
      </c>
      <c r="AQ1137" s="3">
        <v>0</v>
      </c>
      <c r="AR1137" s="2" t="s">
        <v>5</v>
      </c>
      <c r="AS1137" s="2" t="s">
        <v>46</v>
      </c>
      <c r="AT1137" s="5" t="str">
        <f>HYPERLINK("http://catalog.hathitrust.org/Record/001053935","HathiTrust Record")</f>
        <v>HathiTrust Record</v>
      </c>
      <c r="AU1137" s="5" t="str">
        <f>HYPERLINK("https://creighton-primo.hosted.exlibrisgroup.com/primo-explore/search?tab=default_tab&amp;search_scope=EVERYTHING&amp;vid=01CRU&amp;lang=en_US&amp;offset=0&amp;query=any,contains,991002474089702656","Catalog Record")</f>
        <v>Catalog Record</v>
      </c>
      <c r="AV1137" s="5" t="str">
        <f>HYPERLINK("http://www.worldcat.org/oclc/358796","WorldCat Record")</f>
        <v>WorldCat Record</v>
      </c>
      <c r="AW1137" s="2" t="s">
        <v>14016</v>
      </c>
      <c r="AX1137" s="2" t="s">
        <v>14017</v>
      </c>
      <c r="AY1137" s="2" t="s">
        <v>14018</v>
      </c>
      <c r="AZ1137" s="2" t="s">
        <v>14018</v>
      </c>
      <c r="BA1137" s="2" t="s">
        <v>14019</v>
      </c>
      <c r="BB1137" s="2" t="s">
        <v>20</v>
      </c>
      <c r="BE1137" s="2" t="s">
        <v>14020</v>
      </c>
      <c r="BF1137" s="2" t="s">
        <v>14021</v>
      </c>
    </row>
    <row r="1138" spans="1:58" ht="39.75" customHeight="1" x14ac:dyDescent="0.25">
      <c r="A1138" s="7" t="s">
        <v>5</v>
      </c>
      <c r="B1138" s="1" t="s">
        <v>0</v>
      </c>
      <c r="C1138" s="1" t="s">
        <v>1</v>
      </c>
      <c r="D1138" s="1" t="s">
        <v>14022</v>
      </c>
      <c r="E1138" s="1" t="s">
        <v>14023</v>
      </c>
      <c r="F1138" s="1" t="s">
        <v>14024</v>
      </c>
      <c r="H1138" s="2" t="s">
        <v>5</v>
      </c>
      <c r="I1138" s="2" t="s">
        <v>6</v>
      </c>
      <c r="J1138" s="2" t="s">
        <v>5</v>
      </c>
      <c r="K1138" s="2" t="s">
        <v>5</v>
      </c>
      <c r="L1138" s="2" t="s">
        <v>7</v>
      </c>
      <c r="M1138" s="1" t="s">
        <v>14025</v>
      </c>
      <c r="N1138" s="1" t="s">
        <v>2394</v>
      </c>
      <c r="O1138" s="2" t="s">
        <v>494</v>
      </c>
      <c r="Q1138" s="2" t="s">
        <v>60</v>
      </c>
      <c r="R1138" s="2" t="s">
        <v>277</v>
      </c>
      <c r="S1138" s="1" t="s">
        <v>14026</v>
      </c>
      <c r="T1138" s="2" t="s">
        <v>13</v>
      </c>
      <c r="U1138" s="3">
        <v>5</v>
      </c>
      <c r="V1138" s="3">
        <v>5</v>
      </c>
      <c r="W1138" s="4" t="s">
        <v>13952</v>
      </c>
      <c r="X1138" s="4" t="s">
        <v>13952</v>
      </c>
      <c r="Y1138" s="4" t="s">
        <v>12606</v>
      </c>
      <c r="Z1138" s="4" t="s">
        <v>12606</v>
      </c>
      <c r="AA1138" s="3">
        <v>469</v>
      </c>
      <c r="AB1138" s="3">
        <v>418</v>
      </c>
      <c r="AC1138" s="3">
        <v>425</v>
      </c>
      <c r="AD1138" s="3">
        <v>3</v>
      </c>
      <c r="AE1138" s="9">
        <v>3</v>
      </c>
      <c r="AF1138" s="9">
        <v>22</v>
      </c>
      <c r="AG1138" s="9">
        <v>22</v>
      </c>
      <c r="AH1138" s="3">
        <v>11</v>
      </c>
      <c r="AI1138" s="3">
        <v>11</v>
      </c>
      <c r="AJ1138" s="3">
        <v>5</v>
      </c>
      <c r="AK1138" s="3">
        <v>5</v>
      </c>
      <c r="AL1138" s="3">
        <v>12</v>
      </c>
      <c r="AM1138" s="3">
        <v>12</v>
      </c>
      <c r="AN1138" s="3">
        <v>2</v>
      </c>
      <c r="AO1138" s="3">
        <v>2</v>
      </c>
      <c r="AP1138" s="3">
        <v>0</v>
      </c>
      <c r="AQ1138" s="3">
        <v>0</v>
      </c>
      <c r="AR1138" s="2" t="s">
        <v>5</v>
      </c>
      <c r="AS1138" s="2" t="s">
        <v>46</v>
      </c>
      <c r="AT1138" s="5" t="str">
        <f>HYPERLINK("http://catalog.hathitrust.org/Record/000176537","HathiTrust Record")</f>
        <v>HathiTrust Record</v>
      </c>
      <c r="AU1138" s="5" t="str">
        <f>HYPERLINK("https://creighton-primo.hosted.exlibrisgroup.com/primo-explore/search?tab=default_tab&amp;search_scope=EVERYTHING&amp;vid=01CRU&amp;lang=en_US&amp;offset=0&amp;query=any,contains,991004563639702656","Catalog Record")</f>
        <v>Catalog Record</v>
      </c>
      <c r="AV1138" s="5" t="str">
        <f>HYPERLINK("http://www.worldcat.org/oclc/4003975","WorldCat Record")</f>
        <v>WorldCat Record</v>
      </c>
      <c r="AW1138" s="2" t="s">
        <v>14027</v>
      </c>
      <c r="AX1138" s="2" t="s">
        <v>14028</v>
      </c>
      <c r="AY1138" s="2" t="s">
        <v>14029</v>
      </c>
      <c r="AZ1138" s="2" t="s">
        <v>14029</v>
      </c>
      <c r="BA1138" s="2" t="s">
        <v>14030</v>
      </c>
      <c r="BB1138" s="2" t="s">
        <v>20</v>
      </c>
      <c r="BD1138" s="2" t="s">
        <v>14031</v>
      </c>
      <c r="BE1138" s="2" t="s">
        <v>14032</v>
      </c>
      <c r="BF1138" s="2" t="s">
        <v>14033</v>
      </c>
    </row>
    <row r="1139" spans="1:58" ht="39.75" customHeight="1" x14ac:dyDescent="0.25">
      <c r="A1139" s="7" t="s">
        <v>5</v>
      </c>
      <c r="B1139" s="1" t="s">
        <v>0</v>
      </c>
      <c r="C1139" s="1" t="s">
        <v>1</v>
      </c>
      <c r="D1139" s="1" t="s">
        <v>14034</v>
      </c>
      <c r="E1139" s="1" t="s">
        <v>14035</v>
      </c>
      <c r="F1139" s="1" t="s">
        <v>14036</v>
      </c>
      <c r="H1139" s="2" t="s">
        <v>5</v>
      </c>
      <c r="I1139" s="2" t="s">
        <v>6</v>
      </c>
      <c r="J1139" s="2" t="s">
        <v>5</v>
      </c>
      <c r="K1139" s="2" t="s">
        <v>5</v>
      </c>
      <c r="L1139" s="2" t="s">
        <v>7</v>
      </c>
      <c r="M1139" s="1" t="s">
        <v>14037</v>
      </c>
      <c r="N1139" s="1" t="s">
        <v>14038</v>
      </c>
      <c r="O1139" s="2" t="s">
        <v>3250</v>
      </c>
      <c r="Q1139" s="2" t="s">
        <v>1151</v>
      </c>
      <c r="R1139" s="2" t="s">
        <v>6994</v>
      </c>
      <c r="S1139" s="1" t="s">
        <v>14039</v>
      </c>
      <c r="T1139" s="2" t="s">
        <v>13</v>
      </c>
      <c r="U1139" s="3">
        <v>1</v>
      </c>
      <c r="V1139" s="3">
        <v>1</v>
      </c>
      <c r="W1139" s="4" t="s">
        <v>997</v>
      </c>
      <c r="X1139" s="4" t="s">
        <v>997</v>
      </c>
      <c r="Y1139" s="4" t="s">
        <v>997</v>
      </c>
      <c r="Z1139" s="4" t="s">
        <v>997</v>
      </c>
      <c r="AA1139" s="3">
        <v>41</v>
      </c>
      <c r="AB1139" s="3">
        <v>38</v>
      </c>
      <c r="AC1139" s="3">
        <v>40</v>
      </c>
      <c r="AD1139" s="3">
        <v>1</v>
      </c>
      <c r="AE1139" s="9">
        <v>1</v>
      </c>
      <c r="AF1139" s="9">
        <v>1</v>
      </c>
      <c r="AG1139" s="9">
        <v>1</v>
      </c>
      <c r="AH1139" s="3">
        <v>0</v>
      </c>
      <c r="AI1139" s="3">
        <v>0</v>
      </c>
      <c r="AJ1139" s="3">
        <v>0</v>
      </c>
      <c r="AK1139" s="3">
        <v>0</v>
      </c>
      <c r="AL1139" s="3">
        <v>1</v>
      </c>
      <c r="AM1139" s="3">
        <v>1</v>
      </c>
      <c r="AN1139" s="3">
        <v>0</v>
      </c>
      <c r="AO1139" s="3">
        <v>0</v>
      </c>
      <c r="AP1139" s="3">
        <v>0</v>
      </c>
      <c r="AQ1139" s="3">
        <v>0</v>
      </c>
      <c r="AR1139" s="2" t="s">
        <v>5</v>
      </c>
      <c r="AS1139" s="2" t="s">
        <v>46</v>
      </c>
      <c r="AT1139" s="5" t="str">
        <f>HYPERLINK("http://catalog.hathitrust.org/Record/101202960","HathiTrust Record")</f>
        <v>HathiTrust Record</v>
      </c>
      <c r="AU1139" s="5" t="str">
        <f>HYPERLINK("https://creighton-primo.hosted.exlibrisgroup.com/primo-explore/search?tab=default_tab&amp;search_scope=EVERYTHING&amp;vid=01CRU&amp;lang=en_US&amp;offset=0&amp;query=any,contains,991004209449702656","Catalog Record")</f>
        <v>Catalog Record</v>
      </c>
      <c r="AV1139" s="5" t="str">
        <f>HYPERLINK("http://www.worldcat.org/oclc/54047879","WorldCat Record")</f>
        <v>WorldCat Record</v>
      </c>
      <c r="AW1139" s="2" t="s">
        <v>14040</v>
      </c>
      <c r="AX1139" s="2" t="s">
        <v>14041</v>
      </c>
      <c r="AY1139" s="2" t="s">
        <v>14042</v>
      </c>
      <c r="AZ1139" s="2" t="s">
        <v>14042</v>
      </c>
      <c r="BA1139" s="2" t="s">
        <v>14043</v>
      </c>
      <c r="BB1139" s="2" t="s">
        <v>20</v>
      </c>
      <c r="BD1139" s="2" t="s">
        <v>14044</v>
      </c>
      <c r="BE1139" s="2" t="s">
        <v>14045</v>
      </c>
      <c r="BF1139" s="2" t="s">
        <v>14046</v>
      </c>
    </row>
    <row r="1140" spans="1:58" ht="39.75" customHeight="1" x14ac:dyDescent="0.25">
      <c r="A1140" s="7" t="s">
        <v>5</v>
      </c>
      <c r="B1140" s="1" t="s">
        <v>0</v>
      </c>
      <c r="C1140" s="1" t="s">
        <v>1</v>
      </c>
      <c r="D1140" s="1" t="s">
        <v>14047</v>
      </c>
      <c r="E1140" s="1" t="s">
        <v>14048</v>
      </c>
      <c r="F1140" s="1" t="s">
        <v>14049</v>
      </c>
      <c r="H1140" s="2" t="s">
        <v>5</v>
      </c>
      <c r="I1140" s="2" t="s">
        <v>6</v>
      </c>
      <c r="J1140" s="2" t="s">
        <v>5</v>
      </c>
      <c r="K1140" s="2" t="s">
        <v>5</v>
      </c>
      <c r="L1140" s="2" t="s">
        <v>7</v>
      </c>
      <c r="M1140" s="1" t="s">
        <v>14050</v>
      </c>
      <c r="N1140" s="1" t="s">
        <v>14051</v>
      </c>
      <c r="O1140" s="2" t="s">
        <v>1390</v>
      </c>
      <c r="Q1140" s="2" t="s">
        <v>1151</v>
      </c>
      <c r="R1140" s="2" t="s">
        <v>5863</v>
      </c>
      <c r="T1140" s="2" t="s">
        <v>13</v>
      </c>
      <c r="U1140" s="3">
        <v>1</v>
      </c>
      <c r="V1140" s="3">
        <v>1</v>
      </c>
      <c r="W1140" s="4" t="s">
        <v>12088</v>
      </c>
      <c r="X1140" s="4" t="s">
        <v>12088</v>
      </c>
      <c r="Y1140" s="4" t="s">
        <v>11707</v>
      </c>
      <c r="Z1140" s="4" t="s">
        <v>11707</v>
      </c>
      <c r="AA1140" s="3">
        <v>7</v>
      </c>
      <c r="AB1140" s="3">
        <v>6</v>
      </c>
      <c r="AC1140" s="3">
        <v>8</v>
      </c>
      <c r="AD1140" s="3">
        <v>1</v>
      </c>
      <c r="AE1140" s="9">
        <v>1</v>
      </c>
      <c r="AF1140" s="9">
        <v>0</v>
      </c>
      <c r="AG1140" s="9">
        <v>0</v>
      </c>
      <c r="AH1140" s="3">
        <v>0</v>
      </c>
      <c r="AI1140" s="3">
        <v>0</v>
      </c>
      <c r="AJ1140" s="3">
        <v>0</v>
      </c>
      <c r="AK1140" s="3">
        <v>0</v>
      </c>
      <c r="AL1140" s="3">
        <v>0</v>
      </c>
      <c r="AM1140" s="3">
        <v>0</v>
      </c>
      <c r="AN1140" s="3">
        <v>0</v>
      </c>
      <c r="AO1140" s="3">
        <v>0</v>
      </c>
      <c r="AP1140" s="3">
        <v>0</v>
      </c>
      <c r="AQ1140" s="3">
        <v>0</v>
      </c>
      <c r="AR1140" s="2" t="s">
        <v>5</v>
      </c>
      <c r="AS1140" s="2" t="s">
        <v>46</v>
      </c>
      <c r="AT1140" s="5" t="str">
        <f>HYPERLINK("http://catalog.hathitrust.org/Record/006716020","HathiTrust Record")</f>
        <v>HathiTrust Record</v>
      </c>
      <c r="AU1140" s="5" t="str">
        <f>HYPERLINK("https://creighton-primo.hosted.exlibrisgroup.com/primo-explore/search?tab=default_tab&amp;search_scope=EVERYTHING&amp;vid=01CRU&amp;lang=en_US&amp;offset=0&amp;query=any,contains,991003679259702656","Catalog Record")</f>
        <v>Catalog Record</v>
      </c>
      <c r="AV1140" s="5" t="str">
        <f>HYPERLINK("http://www.worldcat.org/oclc/7957105","WorldCat Record")</f>
        <v>WorldCat Record</v>
      </c>
      <c r="AW1140" s="2" t="s">
        <v>14052</v>
      </c>
      <c r="AX1140" s="2" t="s">
        <v>14053</v>
      </c>
      <c r="AY1140" s="2" t="s">
        <v>14054</v>
      </c>
      <c r="AZ1140" s="2" t="s">
        <v>14054</v>
      </c>
      <c r="BA1140" s="2" t="s">
        <v>14055</v>
      </c>
      <c r="BB1140" s="2" t="s">
        <v>20</v>
      </c>
      <c r="BE1140" s="2" t="s">
        <v>14056</v>
      </c>
      <c r="BF1140" s="2" t="s">
        <v>14057</v>
      </c>
    </row>
    <row r="1141" spans="1:58" ht="39.75" customHeight="1" x14ac:dyDescent="0.25">
      <c r="A1141" s="7" t="s">
        <v>5</v>
      </c>
      <c r="B1141" s="1" t="s">
        <v>0</v>
      </c>
      <c r="C1141" s="1" t="s">
        <v>1</v>
      </c>
      <c r="D1141" s="1" t="s">
        <v>14058</v>
      </c>
      <c r="E1141" s="1" t="s">
        <v>14059</v>
      </c>
      <c r="F1141" s="1" t="s">
        <v>14060</v>
      </c>
      <c r="H1141" s="2" t="s">
        <v>5</v>
      </c>
      <c r="I1141" s="2" t="s">
        <v>6</v>
      </c>
      <c r="J1141" s="2" t="s">
        <v>5</v>
      </c>
      <c r="K1141" s="2" t="s">
        <v>5</v>
      </c>
      <c r="L1141" s="2" t="s">
        <v>7</v>
      </c>
      <c r="M1141" s="1" t="s">
        <v>14061</v>
      </c>
      <c r="N1141" s="1" t="s">
        <v>14062</v>
      </c>
      <c r="O1141" s="2" t="s">
        <v>392</v>
      </c>
      <c r="Q1141" s="2" t="s">
        <v>1151</v>
      </c>
      <c r="R1141" s="2" t="s">
        <v>4146</v>
      </c>
      <c r="S1141" s="1" t="s">
        <v>14063</v>
      </c>
      <c r="T1141" s="2" t="s">
        <v>13</v>
      </c>
      <c r="U1141" s="3">
        <v>1</v>
      </c>
      <c r="V1141" s="3">
        <v>1</v>
      </c>
      <c r="W1141" s="4" t="s">
        <v>14064</v>
      </c>
      <c r="X1141" s="4" t="s">
        <v>14064</v>
      </c>
      <c r="Y1141" s="4" t="s">
        <v>14065</v>
      </c>
      <c r="Z1141" s="4" t="s">
        <v>14065</v>
      </c>
      <c r="AA1141" s="3">
        <v>20</v>
      </c>
      <c r="AB1141" s="3">
        <v>17</v>
      </c>
      <c r="AC1141" s="3">
        <v>18</v>
      </c>
      <c r="AD1141" s="3">
        <v>2</v>
      </c>
      <c r="AE1141" s="9">
        <v>2</v>
      </c>
      <c r="AF1141" s="9">
        <v>1</v>
      </c>
      <c r="AG1141" s="9">
        <v>1</v>
      </c>
      <c r="AH1141" s="3">
        <v>0</v>
      </c>
      <c r="AI1141" s="3">
        <v>0</v>
      </c>
      <c r="AJ1141" s="3">
        <v>0</v>
      </c>
      <c r="AK1141" s="3">
        <v>0</v>
      </c>
      <c r="AL1141" s="3">
        <v>0</v>
      </c>
      <c r="AM1141" s="3">
        <v>0</v>
      </c>
      <c r="AN1141" s="3">
        <v>1</v>
      </c>
      <c r="AO1141" s="3">
        <v>1</v>
      </c>
      <c r="AP1141" s="3">
        <v>0</v>
      </c>
      <c r="AQ1141" s="3">
        <v>0</v>
      </c>
      <c r="AR1141" s="2" t="s">
        <v>5</v>
      </c>
      <c r="AS1141" s="2" t="s">
        <v>46</v>
      </c>
      <c r="AT1141" s="5" t="str">
        <f>HYPERLINK("http://catalog.hathitrust.org/Record/101203325","HathiTrust Record")</f>
        <v>HathiTrust Record</v>
      </c>
      <c r="AU1141" s="5" t="str">
        <f>HYPERLINK("https://creighton-primo.hosted.exlibrisgroup.com/primo-explore/search?tab=default_tab&amp;search_scope=EVERYTHING&amp;vid=01CRU&amp;lang=en_US&amp;offset=0&amp;query=any,contains,991003858029702656","Catalog Record")</f>
        <v>Catalog Record</v>
      </c>
      <c r="AV1141" s="5" t="str">
        <f>HYPERLINK("http://www.worldcat.org/oclc/1725746","WorldCat Record")</f>
        <v>WorldCat Record</v>
      </c>
      <c r="AW1141" s="2" t="s">
        <v>14066</v>
      </c>
      <c r="AX1141" s="2" t="s">
        <v>14067</v>
      </c>
      <c r="AY1141" s="2" t="s">
        <v>14068</v>
      </c>
      <c r="AZ1141" s="2" t="s">
        <v>14068</v>
      </c>
      <c r="BA1141" s="2" t="s">
        <v>14069</v>
      </c>
      <c r="BB1141" s="2" t="s">
        <v>20</v>
      </c>
      <c r="BE1141" s="2" t="s">
        <v>14070</v>
      </c>
      <c r="BF1141" s="2" t="s">
        <v>14071</v>
      </c>
    </row>
    <row r="1142" spans="1:58" ht="39.75" customHeight="1" x14ac:dyDescent="0.25">
      <c r="A1142" s="7" t="s">
        <v>5</v>
      </c>
      <c r="B1142" s="1" t="s">
        <v>0</v>
      </c>
      <c r="C1142" s="1" t="s">
        <v>1</v>
      </c>
      <c r="D1142" s="1" t="s">
        <v>14072</v>
      </c>
      <c r="E1142" s="1" t="s">
        <v>14073</v>
      </c>
      <c r="F1142" s="1" t="s">
        <v>14074</v>
      </c>
      <c r="H1142" s="2" t="s">
        <v>5</v>
      </c>
      <c r="I1142" s="2" t="s">
        <v>6</v>
      </c>
      <c r="J1142" s="2" t="s">
        <v>5</v>
      </c>
      <c r="K1142" s="2" t="s">
        <v>5</v>
      </c>
      <c r="L1142" s="2" t="s">
        <v>7</v>
      </c>
      <c r="M1142" s="1" t="s">
        <v>14075</v>
      </c>
      <c r="N1142" s="1" t="s">
        <v>14076</v>
      </c>
      <c r="O1142" s="2" t="s">
        <v>1390</v>
      </c>
      <c r="Q1142" s="2" t="s">
        <v>1151</v>
      </c>
      <c r="R1142" s="2" t="s">
        <v>4146</v>
      </c>
      <c r="T1142" s="2" t="s">
        <v>13</v>
      </c>
      <c r="U1142" s="3">
        <v>1</v>
      </c>
      <c r="V1142" s="3">
        <v>1</v>
      </c>
      <c r="W1142" s="4" t="s">
        <v>14077</v>
      </c>
      <c r="X1142" s="4" t="s">
        <v>14077</v>
      </c>
      <c r="Y1142" s="4" t="s">
        <v>14077</v>
      </c>
      <c r="Z1142" s="4" t="s">
        <v>14077</v>
      </c>
      <c r="AA1142" s="3">
        <v>4</v>
      </c>
      <c r="AB1142" s="3">
        <v>4</v>
      </c>
      <c r="AC1142" s="3">
        <v>5</v>
      </c>
      <c r="AD1142" s="3">
        <v>1</v>
      </c>
      <c r="AE1142" s="9">
        <v>1</v>
      </c>
      <c r="AF1142" s="9">
        <v>0</v>
      </c>
      <c r="AG1142" s="9">
        <v>0</v>
      </c>
      <c r="AH1142" s="3">
        <v>0</v>
      </c>
      <c r="AI1142" s="3">
        <v>0</v>
      </c>
      <c r="AJ1142" s="3">
        <v>0</v>
      </c>
      <c r="AK1142" s="3">
        <v>0</v>
      </c>
      <c r="AL1142" s="3">
        <v>0</v>
      </c>
      <c r="AM1142" s="3">
        <v>0</v>
      </c>
      <c r="AN1142" s="3">
        <v>0</v>
      </c>
      <c r="AO1142" s="3">
        <v>0</v>
      </c>
      <c r="AP1142" s="3">
        <v>0</v>
      </c>
      <c r="AQ1142" s="3">
        <v>0</v>
      </c>
      <c r="AR1142" s="2" t="s">
        <v>5</v>
      </c>
      <c r="AS1142" s="2" t="s">
        <v>46</v>
      </c>
      <c r="AT1142" s="5" t="str">
        <f>HYPERLINK("http://catalog.hathitrust.org/Record/007876449","HathiTrust Record")</f>
        <v>HathiTrust Record</v>
      </c>
      <c r="AU1142" s="5" t="str">
        <f>HYPERLINK("https://creighton-primo.hosted.exlibrisgroup.com/primo-explore/search?tab=default_tab&amp;search_scope=EVERYTHING&amp;vid=01CRU&amp;lang=en_US&amp;offset=0&amp;query=any,contains,991004046259702656","Catalog Record")</f>
        <v>Catalog Record</v>
      </c>
      <c r="AV1142" s="5" t="str">
        <f>HYPERLINK("http://www.worldcat.org/oclc/21707330","WorldCat Record")</f>
        <v>WorldCat Record</v>
      </c>
      <c r="AW1142" s="2" t="s">
        <v>14078</v>
      </c>
      <c r="AX1142" s="2" t="s">
        <v>14079</v>
      </c>
      <c r="AY1142" s="2" t="s">
        <v>14080</v>
      </c>
      <c r="AZ1142" s="2" t="s">
        <v>14080</v>
      </c>
      <c r="BA1142" s="2" t="s">
        <v>14081</v>
      </c>
      <c r="BB1142" s="2" t="s">
        <v>20</v>
      </c>
      <c r="BE1142" s="2" t="s">
        <v>14082</v>
      </c>
      <c r="BF1142" s="2" t="s">
        <v>14083</v>
      </c>
    </row>
    <row r="1143" spans="1:58" ht="39.75" customHeight="1" x14ac:dyDescent="0.25">
      <c r="A1143" s="7" t="s">
        <v>5</v>
      </c>
      <c r="B1143" s="1" t="s">
        <v>0</v>
      </c>
      <c r="C1143" s="1" t="s">
        <v>1</v>
      </c>
      <c r="D1143" s="1" t="s">
        <v>14084</v>
      </c>
      <c r="E1143" s="1" t="s">
        <v>14085</v>
      </c>
      <c r="F1143" s="1" t="s">
        <v>14086</v>
      </c>
      <c r="H1143" s="2" t="s">
        <v>5</v>
      </c>
      <c r="I1143" s="2" t="s">
        <v>6</v>
      </c>
      <c r="J1143" s="2" t="s">
        <v>5</v>
      </c>
      <c r="K1143" s="2" t="s">
        <v>5</v>
      </c>
      <c r="L1143" s="2" t="s">
        <v>7</v>
      </c>
      <c r="M1143" s="1" t="s">
        <v>14087</v>
      </c>
      <c r="N1143" s="1" t="s">
        <v>14088</v>
      </c>
      <c r="O1143" s="2" t="s">
        <v>736</v>
      </c>
      <c r="P1143" s="1" t="s">
        <v>2908</v>
      </c>
      <c r="Q1143" s="2" t="s">
        <v>1151</v>
      </c>
      <c r="R1143" s="2" t="s">
        <v>5863</v>
      </c>
      <c r="S1143" s="1" t="s">
        <v>14089</v>
      </c>
      <c r="T1143" s="2" t="s">
        <v>13</v>
      </c>
      <c r="U1143" s="3">
        <v>1</v>
      </c>
      <c r="V1143" s="3">
        <v>1</v>
      </c>
      <c r="W1143" s="4" t="s">
        <v>1154</v>
      </c>
      <c r="X1143" s="4" t="s">
        <v>1154</v>
      </c>
      <c r="Y1143" s="4" t="s">
        <v>1154</v>
      </c>
      <c r="Z1143" s="4" t="s">
        <v>1154</v>
      </c>
      <c r="AA1143" s="3">
        <v>38</v>
      </c>
      <c r="AB1143" s="3">
        <v>36</v>
      </c>
      <c r="AC1143" s="3">
        <v>38</v>
      </c>
      <c r="AD1143" s="3">
        <v>1</v>
      </c>
      <c r="AE1143" s="9">
        <v>1</v>
      </c>
      <c r="AF1143" s="9">
        <v>1</v>
      </c>
      <c r="AG1143" s="9">
        <v>1</v>
      </c>
      <c r="AH1143" s="3">
        <v>0</v>
      </c>
      <c r="AI1143" s="3">
        <v>0</v>
      </c>
      <c r="AJ1143" s="3">
        <v>0</v>
      </c>
      <c r="AK1143" s="3">
        <v>0</v>
      </c>
      <c r="AL1143" s="3">
        <v>1</v>
      </c>
      <c r="AM1143" s="3">
        <v>1</v>
      </c>
      <c r="AN1143" s="3">
        <v>0</v>
      </c>
      <c r="AO1143" s="3">
        <v>0</v>
      </c>
      <c r="AP1143" s="3">
        <v>0</v>
      </c>
      <c r="AQ1143" s="3">
        <v>0</v>
      </c>
      <c r="AR1143" s="2" t="s">
        <v>5</v>
      </c>
      <c r="AS1143" s="2" t="s">
        <v>46</v>
      </c>
      <c r="AT1143" s="5" t="str">
        <f>HYPERLINK("http://catalog.hathitrust.org/Record/101203550","HathiTrust Record")</f>
        <v>HathiTrust Record</v>
      </c>
      <c r="AU1143" s="5" t="str">
        <f>HYPERLINK("https://creighton-primo.hosted.exlibrisgroup.com/primo-explore/search?tab=default_tab&amp;search_scope=EVERYTHING&amp;vid=01CRU&amp;lang=en_US&amp;offset=0&amp;query=any,contains,991003845949702656","Catalog Record")</f>
        <v>Catalog Record</v>
      </c>
      <c r="AV1143" s="5" t="str">
        <f>HYPERLINK("http://www.worldcat.org/oclc/30671361","WorldCat Record")</f>
        <v>WorldCat Record</v>
      </c>
      <c r="AW1143" s="2" t="s">
        <v>14090</v>
      </c>
      <c r="AX1143" s="2" t="s">
        <v>14091</v>
      </c>
      <c r="AY1143" s="2" t="s">
        <v>14092</v>
      </c>
      <c r="AZ1143" s="2" t="s">
        <v>14092</v>
      </c>
      <c r="BA1143" s="2" t="s">
        <v>14093</v>
      </c>
      <c r="BB1143" s="2" t="s">
        <v>20</v>
      </c>
      <c r="BD1143" s="2" t="s">
        <v>14094</v>
      </c>
      <c r="BE1143" s="2" t="s">
        <v>14095</v>
      </c>
      <c r="BF1143" s="2" t="s">
        <v>14096</v>
      </c>
    </row>
    <row r="1144" spans="1:58" ht="39.75" customHeight="1" x14ac:dyDescent="0.25">
      <c r="A1144" s="7" t="s">
        <v>5</v>
      </c>
      <c r="B1144" s="1" t="s">
        <v>0</v>
      </c>
      <c r="C1144" s="1" t="s">
        <v>1</v>
      </c>
      <c r="D1144" s="1" t="s">
        <v>14097</v>
      </c>
      <c r="E1144" s="1" t="s">
        <v>14098</v>
      </c>
      <c r="F1144" s="1" t="s">
        <v>14099</v>
      </c>
      <c r="H1144" s="2" t="s">
        <v>5</v>
      </c>
      <c r="I1144" s="2" t="s">
        <v>6</v>
      </c>
      <c r="J1144" s="2" t="s">
        <v>5</v>
      </c>
      <c r="K1144" s="2" t="s">
        <v>5</v>
      </c>
      <c r="L1144" s="2" t="s">
        <v>7</v>
      </c>
      <c r="M1144" s="1" t="s">
        <v>14100</v>
      </c>
      <c r="N1144" s="1" t="s">
        <v>14101</v>
      </c>
      <c r="O1144" s="2" t="s">
        <v>886</v>
      </c>
      <c r="P1144" s="1" t="s">
        <v>14102</v>
      </c>
      <c r="Q1144" s="2" t="s">
        <v>1151</v>
      </c>
      <c r="R1144" s="2" t="s">
        <v>3002</v>
      </c>
      <c r="S1144" s="1" t="s">
        <v>14103</v>
      </c>
      <c r="T1144" s="2" t="s">
        <v>13</v>
      </c>
      <c r="U1144" s="3">
        <v>1</v>
      </c>
      <c r="V1144" s="3">
        <v>1</v>
      </c>
      <c r="W1144" s="4" t="s">
        <v>6701</v>
      </c>
      <c r="X1144" s="4" t="s">
        <v>6701</v>
      </c>
      <c r="Y1144" s="4" t="s">
        <v>10209</v>
      </c>
      <c r="Z1144" s="4" t="s">
        <v>10209</v>
      </c>
      <c r="AA1144" s="3">
        <v>58</v>
      </c>
      <c r="AB1144" s="3">
        <v>47</v>
      </c>
      <c r="AC1144" s="3">
        <v>227</v>
      </c>
      <c r="AD1144" s="3">
        <v>1</v>
      </c>
      <c r="AE1144" s="9">
        <v>3</v>
      </c>
      <c r="AF1144" s="9">
        <v>3</v>
      </c>
      <c r="AG1144" s="9">
        <v>10</v>
      </c>
      <c r="AH1144" s="3">
        <v>1</v>
      </c>
      <c r="AI1144" s="3">
        <v>3</v>
      </c>
      <c r="AJ1144" s="3">
        <v>1</v>
      </c>
      <c r="AK1144" s="3">
        <v>4</v>
      </c>
      <c r="AL1144" s="3">
        <v>3</v>
      </c>
      <c r="AM1144" s="3">
        <v>4</v>
      </c>
      <c r="AN1144" s="3">
        <v>0</v>
      </c>
      <c r="AO1144" s="3">
        <v>2</v>
      </c>
      <c r="AP1144" s="3">
        <v>0</v>
      </c>
      <c r="AQ1144" s="3">
        <v>0</v>
      </c>
      <c r="AR1144" s="2" t="s">
        <v>5</v>
      </c>
      <c r="AS1144" s="2" t="s">
        <v>46</v>
      </c>
      <c r="AT1144" s="5" t="str">
        <f>HYPERLINK("http://catalog.hathitrust.org/Record/101203755","HathiTrust Record")</f>
        <v>HathiTrust Record</v>
      </c>
      <c r="AU1144" s="5" t="str">
        <f>HYPERLINK("https://creighton-primo.hosted.exlibrisgroup.com/primo-explore/search?tab=default_tab&amp;search_scope=EVERYTHING&amp;vid=01CRU&amp;lang=en_US&amp;offset=0&amp;query=any,contains,991003757799702656","Catalog Record")</f>
        <v>Catalog Record</v>
      </c>
      <c r="AV1144" s="5" t="str">
        <f>HYPERLINK("http://www.worldcat.org/oclc/1679210","WorldCat Record")</f>
        <v>WorldCat Record</v>
      </c>
      <c r="AW1144" s="2" t="s">
        <v>14104</v>
      </c>
      <c r="AX1144" s="2" t="s">
        <v>14105</v>
      </c>
      <c r="AY1144" s="2" t="s">
        <v>14106</v>
      </c>
      <c r="AZ1144" s="2" t="s">
        <v>14106</v>
      </c>
      <c r="BA1144" s="2" t="s">
        <v>14107</v>
      </c>
      <c r="BB1144" s="2" t="s">
        <v>20</v>
      </c>
      <c r="BE1144" s="2" t="s">
        <v>14108</v>
      </c>
      <c r="BF1144" s="2" t="s">
        <v>14109</v>
      </c>
    </row>
    <row r="1145" spans="1:58" ht="39.75" customHeight="1" x14ac:dyDescent="0.25">
      <c r="A1145" s="7" t="s">
        <v>5</v>
      </c>
      <c r="B1145" s="1" t="s">
        <v>0</v>
      </c>
      <c r="C1145" s="1" t="s">
        <v>1</v>
      </c>
      <c r="D1145" s="1" t="s">
        <v>14110</v>
      </c>
      <c r="E1145" s="1" t="s">
        <v>14111</v>
      </c>
      <c r="F1145" s="1" t="s">
        <v>14112</v>
      </c>
      <c r="H1145" s="2" t="s">
        <v>5</v>
      </c>
      <c r="I1145" s="2" t="s">
        <v>6</v>
      </c>
      <c r="J1145" s="2" t="s">
        <v>5</v>
      </c>
      <c r="K1145" s="2" t="s">
        <v>5</v>
      </c>
      <c r="L1145" s="2" t="s">
        <v>7</v>
      </c>
      <c r="M1145" s="1" t="s">
        <v>14113</v>
      </c>
      <c r="N1145" s="1" t="s">
        <v>14114</v>
      </c>
      <c r="O1145" s="2" t="s">
        <v>248</v>
      </c>
      <c r="Q1145" s="2" t="s">
        <v>1151</v>
      </c>
      <c r="R1145" s="2" t="s">
        <v>1152</v>
      </c>
      <c r="S1145" s="1" t="s">
        <v>14115</v>
      </c>
      <c r="T1145" s="2" t="s">
        <v>13</v>
      </c>
      <c r="U1145" s="3">
        <v>3</v>
      </c>
      <c r="V1145" s="3">
        <v>3</v>
      </c>
      <c r="W1145" s="4" t="s">
        <v>4270</v>
      </c>
      <c r="X1145" s="4" t="s">
        <v>4270</v>
      </c>
      <c r="Y1145" s="4" t="s">
        <v>14116</v>
      </c>
      <c r="Z1145" s="4" t="s">
        <v>14116</v>
      </c>
      <c r="AA1145" s="3">
        <v>205</v>
      </c>
      <c r="AB1145" s="3">
        <v>150</v>
      </c>
      <c r="AC1145" s="3">
        <v>152</v>
      </c>
      <c r="AD1145" s="3">
        <v>2</v>
      </c>
      <c r="AE1145" s="9">
        <v>2</v>
      </c>
      <c r="AF1145" s="9">
        <v>8</v>
      </c>
      <c r="AG1145" s="9">
        <v>8</v>
      </c>
      <c r="AH1145" s="3">
        <v>2</v>
      </c>
      <c r="AI1145" s="3">
        <v>2</v>
      </c>
      <c r="AJ1145" s="3">
        <v>2</v>
      </c>
      <c r="AK1145" s="3">
        <v>2</v>
      </c>
      <c r="AL1145" s="3">
        <v>5</v>
      </c>
      <c r="AM1145" s="3">
        <v>5</v>
      </c>
      <c r="AN1145" s="3">
        <v>1</v>
      </c>
      <c r="AO1145" s="3">
        <v>1</v>
      </c>
      <c r="AP1145" s="3">
        <v>0</v>
      </c>
      <c r="AQ1145" s="3">
        <v>0</v>
      </c>
      <c r="AR1145" s="2" t="s">
        <v>5</v>
      </c>
      <c r="AS1145" s="2" t="s">
        <v>46</v>
      </c>
      <c r="AT1145" s="5" t="str">
        <f>HYPERLINK("http://catalog.hathitrust.org/Record/001589088","HathiTrust Record")</f>
        <v>HathiTrust Record</v>
      </c>
      <c r="AU1145" s="5" t="str">
        <f>HYPERLINK("https://creighton-primo.hosted.exlibrisgroup.com/primo-explore/search?tab=default_tab&amp;search_scope=EVERYTHING&amp;vid=01CRU&amp;lang=en_US&amp;offset=0&amp;query=any,contains,991002183979702656","Catalog Record")</f>
        <v>Catalog Record</v>
      </c>
      <c r="AV1145" s="5" t="str">
        <f>HYPERLINK("http://www.worldcat.org/oclc/279630","WorldCat Record")</f>
        <v>WorldCat Record</v>
      </c>
      <c r="AW1145" s="2" t="s">
        <v>14117</v>
      </c>
      <c r="AX1145" s="2" t="s">
        <v>14118</v>
      </c>
      <c r="AY1145" s="2" t="s">
        <v>14119</v>
      </c>
      <c r="AZ1145" s="2" t="s">
        <v>14119</v>
      </c>
      <c r="BA1145" s="2" t="s">
        <v>14120</v>
      </c>
      <c r="BB1145" s="2" t="s">
        <v>20</v>
      </c>
      <c r="BE1145" s="2" t="s">
        <v>14121</v>
      </c>
      <c r="BF1145" s="2" t="s">
        <v>14122</v>
      </c>
    </row>
    <row r="1146" spans="1:58" ht="39.75" customHeight="1" x14ac:dyDescent="0.25">
      <c r="A1146" s="7" t="s">
        <v>5</v>
      </c>
      <c r="B1146" s="1" t="s">
        <v>0</v>
      </c>
      <c r="C1146" s="1" t="s">
        <v>1</v>
      </c>
      <c r="D1146" s="1" t="s">
        <v>14123</v>
      </c>
      <c r="E1146" s="1" t="s">
        <v>14124</v>
      </c>
      <c r="F1146" s="1" t="s">
        <v>14125</v>
      </c>
      <c r="H1146" s="2" t="s">
        <v>5</v>
      </c>
      <c r="I1146" s="2" t="s">
        <v>6</v>
      </c>
      <c r="J1146" s="2" t="s">
        <v>5</v>
      </c>
      <c r="K1146" s="2" t="s">
        <v>5</v>
      </c>
      <c r="L1146" s="2" t="s">
        <v>7</v>
      </c>
      <c r="M1146" s="1" t="s">
        <v>5812</v>
      </c>
      <c r="N1146" s="1" t="s">
        <v>14126</v>
      </c>
      <c r="O1146" s="2" t="s">
        <v>162</v>
      </c>
      <c r="Q1146" s="2" t="s">
        <v>1151</v>
      </c>
      <c r="R1146" s="2" t="s">
        <v>1152</v>
      </c>
      <c r="S1146" s="1" t="s">
        <v>14127</v>
      </c>
      <c r="T1146" s="2" t="s">
        <v>13</v>
      </c>
      <c r="U1146" s="3">
        <v>1</v>
      </c>
      <c r="V1146" s="3">
        <v>1</v>
      </c>
      <c r="W1146" s="4" t="s">
        <v>5137</v>
      </c>
      <c r="X1146" s="4" t="s">
        <v>5137</v>
      </c>
      <c r="Y1146" s="4" t="s">
        <v>5137</v>
      </c>
      <c r="Z1146" s="4" t="s">
        <v>5137</v>
      </c>
      <c r="AA1146" s="3">
        <v>295</v>
      </c>
      <c r="AB1146" s="3">
        <v>236</v>
      </c>
      <c r="AC1146" s="3">
        <v>327</v>
      </c>
      <c r="AD1146" s="3">
        <v>2</v>
      </c>
      <c r="AE1146" s="9">
        <v>2</v>
      </c>
      <c r="AF1146" s="9">
        <v>15</v>
      </c>
      <c r="AG1146" s="9">
        <v>18</v>
      </c>
      <c r="AH1146" s="3">
        <v>5</v>
      </c>
      <c r="AI1146" s="3">
        <v>6</v>
      </c>
      <c r="AJ1146" s="3">
        <v>4</v>
      </c>
      <c r="AK1146" s="3">
        <v>4</v>
      </c>
      <c r="AL1146" s="3">
        <v>9</v>
      </c>
      <c r="AM1146" s="3">
        <v>11</v>
      </c>
      <c r="AN1146" s="3">
        <v>1</v>
      </c>
      <c r="AO1146" s="3">
        <v>1</v>
      </c>
      <c r="AP1146" s="3">
        <v>0</v>
      </c>
      <c r="AQ1146" s="3">
        <v>0</v>
      </c>
      <c r="AR1146" s="2" t="s">
        <v>5</v>
      </c>
      <c r="AS1146" s="2" t="s">
        <v>46</v>
      </c>
      <c r="AT1146" s="5" t="str">
        <f>HYPERLINK("http://catalog.hathitrust.org/Record/000507449","HathiTrust Record")</f>
        <v>HathiTrust Record</v>
      </c>
      <c r="AU1146" s="5" t="str">
        <f>HYPERLINK("https://creighton-primo.hosted.exlibrisgroup.com/primo-explore/search?tab=default_tab&amp;search_scope=EVERYTHING&amp;vid=01CRU&amp;lang=en_US&amp;offset=0&amp;query=any,contains,991004509349702656","Catalog Record")</f>
        <v>Catalog Record</v>
      </c>
      <c r="AV1146" s="5" t="str">
        <f>HYPERLINK("http://www.worldcat.org/oclc/203641","WorldCat Record")</f>
        <v>WorldCat Record</v>
      </c>
      <c r="AW1146" s="2" t="s">
        <v>14128</v>
      </c>
      <c r="AX1146" s="2" t="s">
        <v>14129</v>
      </c>
      <c r="AY1146" s="2" t="s">
        <v>14130</v>
      </c>
      <c r="AZ1146" s="2" t="s">
        <v>14130</v>
      </c>
      <c r="BA1146" s="2" t="s">
        <v>14131</v>
      </c>
      <c r="BB1146" s="2" t="s">
        <v>20</v>
      </c>
      <c r="BE1146" s="2" t="s">
        <v>14132</v>
      </c>
      <c r="BF1146" s="2" t="s">
        <v>14133</v>
      </c>
    </row>
    <row r="1147" spans="1:58" ht="39.75" customHeight="1" x14ac:dyDescent="0.25">
      <c r="A1147" s="7" t="s">
        <v>5</v>
      </c>
      <c r="B1147" s="1" t="s">
        <v>0</v>
      </c>
      <c r="C1147" s="1" t="s">
        <v>1</v>
      </c>
      <c r="D1147" s="1" t="s">
        <v>14134</v>
      </c>
      <c r="E1147" s="1" t="s">
        <v>14135</v>
      </c>
      <c r="F1147" s="1" t="s">
        <v>14136</v>
      </c>
      <c r="H1147" s="2" t="s">
        <v>5</v>
      </c>
      <c r="I1147" s="2" t="s">
        <v>6</v>
      </c>
      <c r="J1147" s="2" t="s">
        <v>5</v>
      </c>
      <c r="K1147" s="2" t="s">
        <v>5</v>
      </c>
      <c r="L1147" s="2" t="s">
        <v>7</v>
      </c>
      <c r="M1147" s="1" t="s">
        <v>14137</v>
      </c>
      <c r="N1147" s="1" t="s">
        <v>14138</v>
      </c>
      <c r="O1147" s="2" t="s">
        <v>508</v>
      </c>
      <c r="P1147" s="1" t="s">
        <v>2908</v>
      </c>
      <c r="Q1147" s="2" t="s">
        <v>1151</v>
      </c>
      <c r="R1147" s="2" t="s">
        <v>1152</v>
      </c>
      <c r="T1147" s="2" t="s">
        <v>13</v>
      </c>
      <c r="U1147" s="3">
        <v>1</v>
      </c>
      <c r="V1147" s="3">
        <v>1</v>
      </c>
      <c r="W1147" s="4" t="s">
        <v>9432</v>
      </c>
      <c r="X1147" s="4" t="s">
        <v>9432</v>
      </c>
      <c r="Y1147" s="4" t="s">
        <v>9433</v>
      </c>
      <c r="Z1147" s="4" t="s">
        <v>9433</v>
      </c>
      <c r="AA1147" s="3">
        <v>116</v>
      </c>
      <c r="AB1147" s="3">
        <v>91</v>
      </c>
      <c r="AC1147" s="3">
        <v>178</v>
      </c>
      <c r="AD1147" s="3">
        <v>1</v>
      </c>
      <c r="AE1147" s="9">
        <v>1</v>
      </c>
      <c r="AF1147" s="9">
        <v>1</v>
      </c>
      <c r="AG1147" s="9">
        <v>1</v>
      </c>
      <c r="AH1147" s="3">
        <v>0</v>
      </c>
      <c r="AI1147" s="3">
        <v>0</v>
      </c>
      <c r="AJ1147" s="3">
        <v>0</v>
      </c>
      <c r="AK1147" s="3">
        <v>0</v>
      </c>
      <c r="AL1147" s="3">
        <v>1</v>
      </c>
      <c r="AM1147" s="3">
        <v>1</v>
      </c>
      <c r="AN1147" s="3">
        <v>0</v>
      </c>
      <c r="AO1147" s="3">
        <v>0</v>
      </c>
      <c r="AP1147" s="3">
        <v>0</v>
      </c>
      <c r="AQ1147" s="3">
        <v>0</v>
      </c>
      <c r="AR1147" s="2" t="s">
        <v>5</v>
      </c>
      <c r="AS1147" s="2" t="s">
        <v>5</v>
      </c>
      <c r="AU1147" s="5" t="str">
        <f>HYPERLINK("https://creighton-primo.hosted.exlibrisgroup.com/primo-explore/search?tab=default_tab&amp;search_scope=EVERYTHING&amp;vid=01CRU&amp;lang=en_US&amp;offset=0&amp;query=any,contains,991003835959702656","Catalog Record")</f>
        <v>Catalog Record</v>
      </c>
      <c r="AV1147" s="5" t="str">
        <f>HYPERLINK("http://www.worldcat.org/oclc/44989711","WorldCat Record")</f>
        <v>WorldCat Record</v>
      </c>
      <c r="AW1147" s="2" t="s">
        <v>14139</v>
      </c>
      <c r="AX1147" s="2" t="s">
        <v>14140</v>
      </c>
      <c r="AY1147" s="2" t="s">
        <v>14141</v>
      </c>
      <c r="AZ1147" s="2" t="s">
        <v>14141</v>
      </c>
      <c r="BA1147" s="2" t="s">
        <v>14142</v>
      </c>
      <c r="BB1147" s="2" t="s">
        <v>20</v>
      </c>
      <c r="BD1147" s="2" t="s">
        <v>14143</v>
      </c>
      <c r="BE1147" s="2" t="s">
        <v>14144</v>
      </c>
      <c r="BF1147" s="2" t="s">
        <v>14145</v>
      </c>
    </row>
    <row r="1148" spans="1:58" ht="39.75" customHeight="1" x14ac:dyDescent="0.25">
      <c r="A1148" s="7" t="s">
        <v>5</v>
      </c>
      <c r="B1148" s="1" t="s">
        <v>0</v>
      </c>
      <c r="C1148" s="1" t="s">
        <v>1</v>
      </c>
      <c r="D1148" s="1" t="s">
        <v>14146</v>
      </c>
      <c r="E1148" s="1" t="s">
        <v>14147</v>
      </c>
      <c r="F1148" s="1" t="s">
        <v>14148</v>
      </c>
      <c r="H1148" s="2" t="s">
        <v>5</v>
      </c>
      <c r="I1148" s="2" t="s">
        <v>6</v>
      </c>
      <c r="J1148" s="2" t="s">
        <v>5</v>
      </c>
      <c r="K1148" s="2" t="s">
        <v>5</v>
      </c>
      <c r="L1148" s="2" t="s">
        <v>7</v>
      </c>
      <c r="M1148" s="1" t="s">
        <v>14149</v>
      </c>
      <c r="N1148" s="1" t="s">
        <v>14150</v>
      </c>
      <c r="O1148" s="2" t="s">
        <v>248</v>
      </c>
      <c r="Q1148" s="2" t="s">
        <v>1151</v>
      </c>
      <c r="R1148" s="2" t="s">
        <v>1152</v>
      </c>
      <c r="S1148" s="1" t="s">
        <v>14151</v>
      </c>
      <c r="T1148" s="2" t="s">
        <v>13</v>
      </c>
      <c r="U1148" s="3">
        <v>1</v>
      </c>
      <c r="V1148" s="3">
        <v>1</v>
      </c>
      <c r="W1148" s="4" t="s">
        <v>8667</v>
      </c>
      <c r="X1148" s="4" t="s">
        <v>8667</v>
      </c>
      <c r="Y1148" s="4" t="s">
        <v>8667</v>
      </c>
      <c r="Z1148" s="4" t="s">
        <v>8667</v>
      </c>
      <c r="AA1148" s="3">
        <v>289</v>
      </c>
      <c r="AB1148" s="3">
        <v>231</v>
      </c>
      <c r="AC1148" s="3">
        <v>289</v>
      </c>
      <c r="AD1148" s="3">
        <v>2</v>
      </c>
      <c r="AE1148" s="9">
        <v>2</v>
      </c>
      <c r="AF1148" s="9">
        <v>6</v>
      </c>
      <c r="AG1148" s="9">
        <v>9</v>
      </c>
      <c r="AH1148" s="3">
        <v>3</v>
      </c>
      <c r="AI1148" s="3">
        <v>4</v>
      </c>
      <c r="AJ1148" s="3">
        <v>2</v>
      </c>
      <c r="AK1148" s="3">
        <v>4</v>
      </c>
      <c r="AL1148" s="3">
        <v>4</v>
      </c>
      <c r="AM1148" s="3">
        <v>5</v>
      </c>
      <c r="AN1148" s="3">
        <v>1</v>
      </c>
      <c r="AO1148" s="3">
        <v>1</v>
      </c>
      <c r="AP1148" s="3">
        <v>0</v>
      </c>
      <c r="AQ1148" s="3">
        <v>0</v>
      </c>
      <c r="AR1148" s="2" t="s">
        <v>5</v>
      </c>
      <c r="AS1148" s="2" t="s">
        <v>46</v>
      </c>
      <c r="AT1148" s="5" t="str">
        <f>HYPERLINK("http://catalog.hathitrust.org/Record/001051454","HathiTrust Record")</f>
        <v>HathiTrust Record</v>
      </c>
      <c r="AU1148" s="5" t="str">
        <f>HYPERLINK("https://creighton-primo.hosted.exlibrisgroup.com/primo-explore/search?tab=default_tab&amp;search_scope=EVERYTHING&amp;vid=01CRU&amp;lang=en_US&amp;offset=0&amp;query=any,contains,991004338589702656","Catalog Record")</f>
        <v>Catalog Record</v>
      </c>
      <c r="AV1148" s="5" t="str">
        <f>HYPERLINK("http://www.worldcat.org/oclc/1011301","WorldCat Record")</f>
        <v>WorldCat Record</v>
      </c>
      <c r="AW1148" s="2" t="s">
        <v>14152</v>
      </c>
      <c r="AX1148" s="2" t="s">
        <v>14153</v>
      </c>
      <c r="AY1148" s="2" t="s">
        <v>14154</v>
      </c>
      <c r="AZ1148" s="2" t="s">
        <v>14154</v>
      </c>
      <c r="BA1148" s="2" t="s">
        <v>14155</v>
      </c>
      <c r="BB1148" s="2" t="s">
        <v>20</v>
      </c>
      <c r="BE1148" s="2" t="s">
        <v>14156</v>
      </c>
      <c r="BF1148" s="2" t="s">
        <v>14157</v>
      </c>
    </row>
    <row r="1149" spans="1:58" ht="39.75" customHeight="1" x14ac:dyDescent="0.25">
      <c r="A1149" s="7" t="s">
        <v>5</v>
      </c>
      <c r="B1149" s="1" t="s">
        <v>0</v>
      </c>
      <c r="C1149" s="1" t="s">
        <v>1</v>
      </c>
      <c r="D1149" s="1" t="s">
        <v>14158</v>
      </c>
      <c r="E1149" s="1" t="s">
        <v>14159</v>
      </c>
      <c r="F1149" s="1" t="s">
        <v>14160</v>
      </c>
      <c r="H1149" s="2" t="s">
        <v>5</v>
      </c>
      <c r="I1149" s="2" t="s">
        <v>6</v>
      </c>
      <c r="J1149" s="2" t="s">
        <v>5</v>
      </c>
      <c r="K1149" s="2" t="s">
        <v>5</v>
      </c>
      <c r="L1149" s="2" t="s">
        <v>7</v>
      </c>
      <c r="M1149" s="1" t="s">
        <v>14161</v>
      </c>
      <c r="N1149" s="1" t="s">
        <v>14162</v>
      </c>
      <c r="O1149" s="2" t="s">
        <v>14163</v>
      </c>
      <c r="P1149" s="1" t="s">
        <v>5373</v>
      </c>
      <c r="Q1149" s="2" t="s">
        <v>1151</v>
      </c>
      <c r="R1149" s="2" t="s">
        <v>5863</v>
      </c>
      <c r="S1149" s="1" t="s">
        <v>14164</v>
      </c>
      <c r="T1149" s="2" t="s">
        <v>13</v>
      </c>
      <c r="U1149" s="3">
        <v>2</v>
      </c>
      <c r="V1149" s="3">
        <v>2</v>
      </c>
      <c r="W1149" s="4" t="s">
        <v>14165</v>
      </c>
      <c r="X1149" s="4" t="s">
        <v>14165</v>
      </c>
      <c r="Y1149" s="4" t="s">
        <v>14165</v>
      </c>
      <c r="Z1149" s="4" t="s">
        <v>14165</v>
      </c>
      <c r="AA1149" s="3">
        <v>7</v>
      </c>
      <c r="AB1149" s="3">
        <v>5</v>
      </c>
      <c r="AC1149" s="3">
        <v>50</v>
      </c>
      <c r="AD1149" s="3">
        <v>1</v>
      </c>
      <c r="AE1149" s="9">
        <v>1</v>
      </c>
      <c r="AF1149" s="9">
        <v>0</v>
      </c>
      <c r="AG1149" s="9">
        <v>0</v>
      </c>
      <c r="AH1149" s="3">
        <v>0</v>
      </c>
      <c r="AI1149" s="3">
        <v>0</v>
      </c>
      <c r="AJ1149" s="3">
        <v>0</v>
      </c>
      <c r="AK1149" s="3">
        <v>0</v>
      </c>
      <c r="AL1149" s="3">
        <v>0</v>
      </c>
      <c r="AM1149" s="3">
        <v>0</v>
      </c>
      <c r="AN1149" s="3">
        <v>0</v>
      </c>
      <c r="AO1149" s="3">
        <v>0</v>
      </c>
      <c r="AP1149" s="3">
        <v>0</v>
      </c>
      <c r="AQ1149" s="3">
        <v>0</v>
      </c>
      <c r="AR1149" s="2" t="s">
        <v>5</v>
      </c>
      <c r="AS1149" s="2" t="s">
        <v>5</v>
      </c>
      <c r="AU1149" s="5" t="str">
        <f>HYPERLINK("https://creighton-primo.hosted.exlibrisgroup.com/primo-explore/search?tab=default_tab&amp;search_scope=EVERYTHING&amp;vid=01CRU&amp;lang=en_US&amp;offset=0&amp;query=any,contains,991005285829702656","Catalog Record")</f>
        <v>Catalog Record</v>
      </c>
      <c r="AV1149" s="5" t="str">
        <f>HYPERLINK("http://www.worldcat.org/oclc/77514265","WorldCat Record")</f>
        <v>WorldCat Record</v>
      </c>
      <c r="AW1149" s="2" t="s">
        <v>14166</v>
      </c>
      <c r="AX1149" s="2" t="s">
        <v>14167</v>
      </c>
      <c r="AY1149" s="2" t="s">
        <v>14168</v>
      </c>
      <c r="AZ1149" s="2" t="s">
        <v>14168</v>
      </c>
      <c r="BA1149" s="2" t="s">
        <v>14169</v>
      </c>
      <c r="BB1149" s="2" t="s">
        <v>20</v>
      </c>
      <c r="BD1149" s="2" t="s">
        <v>14170</v>
      </c>
      <c r="BE1149" s="2" t="s">
        <v>14171</v>
      </c>
      <c r="BF1149" s="2" t="s">
        <v>14172</v>
      </c>
    </row>
    <row r="1150" spans="1:58" ht="39.75" customHeight="1" x14ac:dyDescent="0.25">
      <c r="A1150" s="7" t="s">
        <v>5</v>
      </c>
      <c r="B1150" s="1" t="s">
        <v>0</v>
      </c>
      <c r="C1150" s="1" t="s">
        <v>1</v>
      </c>
      <c r="D1150" s="1" t="s">
        <v>14173</v>
      </c>
      <c r="E1150" s="1" t="s">
        <v>14174</v>
      </c>
      <c r="F1150" s="1" t="s">
        <v>14175</v>
      </c>
      <c r="H1150" s="2" t="s">
        <v>5</v>
      </c>
      <c r="I1150" s="2" t="s">
        <v>6</v>
      </c>
      <c r="J1150" s="2" t="s">
        <v>5</v>
      </c>
      <c r="K1150" s="2" t="s">
        <v>5</v>
      </c>
      <c r="L1150" s="2" t="s">
        <v>7</v>
      </c>
      <c r="M1150" s="1" t="s">
        <v>14176</v>
      </c>
      <c r="N1150" s="1" t="s">
        <v>14177</v>
      </c>
      <c r="O1150" s="2" t="s">
        <v>2142</v>
      </c>
      <c r="Q1150" s="2" t="s">
        <v>1151</v>
      </c>
      <c r="R1150" s="2" t="s">
        <v>5863</v>
      </c>
      <c r="T1150" s="2" t="s">
        <v>13</v>
      </c>
      <c r="U1150" s="3">
        <v>1</v>
      </c>
      <c r="V1150" s="3">
        <v>1</v>
      </c>
      <c r="W1150" s="4" t="s">
        <v>14178</v>
      </c>
      <c r="X1150" s="4" t="s">
        <v>14178</v>
      </c>
      <c r="Y1150" s="4" t="s">
        <v>14179</v>
      </c>
      <c r="Z1150" s="4" t="s">
        <v>14179</v>
      </c>
      <c r="AA1150" s="3">
        <v>599</v>
      </c>
      <c r="AB1150" s="3">
        <v>553</v>
      </c>
      <c r="AC1150" s="3">
        <v>835</v>
      </c>
      <c r="AD1150" s="3">
        <v>6</v>
      </c>
      <c r="AE1150" s="9">
        <v>8</v>
      </c>
      <c r="AF1150" s="9">
        <v>7</v>
      </c>
      <c r="AG1150" s="9">
        <v>14</v>
      </c>
      <c r="AH1150" s="3">
        <v>5</v>
      </c>
      <c r="AI1150" s="3">
        <v>6</v>
      </c>
      <c r="AJ1150" s="3">
        <v>2</v>
      </c>
      <c r="AK1150" s="3">
        <v>5</v>
      </c>
      <c r="AL1150" s="3">
        <v>2</v>
      </c>
      <c r="AM1150" s="3">
        <v>5</v>
      </c>
      <c r="AN1150" s="3">
        <v>0</v>
      </c>
      <c r="AO1150" s="3">
        <v>2</v>
      </c>
      <c r="AP1150" s="3">
        <v>0</v>
      </c>
      <c r="AQ1150" s="3">
        <v>0</v>
      </c>
      <c r="AR1150" s="2" t="s">
        <v>5</v>
      </c>
      <c r="AS1150" s="2" t="s">
        <v>5</v>
      </c>
      <c r="AU1150" s="5" t="str">
        <f>HYPERLINK("https://creighton-primo.hosted.exlibrisgroup.com/primo-explore/search?tab=default_tab&amp;search_scope=EVERYTHING&amp;vid=01CRU&amp;lang=en_US&amp;offset=0&amp;query=any,contains,991004762579702656","Catalog Record")</f>
        <v>Catalog Record</v>
      </c>
      <c r="AV1150" s="5" t="str">
        <f>HYPERLINK("http://www.worldcat.org/oclc/55627716","WorldCat Record")</f>
        <v>WorldCat Record</v>
      </c>
      <c r="AW1150" s="2" t="s">
        <v>14180</v>
      </c>
      <c r="AX1150" s="2" t="s">
        <v>14181</v>
      </c>
      <c r="AY1150" s="2" t="s">
        <v>14182</v>
      </c>
      <c r="AZ1150" s="2" t="s">
        <v>14182</v>
      </c>
      <c r="BA1150" s="2" t="s">
        <v>14183</v>
      </c>
      <c r="BB1150" s="2" t="s">
        <v>20</v>
      </c>
      <c r="BD1150" s="2" t="s">
        <v>14184</v>
      </c>
      <c r="BE1150" s="2" t="s">
        <v>14185</v>
      </c>
      <c r="BF1150" s="2" t="s">
        <v>14186</v>
      </c>
    </row>
    <row r="1151" spans="1:58" ht="39.75" customHeight="1" x14ac:dyDescent="0.25">
      <c r="A1151" s="7" t="s">
        <v>5</v>
      </c>
      <c r="B1151" s="1" t="s">
        <v>0</v>
      </c>
      <c r="C1151" s="1" t="s">
        <v>1</v>
      </c>
      <c r="D1151" s="1" t="s">
        <v>14187</v>
      </c>
      <c r="E1151" s="1" t="s">
        <v>14188</v>
      </c>
      <c r="F1151" s="1" t="s">
        <v>14189</v>
      </c>
      <c r="H1151" s="2" t="s">
        <v>5</v>
      </c>
      <c r="I1151" s="2" t="s">
        <v>6</v>
      </c>
      <c r="J1151" s="2" t="s">
        <v>5</v>
      </c>
      <c r="K1151" s="2" t="s">
        <v>5</v>
      </c>
      <c r="L1151" s="2" t="s">
        <v>7</v>
      </c>
      <c r="M1151" s="1" t="s">
        <v>14190</v>
      </c>
      <c r="N1151" s="1" t="s">
        <v>14191</v>
      </c>
      <c r="O1151" s="2" t="s">
        <v>14192</v>
      </c>
      <c r="P1151" s="1" t="s">
        <v>2908</v>
      </c>
      <c r="Q1151" s="2" t="s">
        <v>1151</v>
      </c>
      <c r="R1151" s="2" t="s">
        <v>5403</v>
      </c>
      <c r="S1151" s="1" t="s">
        <v>14193</v>
      </c>
      <c r="T1151" s="2" t="s">
        <v>13</v>
      </c>
      <c r="U1151" s="3">
        <v>1</v>
      </c>
      <c r="V1151" s="3">
        <v>1</v>
      </c>
      <c r="W1151" s="4" t="s">
        <v>14194</v>
      </c>
      <c r="X1151" s="4" t="s">
        <v>14194</v>
      </c>
      <c r="Y1151" s="4" t="s">
        <v>14194</v>
      </c>
      <c r="Z1151" s="4" t="s">
        <v>14194</v>
      </c>
      <c r="AA1151" s="3">
        <v>14</v>
      </c>
      <c r="AB1151" s="3">
        <v>10</v>
      </c>
      <c r="AC1151" s="3">
        <v>230</v>
      </c>
      <c r="AD1151" s="3">
        <v>1</v>
      </c>
      <c r="AE1151" s="9">
        <v>3</v>
      </c>
      <c r="AF1151" s="9">
        <v>1</v>
      </c>
      <c r="AG1151" s="9">
        <v>5</v>
      </c>
      <c r="AH1151" s="3">
        <v>0</v>
      </c>
      <c r="AI1151" s="3">
        <v>1</v>
      </c>
      <c r="AJ1151" s="3">
        <v>0</v>
      </c>
      <c r="AK1151" s="3">
        <v>1</v>
      </c>
      <c r="AL1151" s="3">
        <v>1</v>
      </c>
      <c r="AM1151" s="3">
        <v>4</v>
      </c>
      <c r="AN1151" s="3">
        <v>0</v>
      </c>
      <c r="AO1151" s="3">
        <v>1</v>
      </c>
      <c r="AP1151" s="3">
        <v>0</v>
      </c>
      <c r="AQ1151" s="3">
        <v>0</v>
      </c>
      <c r="AR1151" s="2" t="s">
        <v>5</v>
      </c>
      <c r="AS1151" s="2" t="s">
        <v>5</v>
      </c>
      <c r="AU1151" s="5" t="str">
        <f>HYPERLINK("https://creighton-primo.hosted.exlibrisgroup.com/primo-explore/search?tab=default_tab&amp;search_scope=EVERYTHING&amp;vid=01CRU&amp;lang=en_US&amp;offset=0&amp;query=any,contains,991005173679702656","Catalog Record")</f>
        <v>Catalog Record</v>
      </c>
      <c r="AV1151" s="5" t="str">
        <f>HYPERLINK("http://www.worldcat.org/oclc/182956574","WorldCat Record")</f>
        <v>WorldCat Record</v>
      </c>
      <c r="AW1151" s="2" t="s">
        <v>14195</v>
      </c>
      <c r="AX1151" s="2" t="s">
        <v>14196</v>
      </c>
      <c r="AY1151" s="2" t="s">
        <v>14197</v>
      </c>
      <c r="AZ1151" s="2" t="s">
        <v>14197</v>
      </c>
      <c r="BA1151" s="2" t="s">
        <v>14198</v>
      </c>
      <c r="BB1151" s="2" t="s">
        <v>20</v>
      </c>
      <c r="BD1151" s="2" t="s">
        <v>14199</v>
      </c>
      <c r="BE1151" s="2" t="s">
        <v>14200</v>
      </c>
      <c r="BF1151" s="2" t="s">
        <v>14201</v>
      </c>
    </row>
    <row r="1152" spans="1:58" ht="39.75" customHeight="1" x14ac:dyDescent="0.25">
      <c r="A1152" s="7" t="s">
        <v>5</v>
      </c>
      <c r="B1152" s="1" t="s">
        <v>0</v>
      </c>
      <c r="C1152" s="1" t="s">
        <v>1</v>
      </c>
      <c r="D1152" s="1" t="s">
        <v>14202</v>
      </c>
      <c r="E1152" s="1" t="s">
        <v>14203</v>
      </c>
      <c r="F1152" s="1" t="s">
        <v>14204</v>
      </c>
      <c r="H1152" s="2" t="s">
        <v>5</v>
      </c>
      <c r="I1152" s="2" t="s">
        <v>6</v>
      </c>
      <c r="J1152" s="2" t="s">
        <v>5</v>
      </c>
      <c r="K1152" s="2" t="s">
        <v>5</v>
      </c>
      <c r="L1152" s="2" t="s">
        <v>7</v>
      </c>
      <c r="M1152" s="1" t="s">
        <v>14205</v>
      </c>
      <c r="N1152" s="1" t="s">
        <v>14206</v>
      </c>
      <c r="O1152" s="2" t="s">
        <v>508</v>
      </c>
      <c r="Q1152" s="2" t="s">
        <v>1151</v>
      </c>
      <c r="R1152" s="2" t="s">
        <v>61</v>
      </c>
      <c r="T1152" s="2" t="s">
        <v>13</v>
      </c>
      <c r="U1152" s="3">
        <v>1</v>
      </c>
      <c r="V1152" s="3">
        <v>1</v>
      </c>
      <c r="W1152" s="4" t="s">
        <v>14207</v>
      </c>
      <c r="X1152" s="4" t="s">
        <v>14207</v>
      </c>
      <c r="Y1152" s="4" t="s">
        <v>14207</v>
      </c>
      <c r="Z1152" s="4" t="s">
        <v>14207</v>
      </c>
      <c r="AA1152" s="3">
        <v>209</v>
      </c>
      <c r="AB1152" s="3">
        <v>201</v>
      </c>
      <c r="AC1152" s="3">
        <v>201</v>
      </c>
      <c r="AD1152" s="3">
        <v>3</v>
      </c>
      <c r="AE1152" s="9">
        <v>3</v>
      </c>
      <c r="AF1152" s="9">
        <v>14</v>
      </c>
      <c r="AG1152" s="9">
        <v>14</v>
      </c>
      <c r="AH1152" s="3">
        <v>7</v>
      </c>
      <c r="AI1152" s="3">
        <v>7</v>
      </c>
      <c r="AJ1152" s="3">
        <v>2</v>
      </c>
      <c r="AK1152" s="3">
        <v>2</v>
      </c>
      <c r="AL1152" s="3">
        <v>5</v>
      </c>
      <c r="AM1152" s="3">
        <v>5</v>
      </c>
      <c r="AN1152" s="3">
        <v>2</v>
      </c>
      <c r="AO1152" s="3">
        <v>2</v>
      </c>
      <c r="AP1152" s="3">
        <v>0</v>
      </c>
      <c r="AQ1152" s="3">
        <v>0</v>
      </c>
      <c r="AR1152" s="2" t="s">
        <v>5</v>
      </c>
      <c r="AS1152" s="2" t="s">
        <v>5</v>
      </c>
      <c r="AU1152" s="5" t="str">
        <f>HYPERLINK("https://creighton-primo.hosted.exlibrisgroup.com/primo-explore/search?tab=default_tab&amp;search_scope=EVERYTHING&amp;vid=01CRU&amp;lang=en_US&amp;offset=0&amp;query=any,contains,991003364709702656","Catalog Record")</f>
        <v>Catalog Record</v>
      </c>
      <c r="AV1152" s="5" t="str">
        <f>HYPERLINK("http://www.worldcat.org/oclc/45146899","WorldCat Record")</f>
        <v>WorldCat Record</v>
      </c>
      <c r="AW1152" s="2" t="s">
        <v>14208</v>
      </c>
      <c r="AX1152" s="2" t="s">
        <v>14209</v>
      </c>
      <c r="AY1152" s="2" t="s">
        <v>14210</v>
      </c>
      <c r="AZ1152" s="2" t="s">
        <v>14210</v>
      </c>
      <c r="BA1152" s="2" t="s">
        <v>14211</v>
      </c>
      <c r="BB1152" s="2" t="s">
        <v>20</v>
      </c>
      <c r="BD1152" s="2" t="s">
        <v>14212</v>
      </c>
      <c r="BE1152" s="2" t="s">
        <v>14213</v>
      </c>
      <c r="BF1152" s="2" t="s">
        <v>14214</v>
      </c>
    </row>
    <row r="1153" spans="1:58" ht="39.75" customHeight="1" x14ac:dyDescent="0.25">
      <c r="A1153" s="7" t="s">
        <v>5</v>
      </c>
      <c r="B1153" s="1" t="s">
        <v>0</v>
      </c>
      <c r="C1153" s="1" t="s">
        <v>1</v>
      </c>
      <c r="D1153" s="1" t="s">
        <v>14215</v>
      </c>
      <c r="E1153" s="1" t="s">
        <v>14216</v>
      </c>
      <c r="F1153" s="1" t="s">
        <v>14217</v>
      </c>
      <c r="H1153" s="2" t="s">
        <v>5</v>
      </c>
      <c r="I1153" s="2" t="s">
        <v>6</v>
      </c>
      <c r="J1153" s="2" t="s">
        <v>5</v>
      </c>
      <c r="K1153" s="2" t="s">
        <v>5</v>
      </c>
      <c r="L1153" s="2" t="s">
        <v>7</v>
      </c>
      <c r="M1153" s="1" t="s">
        <v>14218</v>
      </c>
      <c r="N1153" s="1" t="s">
        <v>14219</v>
      </c>
      <c r="O1153" s="2" t="s">
        <v>1390</v>
      </c>
      <c r="P1153" s="1" t="s">
        <v>9747</v>
      </c>
      <c r="Q1153" s="2" t="s">
        <v>1151</v>
      </c>
      <c r="R1153" s="2" t="s">
        <v>4146</v>
      </c>
      <c r="S1153" s="1" t="s">
        <v>14220</v>
      </c>
      <c r="T1153" s="2" t="s">
        <v>13</v>
      </c>
      <c r="U1153" s="3">
        <v>1</v>
      </c>
      <c r="V1153" s="3">
        <v>1</v>
      </c>
      <c r="W1153" s="4" t="s">
        <v>11744</v>
      </c>
      <c r="X1153" s="4" t="s">
        <v>11744</v>
      </c>
      <c r="Y1153" s="4" t="s">
        <v>11744</v>
      </c>
      <c r="Z1153" s="4" t="s">
        <v>11744</v>
      </c>
      <c r="AA1153" s="3">
        <v>2</v>
      </c>
      <c r="AB1153" s="3">
        <v>2</v>
      </c>
      <c r="AC1153" s="3">
        <v>13</v>
      </c>
      <c r="AD1153" s="3">
        <v>1</v>
      </c>
      <c r="AE1153" s="9">
        <v>1</v>
      </c>
      <c r="AF1153" s="9">
        <v>0</v>
      </c>
      <c r="AG1153" s="9">
        <v>0</v>
      </c>
      <c r="AH1153" s="3">
        <v>0</v>
      </c>
      <c r="AI1153" s="3">
        <v>0</v>
      </c>
      <c r="AJ1153" s="3">
        <v>0</v>
      </c>
      <c r="AK1153" s="3">
        <v>0</v>
      </c>
      <c r="AL1153" s="3">
        <v>0</v>
      </c>
      <c r="AM1153" s="3">
        <v>0</v>
      </c>
      <c r="AN1153" s="3">
        <v>0</v>
      </c>
      <c r="AO1153" s="3">
        <v>0</v>
      </c>
      <c r="AP1153" s="3">
        <v>0</v>
      </c>
      <c r="AQ1153" s="3">
        <v>0</v>
      </c>
      <c r="AR1153" s="2" t="s">
        <v>5</v>
      </c>
      <c r="AS1153" s="2" t="s">
        <v>5</v>
      </c>
      <c r="AU1153" s="5" t="str">
        <f>HYPERLINK("https://creighton-primo.hosted.exlibrisgroup.com/primo-explore/search?tab=default_tab&amp;search_scope=EVERYTHING&amp;vid=01CRU&amp;lang=en_US&amp;offset=0&amp;query=any,contains,991003818559702656","Catalog Record")</f>
        <v>Catalog Record</v>
      </c>
      <c r="AV1153" s="5" t="str">
        <f>HYPERLINK("http://www.worldcat.org/oclc/26076777","WorldCat Record")</f>
        <v>WorldCat Record</v>
      </c>
      <c r="AW1153" s="2" t="s">
        <v>14221</v>
      </c>
      <c r="AX1153" s="2" t="s">
        <v>14222</v>
      </c>
      <c r="AY1153" s="2" t="s">
        <v>14223</v>
      </c>
      <c r="AZ1153" s="2" t="s">
        <v>14223</v>
      </c>
      <c r="BA1153" s="2" t="s">
        <v>14224</v>
      </c>
      <c r="BB1153" s="2" t="s">
        <v>20</v>
      </c>
      <c r="BE1153" s="2" t="s">
        <v>14225</v>
      </c>
      <c r="BF1153" s="2" t="s">
        <v>14226</v>
      </c>
    </row>
    <row r="1154" spans="1:58" ht="39.75" customHeight="1" x14ac:dyDescent="0.25">
      <c r="A1154" s="7" t="s">
        <v>5</v>
      </c>
      <c r="B1154" s="1" t="s">
        <v>0</v>
      </c>
      <c r="C1154" s="1" t="s">
        <v>1</v>
      </c>
      <c r="D1154" s="1" t="s">
        <v>14227</v>
      </c>
      <c r="E1154" s="1" t="s">
        <v>14228</v>
      </c>
      <c r="F1154" s="1" t="s">
        <v>14229</v>
      </c>
      <c r="H1154" s="2" t="s">
        <v>5</v>
      </c>
      <c r="I1154" s="2" t="s">
        <v>6</v>
      </c>
      <c r="J1154" s="2" t="s">
        <v>5</v>
      </c>
      <c r="K1154" s="2" t="s">
        <v>5</v>
      </c>
      <c r="L1154" s="2" t="s">
        <v>7</v>
      </c>
      <c r="M1154" s="1" t="s">
        <v>10265</v>
      </c>
      <c r="N1154" s="1" t="s">
        <v>14230</v>
      </c>
      <c r="O1154" s="2" t="s">
        <v>276</v>
      </c>
      <c r="Q1154" s="2" t="s">
        <v>1151</v>
      </c>
      <c r="R1154" s="2" t="s">
        <v>5403</v>
      </c>
      <c r="S1154" s="1" t="s">
        <v>14231</v>
      </c>
      <c r="T1154" s="2" t="s">
        <v>13</v>
      </c>
      <c r="U1154" s="3">
        <v>1</v>
      </c>
      <c r="V1154" s="3">
        <v>1</v>
      </c>
      <c r="W1154" s="4" t="s">
        <v>8667</v>
      </c>
      <c r="X1154" s="4" t="s">
        <v>8667</v>
      </c>
      <c r="Y1154" s="4" t="s">
        <v>8667</v>
      </c>
      <c r="Z1154" s="4" t="s">
        <v>8667</v>
      </c>
      <c r="AA1154" s="3">
        <v>191</v>
      </c>
      <c r="AB1154" s="3">
        <v>149</v>
      </c>
      <c r="AC1154" s="3">
        <v>151</v>
      </c>
      <c r="AD1154" s="3">
        <v>1</v>
      </c>
      <c r="AE1154" s="9">
        <v>1</v>
      </c>
      <c r="AF1154" s="9">
        <v>5</v>
      </c>
      <c r="AG1154" s="9">
        <v>5</v>
      </c>
      <c r="AH1154" s="3">
        <v>0</v>
      </c>
      <c r="AI1154" s="3">
        <v>0</v>
      </c>
      <c r="AJ1154" s="3">
        <v>3</v>
      </c>
      <c r="AK1154" s="3">
        <v>3</v>
      </c>
      <c r="AL1154" s="3">
        <v>3</v>
      </c>
      <c r="AM1154" s="3">
        <v>3</v>
      </c>
      <c r="AN1154" s="3">
        <v>0</v>
      </c>
      <c r="AO1154" s="3">
        <v>0</v>
      </c>
      <c r="AP1154" s="3">
        <v>0</v>
      </c>
      <c r="AQ1154" s="3">
        <v>0</v>
      </c>
      <c r="AR1154" s="2" t="s">
        <v>5</v>
      </c>
      <c r="AS1154" s="2" t="s">
        <v>46</v>
      </c>
      <c r="AT1154" s="5" t="str">
        <f>HYPERLINK("http://catalog.hathitrust.org/Record/004465166","HathiTrust Record")</f>
        <v>HathiTrust Record</v>
      </c>
      <c r="AU1154" s="5" t="str">
        <f>HYPERLINK("https://creighton-primo.hosted.exlibrisgroup.com/primo-explore/search?tab=default_tab&amp;search_scope=EVERYTHING&amp;vid=01CRU&amp;lang=en_US&amp;offset=0&amp;query=any,contains,991004339789702656","Catalog Record")</f>
        <v>Catalog Record</v>
      </c>
      <c r="AV1154" s="5" t="str">
        <f>HYPERLINK("http://www.worldcat.org/oclc/3191018","WorldCat Record")</f>
        <v>WorldCat Record</v>
      </c>
      <c r="AW1154" s="2" t="s">
        <v>14232</v>
      </c>
      <c r="AX1154" s="2" t="s">
        <v>14233</v>
      </c>
      <c r="AY1154" s="2" t="s">
        <v>14234</v>
      </c>
      <c r="AZ1154" s="2" t="s">
        <v>14234</v>
      </c>
      <c r="BA1154" s="2" t="s">
        <v>14235</v>
      </c>
      <c r="BB1154" s="2" t="s">
        <v>20</v>
      </c>
      <c r="BE1154" s="2" t="s">
        <v>14236</v>
      </c>
      <c r="BF1154" s="2" t="s">
        <v>14237</v>
      </c>
    </row>
    <row r="1155" spans="1:58" ht="39.75" customHeight="1" x14ac:dyDescent="0.25">
      <c r="A1155" s="7" t="s">
        <v>5</v>
      </c>
      <c r="B1155" s="1" t="s">
        <v>0</v>
      </c>
      <c r="C1155" s="1" t="s">
        <v>1</v>
      </c>
      <c r="D1155" s="1" t="s">
        <v>14238</v>
      </c>
      <c r="E1155" s="1" t="s">
        <v>14239</v>
      </c>
      <c r="F1155" s="1" t="s">
        <v>14240</v>
      </c>
      <c r="H1155" s="2" t="s">
        <v>5</v>
      </c>
      <c r="I1155" s="2" t="s">
        <v>6</v>
      </c>
      <c r="J1155" s="2" t="s">
        <v>5</v>
      </c>
      <c r="K1155" s="2" t="s">
        <v>5</v>
      </c>
      <c r="L1155" s="2" t="s">
        <v>7</v>
      </c>
      <c r="M1155" s="1" t="s">
        <v>14241</v>
      </c>
      <c r="N1155" s="1" t="s">
        <v>14242</v>
      </c>
      <c r="O1155" s="2" t="s">
        <v>468</v>
      </c>
      <c r="Q1155" s="2" t="s">
        <v>60</v>
      </c>
      <c r="R1155" s="2" t="s">
        <v>2758</v>
      </c>
      <c r="T1155" s="2" t="s">
        <v>13</v>
      </c>
      <c r="U1155" s="3">
        <v>3</v>
      </c>
      <c r="V1155" s="3">
        <v>3</v>
      </c>
      <c r="W1155" s="4" t="s">
        <v>14243</v>
      </c>
      <c r="X1155" s="4" t="s">
        <v>14243</v>
      </c>
      <c r="Y1155" s="4" t="s">
        <v>13574</v>
      </c>
      <c r="Z1155" s="4" t="s">
        <v>13574</v>
      </c>
      <c r="AA1155" s="3">
        <v>651</v>
      </c>
      <c r="AB1155" s="3">
        <v>590</v>
      </c>
      <c r="AC1155" s="3">
        <v>594</v>
      </c>
      <c r="AD1155" s="3">
        <v>5</v>
      </c>
      <c r="AE1155" s="9">
        <v>5</v>
      </c>
      <c r="AF1155" s="9">
        <v>30</v>
      </c>
      <c r="AG1155" s="9">
        <v>31</v>
      </c>
      <c r="AH1155" s="3">
        <v>10</v>
      </c>
      <c r="AI1155" s="3">
        <v>11</v>
      </c>
      <c r="AJ1155" s="3">
        <v>6</v>
      </c>
      <c r="AK1155" s="3">
        <v>6</v>
      </c>
      <c r="AL1155" s="3">
        <v>16</v>
      </c>
      <c r="AM1155" s="3">
        <v>17</v>
      </c>
      <c r="AN1155" s="3">
        <v>4</v>
      </c>
      <c r="AO1155" s="3">
        <v>4</v>
      </c>
      <c r="AP1155" s="3">
        <v>0</v>
      </c>
      <c r="AQ1155" s="3">
        <v>0</v>
      </c>
      <c r="AR1155" s="2" t="s">
        <v>5</v>
      </c>
      <c r="AS1155" s="2" t="s">
        <v>46</v>
      </c>
      <c r="AT1155" s="5" t="str">
        <f>HYPERLINK("http://catalog.hathitrust.org/Record/001048738","HathiTrust Record")</f>
        <v>HathiTrust Record</v>
      </c>
      <c r="AU1155" s="5" t="str">
        <f>HYPERLINK("https://creighton-primo.hosted.exlibrisgroup.com/primo-explore/search?tab=default_tab&amp;search_scope=EVERYTHING&amp;vid=01CRU&amp;lang=en_US&amp;offset=0&amp;query=any,contains,991002432539702656","Catalog Record")</f>
        <v>Catalog Record</v>
      </c>
      <c r="AV1155" s="5" t="str">
        <f>HYPERLINK("http://www.worldcat.org/oclc/347619","WorldCat Record")</f>
        <v>WorldCat Record</v>
      </c>
      <c r="AW1155" s="2" t="s">
        <v>14244</v>
      </c>
      <c r="AX1155" s="2" t="s">
        <v>14245</v>
      </c>
      <c r="AY1155" s="2" t="s">
        <v>14246</v>
      </c>
      <c r="AZ1155" s="2" t="s">
        <v>14246</v>
      </c>
      <c r="BA1155" s="2" t="s">
        <v>14247</v>
      </c>
      <c r="BB1155" s="2" t="s">
        <v>20</v>
      </c>
      <c r="BE1155" s="2" t="s">
        <v>14248</v>
      </c>
      <c r="BF1155" s="2" t="s">
        <v>14249</v>
      </c>
    </row>
    <row r="1156" spans="1:58" ht="39.75" customHeight="1" x14ac:dyDescent="0.25">
      <c r="A1156" s="7" t="s">
        <v>5</v>
      </c>
      <c r="B1156" s="1" t="s">
        <v>0</v>
      </c>
      <c r="C1156" s="1" t="s">
        <v>1</v>
      </c>
      <c r="D1156" s="1" t="s">
        <v>14250</v>
      </c>
      <c r="E1156" s="1" t="s">
        <v>14251</v>
      </c>
      <c r="F1156" s="1" t="s">
        <v>14252</v>
      </c>
      <c r="H1156" s="2" t="s">
        <v>5</v>
      </c>
      <c r="I1156" s="2" t="s">
        <v>6</v>
      </c>
      <c r="J1156" s="2" t="s">
        <v>5</v>
      </c>
      <c r="K1156" s="2" t="s">
        <v>5</v>
      </c>
      <c r="L1156" s="2" t="s">
        <v>7</v>
      </c>
      <c r="M1156" s="1" t="s">
        <v>14253</v>
      </c>
      <c r="N1156" s="1" t="s">
        <v>14254</v>
      </c>
      <c r="O1156" s="2" t="s">
        <v>91</v>
      </c>
      <c r="Q1156" s="2" t="s">
        <v>1151</v>
      </c>
      <c r="R1156" s="2" t="s">
        <v>61</v>
      </c>
      <c r="S1156" s="1" t="s">
        <v>14255</v>
      </c>
      <c r="T1156" s="2" t="s">
        <v>13</v>
      </c>
      <c r="U1156" s="3">
        <v>2</v>
      </c>
      <c r="V1156" s="3">
        <v>2</v>
      </c>
      <c r="W1156" s="4" t="s">
        <v>13812</v>
      </c>
      <c r="X1156" s="4" t="s">
        <v>13812</v>
      </c>
      <c r="Y1156" s="4" t="s">
        <v>14256</v>
      </c>
      <c r="Z1156" s="4" t="s">
        <v>14256</v>
      </c>
      <c r="AA1156" s="3">
        <v>123</v>
      </c>
      <c r="AB1156" s="3">
        <v>86</v>
      </c>
      <c r="AC1156" s="3">
        <v>87</v>
      </c>
      <c r="AD1156" s="3">
        <v>1</v>
      </c>
      <c r="AE1156" s="9">
        <v>1</v>
      </c>
      <c r="AF1156" s="9">
        <v>4</v>
      </c>
      <c r="AG1156" s="9">
        <v>4</v>
      </c>
      <c r="AH1156" s="3">
        <v>0</v>
      </c>
      <c r="AI1156" s="3">
        <v>0</v>
      </c>
      <c r="AJ1156" s="3">
        <v>3</v>
      </c>
      <c r="AK1156" s="3">
        <v>3</v>
      </c>
      <c r="AL1156" s="3">
        <v>2</v>
      </c>
      <c r="AM1156" s="3">
        <v>2</v>
      </c>
      <c r="AN1156" s="3">
        <v>0</v>
      </c>
      <c r="AO1156" s="3">
        <v>0</v>
      </c>
      <c r="AP1156" s="3">
        <v>0</v>
      </c>
      <c r="AQ1156" s="3">
        <v>0</v>
      </c>
      <c r="AR1156" s="2" t="s">
        <v>5</v>
      </c>
      <c r="AS1156" s="2" t="s">
        <v>5</v>
      </c>
      <c r="AU1156" s="5" t="str">
        <f>HYPERLINK("https://creighton-primo.hosted.exlibrisgroup.com/primo-explore/search?tab=default_tab&amp;search_scope=EVERYTHING&amp;vid=01CRU&amp;lang=en_US&amp;offset=0&amp;query=any,contains,991002057409702656","Catalog Record")</f>
        <v>Catalog Record</v>
      </c>
      <c r="AV1156" s="5" t="str">
        <f>HYPERLINK("http://www.worldcat.org/oclc/26307768","WorldCat Record")</f>
        <v>WorldCat Record</v>
      </c>
      <c r="AW1156" s="2" t="s">
        <v>14257</v>
      </c>
      <c r="AX1156" s="2" t="s">
        <v>14258</v>
      </c>
      <c r="AY1156" s="2" t="s">
        <v>14259</v>
      </c>
      <c r="AZ1156" s="2" t="s">
        <v>14259</v>
      </c>
      <c r="BA1156" s="2" t="s">
        <v>14260</v>
      </c>
      <c r="BB1156" s="2" t="s">
        <v>20</v>
      </c>
      <c r="BD1156" s="2" t="s">
        <v>14261</v>
      </c>
      <c r="BE1156" s="2" t="s">
        <v>14262</v>
      </c>
      <c r="BF1156" s="2" t="s">
        <v>14263</v>
      </c>
    </row>
    <row r="1157" spans="1:58" ht="39.75" customHeight="1" x14ac:dyDescent="0.25">
      <c r="A1157" s="7" t="s">
        <v>5</v>
      </c>
      <c r="B1157" s="1" t="s">
        <v>0</v>
      </c>
      <c r="C1157" s="1" t="s">
        <v>1</v>
      </c>
      <c r="D1157" s="1" t="s">
        <v>14264</v>
      </c>
      <c r="E1157" s="1" t="s">
        <v>14265</v>
      </c>
      <c r="F1157" s="1" t="s">
        <v>14266</v>
      </c>
      <c r="H1157" s="2" t="s">
        <v>5</v>
      </c>
      <c r="I1157" s="2" t="s">
        <v>6</v>
      </c>
      <c r="J1157" s="2" t="s">
        <v>5</v>
      </c>
      <c r="K1157" s="2" t="s">
        <v>46</v>
      </c>
      <c r="L1157" s="2" t="s">
        <v>7</v>
      </c>
      <c r="M1157" s="1" t="s">
        <v>14267</v>
      </c>
      <c r="N1157" s="1" t="s">
        <v>14268</v>
      </c>
      <c r="O1157" s="2" t="s">
        <v>494</v>
      </c>
      <c r="Q1157" s="2" t="s">
        <v>1151</v>
      </c>
      <c r="R1157" s="2" t="s">
        <v>4146</v>
      </c>
      <c r="S1157" s="1" t="s">
        <v>14269</v>
      </c>
      <c r="T1157" s="2" t="s">
        <v>13</v>
      </c>
      <c r="U1157" s="3">
        <v>1</v>
      </c>
      <c r="V1157" s="3">
        <v>1</v>
      </c>
      <c r="W1157" s="4" t="s">
        <v>10532</v>
      </c>
      <c r="X1157" s="4" t="s">
        <v>10532</v>
      </c>
      <c r="Y1157" s="4" t="s">
        <v>10532</v>
      </c>
      <c r="Z1157" s="4" t="s">
        <v>10532</v>
      </c>
      <c r="AA1157" s="3">
        <v>125</v>
      </c>
      <c r="AB1157" s="3">
        <v>80</v>
      </c>
      <c r="AC1157" s="3">
        <v>945</v>
      </c>
      <c r="AD1157" s="3">
        <v>1</v>
      </c>
      <c r="AE1157" s="9">
        <v>10</v>
      </c>
      <c r="AF1157" s="9">
        <v>3</v>
      </c>
      <c r="AG1157" s="9">
        <v>53</v>
      </c>
      <c r="AH1157" s="3">
        <v>0</v>
      </c>
      <c r="AI1157" s="3">
        <v>23</v>
      </c>
      <c r="AJ1157" s="3">
        <v>3</v>
      </c>
      <c r="AK1157" s="3">
        <v>11</v>
      </c>
      <c r="AL1157" s="3">
        <v>1</v>
      </c>
      <c r="AM1157" s="3">
        <v>22</v>
      </c>
      <c r="AN1157" s="3">
        <v>0</v>
      </c>
      <c r="AO1157" s="3">
        <v>9</v>
      </c>
      <c r="AP1157" s="3">
        <v>0</v>
      </c>
      <c r="AQ1157" s="3">
        <v>0</v>
      </c>
      <c r="AR1157" s="2" t="s">
        <v>5</v>
      </c>
      <c r="AS1157" s="2" t="s">
        <v>46</v>
      </c>
      <c r="AT1157" s="5" t="str">
        <f>HYPERLINK("http://catalog.hathitrust.org/Record/101208768","HathiTrust Record")</f>
        <v>HathiTrust Record</v>
      </c>
      <c r="AU1157" s="5" t="str">
        <f>HYPERLINK("https://creighton-primo.hosted.exlibrisgroup.com/primo-explore/search?tab=default_tab&amp;search_scope=EVERYTHING&amp;vid=01CRU&amp;lang=en_US&amp;offset=0&amp;query=any,contains,991003682189702656","Catalog Record")</f>
        <v>Catalog Record</v>
      </c>
      <c r="AV1157" s="5" t="str">
        <f>HYPERLINK("http://www.worldcat.org/oclc/6196863","WorldCat Record")</f>
        <v>WorldCat Record</v>
      </c>
      <c r="AW1157" s="2" t="s">
        <v>14270</v>
      </c>
      <c r="AX1157" s="2" t="s">
        <v>14271</v>
      </c>
      <c r="AY1157" s="2" t="s">
        <v>14272</v>
      </c>
      <c r="AZ1157" s="2" t="s">
        <v>14272</v>
      </c>
      <c r="BA1157" s="2" t="s">
        <v>14273</v>
      </c>
      <c r="BB1157" s="2" t="s">
        <v>20</v>
      </c>
      <c r="BE1157" s="2" t="s">
        <v>14274</v>
      </c>
      <c r="BF1157" s="2" t="s">
        <v>14275</v>
      </c>
    </row>
    <row r="1158" spans="1:58" ht="39.75" customHeight="1" x14ac:dyDescent="0.25">
      <c r="A1158" s="7" t="s">
        <v>5</v>
      </c>
      <c r="B1158" s="1" t="s">
        <v>0</v>
      </c>
      <c r="C1158" s="1" t="s">
        <v>1</v>
      </c>
      <c r="D1158" s="1" t="s">
        <v>14276</v>
      </c>
      <c r="E1158" s="1" t="s">
        <v>14277</v>
      </c>
      <c r="F1158" s="1" t="s">
        <v>14278</v>
      </c>
      <c r="H1158" s="2" t="s">
        <v>5</v>
      </c>
      <c r="I1158" s="2" t="s">
        <v>6</v>
      </c>
      <c r="J1158" s="2" t="s">
        <v>5</v>
      </c>
      <c r="K1158" s="2" t="s">
        <v>5</v>
      </c>
      <c r="L1158" s="2" t="s">
        <v>7</v>
      </c>
      <c r="M1158" s="1" t="s">
        <v>14267</v>
      </c>
      <c r="N1158" s="1" t="s">
        <v>14279</v>
      </c>
      <c r="O1158" s="2" t="s">
        <v>584</v>
      </c>
      <c r="Q1158" s="2" t="s">
        <v>1151</v>
      </c>
      <c r="R1158" s="2" t="s">
        <v>5360</v>
      </c>
      <c r="S1158" s="1" t="s">
        <v>14280</v>
      </c>
      <c r="T1158" s="2" t="s">
        <v>13</v>
      </c>
      <c r="U1158" s="3">
        <v>1</v>
      </c>
      <c r="V1158" s="3">
        <v>1</v>
      </c>
      <c r="W1158" s="4" t="s">
        <v>11306</v>
      </c>
      <c r="X1158" s="4" t="s">
        <v>11306</v>
      </c>
      <c r="Y1158" s="4" t="s">
        <v>14281</v>
      </c>
      <c r="Z1158" s="4" t="s">
        <v>14281</v>
      </c>
      <c r="AA1158" s="3">
        <v>19</v>
      </c>
      <c r="AB1158" s="3">
        <v>18</v>
      </c>
      <c r="AC1158" s="3">
        <v>489</v>
      </c>
      <c r="AD1158" s="3">
        <v>1</v>
      </c>
      <c r="AE1158" s="9">
        <v>4</v>
      </c>
      <c r="AF1158" s="9">
        <v>1</v>
      </c>
      <c r="AG1158" s="9">
        <v>27</v>
      </c>
      <c r="AH1158" s="3">
        <v>0</v>
      </c>
      <c r="AI1158" s="3">
        <v>12</v>
      </c>
      <c r="AJ1158" s="3">
        <v>0</v>
      </c>
      <c r="AK1158" s="3">
        <v>4</v>
      </c>
      <c r="AL1158" s="3">
        <v>1</v>
      </c>
      <c r="AM1158" s="3">
        <v>15</v>
      </c>
      <c r="AN1158" s="3">
        <v>0</v>
      </c>
      <c r="AO1158" s="3">
        <v>3</v>
      </c>
      <c r="AP1158" s="3">
        <v>0</v>
      </c>
      <c r="AQ1158" s="3">
        <v>0</v>
      </c>
      <c r="AR1158" s="2" t="s">
        <v>5</v>
      </c>
      <c r="AS1158" s="2" t="s">
        <v>5</v>
      </c>
      <c r="AU1158" s="5" t="str">
        <f>HYPERLINK("https://creighton-primo.hosted.exlibrisgroup.com/primo-explore/search?tab=default_tab&amp;search_scope=EVERYTHING&amp;vid=01CRU&amp;lang=en_US&amp;offset=0&amp;query=any,contains,991003803739702656","Catalog Record")</f>
        <v>Catalog Record</v>
      </c>
      <c r="AV1158" s="5" t="str">
        <f>HYPERLINK("http://www.worldcat.org/oclc/6451218","WorldCat Record")</f>
        <v>WorldCat Record</v>
      </c>
      <c r="AW1158" s="2" t="s">
        <v>14282</v>
      </c>
      <c r="AX1158" s="2" t="s">
        <v>14283</v>
      </c>
      <c r="AY1158" s="2" t="s">
        <v>14284</v>
      </c>
      <c r="AZ1158" s="2" t="s">
        <v>14284</v>
      </c>
      <c r="BA1158" s="2" t="s">
        <v>14285</v>
      </c>
      <c r="BB1158" s="2" t="s">
        <v>20</v>
      </c>
      <c r="BE1158" s="2" t="s">
        <v>14286</v>
      </c>
      <c r="BF1158" s="2" t="s">
        <v>14287</v>
      </c>
    </row>
    <row r="1159" spans="1:58" ht="39.75" customHeight="1" x14ac:dyDescent="0.25">
      <c r="A1159" s="7" t="s">
        <v>5</v>
      </c>
      <c r="B1159" s="1" t="s">
        <v>0</v>
      </c>
      <c r="C1159" s="1" t="s">
        <v>1</v>
      </c>
      <c r="D1159" s="1" t="s">
        <v>14288</v>
      </c>
      <c r="E1159" s="1" t="s">
        <v>14289</v>
      </c>
      <c r="F1159" s="1" t="s">
        <v>14290</v>
      </c>
      <c r="H1159" s="2" t="s">
        <v>5</v>
      </c>
      <c r="I1159" s="2" t="s">
        <v>6</v>
      </c>
      <c r="J1159" s="2" t="s">
        <v>5</v>
      </c>
      <c r="K1159" s="2" t="s">
        <v>46</v>
      </c>
      <c r="L1159" s="2" t="s">
        <v>7</v>
      </c>
      <c r="M1159" s="1" t="s">
        <v>14291</v>
      </c>
      <c r="N1159" s="1" t="s">
        <v>14292</v>
      </c>
      <c r="O1159" s="2" t="s">
        <v>569</v>
      </c>
      <c r="P1159" s="1" t="s">
        <v>5359</v>
      </c>
      <c r="Q1159" s="2" t="s">
        <v>1151</v>
      </c>
      <c r="R1159" s="2" t="s">
        <v>3002</v>
      </c>
      <c r="S1159" s="1" t="s">
        <v>11128</v>
      </c>
      <c r="T1159" s="2" t="s">
        <v>13</v>
      </c>
      <c r="U1159" s="3">
        <v>1</v>
      </c>
      <c r="V1159" s="3">
        <v>1</v>
      </c>
      <c r="W1159" s="4" t="s">
        <v>10422</v>
      </c>
      <c r="X1159" s="4" t="s">
        <v>10422</v>
      </c>
      <c r="Y1159" s="4" t="s">
        <v>10422</v>
      </c>
      <c r="Z1159" s="4" t="s">
        <v>10422</v>
      </c>
      <c r="AA1159" s="3">
        <v>31</v>
      </c>
      <c r="AB1159" s="3">
        <v>27</v>
      </c>
      <c r="AC1159" s="3">
        <v>837</v>
      </c>
      <c r="AD1159" s="3">
        <v>1</v>
      </c>
      <c r="AE1159" s="9">
        <v>4</v>
      </c>
      <c r="AF1159" s="9">
        <v>0</v>
      </c>
      <c r="AG1159" s="9">
        <v>35</v>
      </c>
      <c r="AH1159" s="3">
        <v>0</v>
      </c>
      <c r="AI1159" s="3">
        <v>14</v>
      </c>
      <c r="AJ1159" s="3">
        <v>0</v>
      </c>
      <c r="AK1159" s="3">
        <v>9</v>
      </c>
      <c r="AL1159" s="3">
        <v>0</v>
      </c>
      <c r="AM1159" s="3">
        <v>18</v>
      </c>
      <c r="AN1159" s="3">
        <v>0</v>
      </c>
      <c r="AO1159" s="3">
        <v>3</v>
      </c>
      <c r="AP1159" s="3">
        <v>0</v>
      </c>
      <c r="AQ1159" s="3">
        <v>0</v>
      </c>
      <c r="AR1159" s="2" t="s">
        <v>5</v>
      </c>
      <c r="AS1159" s="2" t="s">
        <v>5</v>
      </c>
      <c r="AU1159" s="5" t="str">
        <f>HYPERLINK("https://creighton-primo.hosted.exlibrisgroup.com/primo-explore/search?tab=default_tab&amp;search_scope=EVERYTHING&amp;vid=01CRU&amp;lang=en_US&amp;offset=0&amp;query=any,contains,991003253479702656","Catalog Record")</f>
        <v>Catalog Record</v>
      </c>
      <c r="AV1159" s="5" t="str">
        <f>HYPERLINK("http://www.worldcat.org/oclc/42817066","WorldCat Record")</f>
        <v>WorldCat Record</v>
      </c>
      <c r="AW1159" s="2" t="s">
        <v>14293</v>
      </c>
      <c r="AX1159" s="2" t="s">
        <v>14294</v>
      </c>
      <c r="AY1159" s="2" t="s">
        <v>14295</v>
      </c>
      <c r="AZ1159" s="2" t="s">
        <v>14295</v>
      </c>
      <c r="BA1159" s="2" t="s">
        <v>14296</v>
      </c>
      <c r="BB1159" s="2" t="s">
        <v>20</v>
      </c>
      <c r="BD1159" s="2" t="s">
        <v>14297</v>
      </c>
      <c r="BE1159" s="2" t="s">
        <v>14298</v>
      </c>
      <c r="BF1159" s="2" t="s">
        <v>14299</v>
      </c>
    </row>
    <row r="1160" spans="1:58" ht="39.75" customHeight="1" x14ac:dyDescent="0.25">
      <c r="A1160" s="7" t="s">
        <v>5</v>
      </c>
      <c r="B1160" s="1" t="s">
        <v>0</v>
      </c>
      <c r="C1160" s="1" t="s">
        <v>1</v>
      </c>
      <c r="D1160" s="1" t="s">
        <v>14300</v>
      </c>
      <c r="E1160" s="1" t="s">
        <v>14301</v>
      </c>
      <c r="F1160" s="1" t="s">
        <v>14302</v>
      </c>
      <c r="H1160" s="2" t="s">
        <v>5</v>
      </c>
      <c r="I1160" s="2" t="s">
        <v>6</v>
      </c>
      <c r="J1160" s="2" t="s">
        <v>5</v>
      </c>
      <c r="K1160" s="2" t="s">
        <v>5</v>
      </c>
      <c r="L1160" s="2" t="s">
        <v>7</v>
      </c>
      <c r="M1160" s="1" t="s">
        <v>14303</v>
      </c>
      <c r="N1160" s="1" t="s">
        <v>14304</v>
      </c>
      <c r="O1160" s="2" t="s">
        <v>392</v>
      </c>
      <c r="Q1160" s="2" t="s">
        <v>1151</v>
      </c>
      <c r="R1160" s="2" t="s">
        <v>3002</v>
      </c>
      <c r="S1160" s="1" t="s">
        <v>14305</v>
      </c>
      <c r="T1160" s="2" t="s">
        <v>13</v>
      </c>
      <c r="U1160" s="3">
        <v>1</v>
      </c>
      <c r="V1160" s="3">
        <v>1</v>
      </c>
      <c r="W1160" s="4" t="s">
        <v>1154</v>
      </c>
      <c r="X1160" s="4" t="s">
        <v>1154</v>
      </c>
      <c r="Y1160" s="4" t="s">
        <v>1154</v>
      </c>
      <c r="Z1160" s="4" t="s">
        <v>1154</v>
      </c>
      <c r="AA1160" s="3">
        <v>265</v>
      </c>
      <c r="AB1160" s="3">
        <v>192</v>
      </c>
      <c r="AC1160" s="3">
        <v>197</v>
      </c>
      <c r="AD1160" s="3">
        <v>2</v>
      </c>
      <c r="AE1160" s="9">
        <v>2</v>
      </c>
      <c r="AF1160" s="9">
        <v>9</v>
      </c>
      <c r="AG1160" s="9">
        <v>9</v>
      </c>
      <c r="AH1160" s="3">
        <v>0</v>
      </c>
      <c r="AI1160" s="3">
        <v>0</v>
      </c>
      <c r="AJ1160" s="3">
        <v>4</v>
      </c>
      <c r="AK1160" s="3">
        <v>4</v>
      </c>
      <c r="AL1160" s="3">
        <v>7</v>
      </c>
      <c r="AM1160" s="3">
        <v>7</v>
      </c>
      <c r="AN1160" s="3">
        <v>1</v>
      </c>
      <c r="AO1160" s="3">
        <v>1</v>
      </c>
      <c r="AP1160" s="3">
        <v>0</v>
      </c>
      <c r="AQ1160" s="3">
        <v>0</v>
      </c>
      <c r="AR1160" s="2" t="s">
        <v>5</v>
      </c>
      <c r="AS1160" s="2" t="s">
        <v>46</v>
      </c>
      <c r="AT1160" s="5" t="str">
        <f>HYPERLINK("http://catalog.hathitrust.org/Record/000027132","HathiTrust Record")</f>
        <v>HathiTrust Record</v>
      </c>
      <c r="AU1160" s="5" t="str">
        <f>HYPERLINK("https://creighton-primo.hosted.exlibrisgroup.com/primo-explore/search?tab=default_tab&amp;search_scope=EVERYTHING&amp;vid=01CRU&amp;lang=en_US&amp;offset=0&amp;query=any,contains,991003846349702656","Catalog Record")</f>
        <v>Catalog Record</v>
      </c>
      <c r="AV1160" s="5" t="str">
        <f>HYPERLINK("http://www.worldcat.org/oclc/1084782","WorldCat Record")</f>
        <v>WorldCat Record</v>
      </c>
      <c r="AW1160" s="2" t="s">
        <v>14306</v>
      </c>
      <c r="AX1160" s="2" t="s">
        <v>14307</v>
      </c>
      <c r="AY1160" s="2" t="s">
        <v>14308</v>
      </c>
      <c r="AZ1160" s="2" t="s">
        <v>14308</v>
      </c>
      <c r="BA1160" s="2" t="s">
        <v>14309</v>
      </c>
      <c r="BB1160" s="2" t="s">
        <v>20</v>
      </c>
      <c r="BE1160" s="2" t="s">
        <v>14310</v>
      </c>
      <c r="BF1160" s="2" t="s">
        <v>14311</v>
      </c>
    </row>
    <row r="1161" spans="1:58" ht="39.75" customHeight="1" x14ac:dyDescent="0.25">
      <c r="A1161" s="7" t="s">
        <v>5</v>
      </c>
      <c r="B1161" s="1" t="s">
        <v>0</v>
      </c>
      <c r="C1161" s="1" t="s">
        <v>1</v>
      </c>
      <c r="D1161" s="1" t="s">
        <v>14312</v>
      </c>
      <c r="E1161" s="1" t="s">
        <v>14313</v>
      </c>
      <c r="F1161" s="1" t="s">
        <v>14314</v>
      </c>
      <c r="H1161" s="2" t="s">
        <v>5</v>
      </c>
      <c r="I1161" s="2" t="s">
        <v>6</v>
      </c>
      <c r="J1161" s="2" t="s">
        <v>5</v>
      </c>
      <c r="K1161" s="2" t="s">
        <v>46</v>
      </c>
      <c r="L1161" s="2" t="s">
        <v>7</v>
      </c>
      <c r="M1161" s="1" t="s">
        <v>14315</v>
      </c>
      <c r="N1161" s="1" t="s">
        <v>14316</v>
      </c>
      <c r="O1161" s="2" t="s">
        <v>886</v>
      </c>
      <c r="Q1161" s="2" t="s">
        <v>1151</v>
      </c>
      <c r="R1161" s="2" t="s">
        <v>9502</v>
      </c>
      <c r="S1161" s="1" t="s">
        <v>14317</v>
      </c>
      <c r="T1161" s="2" t="s">
        <v>13</v>
      </c>
      <c r="U1161" s="3">
        <v>1</v>
      </c>
      <c r="V1161" s="3">
        <v>1</v>
      </c>
      <c r="W1161" s="4" t="s">
        <v>6701</v>
      </c>
      <c r="X1161" s="4" t="s">
        <v>6701</v>
      </c>
      <c r="Y1161" s="4" t="s">
        <v>13952</v>
      </c>
      <c r="Z1161" s="4" t="s">
        <v>13952</v>
      </c>
      <c r="AA1161" s="3">
        <v>46</v>
      </c>
      <c r="AB1161" s="3">
        <v>29</v>
      </c>
      <c r="AC1161" s="3">
        <v>628</v>
      </c>
      <c r="AD1161" s="3">
        <v>1</v>
      </c>
      <c r="AE1161" s="9">
        <v>3</v>
      </c>
      <c r="AF1161" s="9">
        <v>0</v>
      </c>
      <c r="AG1161" s="9">
        <v>25</v>
      </c>
      <c r="AH1161" s="3">
        <v>0</v>
      </c>
      <c r="AI1161" s="3">
        <v>9</v>
      </c>
      <c r="AJ1161" s="3">
        <v>0</v>
      </c>
      <c r="AK1161" s="3">
        <v>7</v>
      </c>
      <c r="AL1161" s="3">
        <v>0</v>
      </c>
      <c r="AM1161" s="3">
        <v>14</v>
      </c>
      <c r="AN1161" s="3">
        <v>0</v>
      </c>
      <c r="AO1161" s="3">
        <v>2</v>
      </c>
      <c r="AP1161" s="3">
        <v>0</v>
      </c>
      <c r="AQ1161" s="3">
        <v>0</v>
      </c>
      <c r="AR1161" s="2" t="s">
        <v>5</v>
      </c>
      <c r="AS1161" s="2" t="s">
        <v>46</v>
      </c>
      <c r="AT1161" s="5" t="str">
        <f>HYPERLINK("http://catalog.hathitrust.org/Record/000708107","HathiTrust Record")</f>
        <v>HathiTrust Record</v>
      </c>
      <c r="AU1161" s="5" t="str">
        <f>HYPERLINK("https://creighton-primo.hosted.exlibrisgroup.com/primo-explore/search?tab=default_tab&amp;search_scope=EVERYTHING&amp;vid=01CRU&amp;lang=en_US&amp;offset=0&amp;query=any,contains,991003762789702656","Catalog Record")</f>
        <v>Catalog Record</v>
      </c>
      <c r="AV1161" s="5" t="str">
        <f>HYPERLINK("http://www.worldcat.org/oclc/1898219","WorldCat Record")</f>
        <v>WorldCat Record</v>
      </c>
      <c r="AW1161" s="2" t="s">
        <v>14318</v>
      </c>
      <c r="AX1161" s="2" t="s">
        <v>14319</v>
      </c>
      <c r="AY1161" s="2" t="s">
        <v>14320</v>
      </c>
      <c r="AZ1161" s="2" t="s">
        <v>14320</v>
      </c>
      <c r="BA1161" s="2" t="s">
        <v>14321</v>
      </c>
      <c r="BB1161" s="2" t="s">
        <v>20</v>
      </c>
      <c r="BE1161" s="2" t="s">
        <v>14322</v>
      </c>
      <c r="BF1161" s="2" t="s">
        <v>14323</v>
      </c>
    </row>
    <row r="1162" spans="1:58" ht="39.75" customHeight="1" x14ac:dyDescent="0.25">
      <c r="A1162" s="7" t="s">
        <v>5</v>
      </c>
      <c r="B1162" s="1" t="s">
        <v>0</v>
      </c>
      <c r="C1162" s="1" t="s">
        <v>1</v>
      </c>
      <c r="D1162" s="1" t="s">
        <v>14324</v>
      </c>
      <c r="E1162" s="1" t="s">
        <v>14325</v>
      </c>
      <c r="F1162" s="1" t="s">
        <v>14326</v>
      </c>
      <c r="H1162" s="2" t="s">
        <v>5</v>
      </c>
      <c r="I1162" s="2" t="s">
        <v>6</v>
      </c>
      <c r="J1162" s="2" t="s">
        <v>5</v>
      </c>
      <c r="K1162" s="2" t="s">
        <v>5</v>
      </c>
      <c r="L1162" s="2" t="s">
        <v>7</v>
      </c>
      <c r="M1162" s="1" t="s">
        <v>14327</v>
      </c>
      <c r="N1162" s="1" t="s">
        <v>14328</v>
      </c>
      <c r="O1162" s="2" t="s">
        <v>2448</v>
      </c>
      <c r="P1162" s="1" t="s">
        <v>5911</v>
      </c>
      <c r="Q1162" s="2" t="s">
        <v>1151</v>
      </c>
      <c r="R1162" s="2" t="s">
        <v>5403</v>
      </c>
      <c r="T1162" s="2" t="s">
        <v>13</v>
      </c>
      <c r="U1162" s="3">
        <v>1</v>
      </c>
      <c r="V1162" s="3">
        <v>1</v>
      </c>
      <c r="W1162" s="4" t="s">
        <v>8230</v>
      </c>
      <c r="X1162" s="4" t="s">
        <v>8230</v>
      </c>
      <c r="Y1162" s="4" t="s">
        <v>8230</v>
      </c>
      <c r="Z1162" s="4" t="s">
        <v>8230</v>
      </c>
      <c r="AA1162" s="3">
        <v>134</v>
      </c>
      <c r="AB1162" s="3">
        <v>124</v>
      </c>
      <c r="AC1162" s="3">
        <v>269</v>
      </c>
      <c r="AD1162" s="3">
        <v>2</v>
      </c>
      <c r="AE1162" s="9">
        <v>3</v>
      </c>
      <c r="AF1162" s="9">
        <v>5</v>
      </c>
      <c r="AG1162" s="9">
        <v>10</v>
      </c>
      <c r="AH1162" s="3">
        <v>2</v>
      </c>
      <c r="AI1162" s="3">
        <v>2</v>
      </c>
      <c r="AJ1162" s="3">
        <v>1</v>
      </c>
      <c r="AK1162" s="3">
        <v>4</v>
      </c>
      <c r="AL1162" s="3">
        <v>1</v>
      </c>
      <c r="AM1162" s="3">
        <v>4</v>
      </c>
      <c r="AN1162" s="3">
        <v>1</v>
      </c>
      <c r="AO1162" s="3">
        <v>2</v>
      </c>
      <c r="AP1162" s="3">
        <v>0</v>
      </c>
      <c r="AQ1162" s="3">
        <v>0</v>
      </c>
      <c r="AR1162" s="2" t="s">
        <v>5</v>
      </c>
      <c r="AS1162" s="2" t="s">
        <v>46</v>
      </c>
      <c r="AT1162" s="5" t="str">
        <f>HYPERLINK("http://catalog.hathitrust.org/Record/007490226","HathiTrust Record")</f>
        <v>HathiTrust Record</v>
      </c>
      <c r="AU1162" s="5" t="str">
        <f>HYPERLINK("https://creighton-primo.hosted.exlibrisgroup.com/primo-explore/search?tab=default_tab&amp;search_scope=EVERYTHING&amp;vid=01CRU&amp;lang=en_US&amp;offset=0&amp;query=any,contains,991003253689702656","Catalog Record")</f>
        <v>Catalog Record</v>
      </c>
      <c r="AV1162" s="5" t="str">
        <f>HYPERLINK("http://www.worldcat.org/oclc/43333508","WorldCat Record")</f>
        <v>WorldCat Record</v>
      </c>
      <c r="AW1162" s="2" t="s">
        <v>14329</v>
      </c>
      <c r="AX1162" s="2" t="s">
        <v>14330</v>
      </c>
      <c r="AY1162" s="2" t="s">
        <v>14331</v>
      </c>
      <c r="AZ1162" s="2" t="s">
        <v>14331</v>
      </c>
      <c r="BA1162" s="2" t="s">
        <v>14332</v>
      </c>
      <c r="BB1162" s="2" t="s">
        <v>20</v>
      </c>
      <c r="BD1162" s="2" t="s">
        <v>14333</v>
      </c>
      <c r="BE1162" s="2" t="s">
        <v>14334</v>
      </c>
      <c r="BF1162" s="2" t="s">
        <v>14335</v>
      </c>
    </row>
    <row r="1163" spans="1:58" ht="39.75" customHeight="1" x14ac:dyDescent="0.25">
      <c r="A1163" s="7" t="s">
        <v>5</v>
      </c>
      <c r="B1163" s="1" t="s">
        <v>0</v>
      </c>
      <c r="C1163" s="1" t="s">
        <v>1</v>
      </c>
      <c r="D1163" s="1" t="s">
        <v>14336</v>
      </c>
      <c r="E1163" s="1" t="s">
        <v>14337</v>
      </c>
      <c r="F1163" s="1" t="s">
        <v>14338</v>
      </c>
      <c r="H1163" s="2" t="s">
        <v>5</v>
      </c>
      <c r="I1163" s="2" t="s">
        <v>6</v>
      </c>
      <c r="J1163" s="2" t="s">
        <v>5</v>
      </c>
      <c r="K1163" s="2" t="s">
        <v>5</v>
      </c>
      <c r="L1163" s="2" t="s">
        <v>7</v>
      </c>
      <c r="M1163" s="1" t="s">
        <v>10231</v>
      </c>
      <c r="N1163" s="1" t="s">
        <v>14339</v>
      </c>
      <c r="O1163" s="2" t="s">
        <v>91</v>
      </c>
      <c r="P1163" s="1" t="s">
        <v>2908</v>
      </c>
      <c r="Q1163" s="2" t="s">
        <v>1151</v>
      </c>
      <c r="R1163" s="2" t="s">
        <v>5403</v>
      </c>
      <c r="S1163" s="1" t="s">
        <v>10193</v>
      </c>
      <c r="T1163" s="2" t="s">
        <v>13</v>
      </c>
      <c r="U1163" s="3">
        <v>1</v>
      </c>
      <c r="V1163" s="3">
        <v>1</v>
      </c>
      <c r="W1163" s="4" t="s">
        <v>14340</v>
      </c>
      <c r="X1163" s="4" t="s">
        <v>14340</v>
      </c>
      <c r="Y1163" s="4" t="s">
        <v>11397</v>
      </c>
      <c r="Z1163" s="4" t="s">
        <v>11397</v>
      </c>
      <c r="AA1163" s="3">
        <v>128</v>
      </c>
      <c r="AB1163" s="3">
        <v>93</v>
      </c>
      <c r="AC1163" s="3">
        <v>93</v>
      </c>
      <c r="AD1163" s="3">
        <v>1</v>
      </c>
      <c r="AE1163" s="9">
        <v>1</v>
      </c>
      <c r="AF1163" s="9">
        <v>4</v>
      </c>
      <c r="AG1163" s="9">
        <v>4</v>
      </c>
      <c r="AH1163" s="3">
        <v>0</v>
      </c>
      <c r="AI1163" s="3">
        <v>0</v>
      </c>
      <c r="AJ1163" s="3">
        <v>3</v>
      </c>
      <c r="AK1163" s="3">
        <v>3</v>
      </c>
      <c r="AL1163" s="3">
        <v>3</v>
      </c>
      <c r="AM1163" s="3">
        <v>3</v>
      </c>
      <c r="AN1163" s="3">
        <v>0</v>
      </c>
      <c r="AO1163" s="3">
        <v>0</v>
      </c>
      <c r="AP1163" s="3">
        <v>0</v>
      </c>
      <c r="AQ1163" s="3">
        <v>0</v>
      </c>
      <c r="AR1163" s="2" t="s">
        <v>5</v>
      </c>
      <c r="AS1163" s="2" t="s">
        <v>5</v>
      </c>
      <c r="AU1163" s="5" t="str">
        <f>HYPERLINK("https://creighton-primo.hosted.exlibrisgroup.com/primo-explore/search?tab=default_tab&amp;search_scope=EVERYTHING&amp;vid=01CRU&amp;lang=en_US&amp;offset=0&amp;query=any,contains,991002400079702656","Catalog Record")</f>
        <v>Catalog Record</v>
      </c>
      <c r="AV1163" s="5" t="str">
        <f>HYPERLINK("http://www.worldcat.org/oclc/31197378","WorldCat Record")</f>
        <v>WorldCat Record</v>
      </c>
      <c r="AW1163" s="2" t="s">
        <v>14341</v>
      </c>
      <c r="AX1163" s="2" t="s">
        <v>14342</v>
      </c>
      <c r="AY1163" s="2" t="s">
        <v>14343</v>
      </c>
      <c r="AZ1163" s="2" t="s">
        <v>14343</v>
      </c>
      <c r="BA1163" s="2" t="s">
        <v>14344</v>
      </c>
      <c r="BB1163" s="2" t="s">
        <v>20</v>
      </c>
      <c r="BD1163" s="2" t="s">
        <v>14345</v>
      </c>
      <c r="BE1163" s="2" t="s">
        <v>14346</v>
      </c>
      <c r="BF1163" s="2" t="s">
        <v>14347</v>
      </c>
    </row>
    <row r="1164" spans="1:58" ht="39.75" customHeight="1" x14ac:dyDescent="0.25">
      <c r="A1164" s="7" t="s">
        <v>5</v>
      </c>
      <c r="B1164" s="1" t="s">
        <v>0</v>
      </c>
      <c r="C1164" s="1" t="s">
        <v>1</v>
      </c>
      <c r="D1164" s="1" t="s">
        <v>14348</v>
      </c>
      <c r="E1164" s="1" t="s">
        <v>14349</v>
      </c>
      <c r="F1164" s="1" t="s">
        <v>14350</v>
      </c>
      <c r="H1164" s="2" t="s">
        <v>5</v>
      </c>
      <c r="I1164" s="2" t="s">
        <v>6</v>
      </c>
      <c r="J1164" s="2" t="s">
        <v>5</v>
      </c>
      <c r="K1164" s="2" t="s">
        <v>5</v>
      </c>
      <c r="L1164" s="2" t="s">
        <v>7</v>
      </c>
      <c r="M1164" s="1" t="s">
        <v>14351</v>
      </c>
      <c r="N1164" s="1" t="s">
        <v>14352</v>
      </c>
      <c r="O1164" s="2" t="s">
        <v>6611</v>
      </c>
      <c r="P1164" s="1" t="s">
        <v>5359</v>
      </c>
      <c r="Q1164" s="2" t="s">
        <v>1151</v>
      </c>
      <c r="R1164" s="2" t="s">
        <v>4146</v>
      </c>
      <c r="S1164" s="1" t="s">
        <v>14353</v>
      </c>
      <c r="T1164" s="2" t="s">
        <v>13</v>
      </c>
      <c r="U1164" s="3">
        <v>1</v>
      </c>
      <c r="V1164" s="3">
        <v>1</v>
      </c>
      <c r="W1164" s="4" t="s">
        <v>1154</v>
      </c>
      <c r="X1164" s="4" t="s">
        <v>1154</v>
      </c>
      <c r="Y1164" s="4" t="s">
        <v>1154</v>
      </c>
      <c r="Z1164" s="4" t="s">
        <v>1154</v>
      </c>
      <c r="AA1164" s="3">
        <v>29</v>
      </c>
      <c r="AB1164" s="3">
        <v>23</v>
      </c>
      <c r="AC1164" s="3">
        <v>23</v>
      </c>
      <c r="AD1164" s="3">
        <v>1</v>
      </c>
      <c r="AE1164" s="9">
        <v>1</v>
      </c>
      <c r="AF1164" s="9">
        <v>0</v>
      </c>
      <c r="AG1164" s="9">
        <v>0</v>
      </c>
      <c r="AH1164" s="3">
        <v>0</v>
      </c>
      <c r="AI1164" s="3">
        <v>0</v>
      </c>
      <c r="AJ1164" s="3">
        <v>0</v>
      </c>
      <c r="AK1164" s="3">
        <v>0</v>
      </c>
      <c r="AL1164" s="3">
        <v>0</v>
      </c>
      <c r="AM1164" s="3">
        <v>0</v>
      </c>
      <c r="AN1164" s="3">
        <v>0</v>
      </c>
      <c r="AO1164" s="3">
        <v>0</v>
      </c>
      <c r="AP1164" s="3">
        <v>0</v>
      </c>
      <c r="AQ1164" s="3">
        <v>0</v>
      </c>
      <c r="AR1164" s="2" t="s">
        <v>5</v>
      </c>
      <c r="AS1164" s="2" t="s">
        <v>5</v>
      </c>
      <c r="AU1164" s="5" t="str">
        <f>HYPERLINK("https://creighton-primo.hosted.exlibrisgroup.com/primo-explore/search?tab=default_tab&amp;search_scope=EVERYTHING&amp;vid=01CRU&amp;lang=en_US&amp;offset=0&amp;query=any,contains,991003845649702656","Catalog Record")</f>
        <v>Catalog Record</v>
      </c>
      <c r="AV1164" s="5" t="str">
        <f>HYPERLINK("http://www.worldcat.org/oclc/34477588","WorldCat Record")</f>
        <v>WorldCat Record</v>
      </c>
      <c r="AW1164" s="2" t="s">
        <v>14354</v>
      </c>
      <c r="AX1164" s="2" t="s">
        <v>14355</v>
      </c>
      <c r="AY1164" s="2" t="s">
        <v>14356</v>
      </c>
      <c r="AZ1164" s="2" t="s">
        <v>14356</v>
      </c>
      <c r="BA1164" s="2" t="s">
        <v>14357</v>
      </c>
      <c r="BB1164" s="2" t="s">
        <v>20</v>
      </c>
      <c r="BD1164" s="2" t="s">
        <v>14358</v>
      </c>
      <c r="BE1164" s="2" t="s">
        <v>14359</v>
      </c>
      <c r="BF1164" s="2" t="s">
        <v>14360</v>
      </c>
    </row>
    <row r="1165" spans="1:58" ht="39.75" customHeight="1" x14ac:dyDescent="0.25">
      <c r="A1165" s="7" t="s">
        <v>5</v>
      </c>
      <c r="B1165" s="1" t="s">
        <v>0</v>
      </c>
      <c r="C1165" s="1" t="s">
        <v>1</v>
      </c>
      <c r="D1165" s="1" t="s">
        <v>14361</v>
      </c>
      <c r="E1165" s="1" t="s">
        <v>14362</v>
      </c>
      <c r="F1165" s="1" t="s">
        <v>14363</v>
      </c>
      <c r="H1165" s="2" t="s">
        <v>5</v>
      </c>
      <c r="I1165" s="2" t="s">
        <v>6</v>
      </c>
      <c r="J1165" s="2" t="s">
        <v>5</v>
      </c>
      <c r="K1165" s="2" t="s">
        <v>5</v>
      </c>
      <c r="L1165" s="2" t="s">
        <v>7</v>
      </c>
      <c r="M1165" s="1" t="s">
        <v>10342</v>
      </c>
      <c r="N1165" s="1" t="s">
        <v>14364</v>
      </c>
      <c r="O1165" s="2" t="s">
        <v>3941</v>
      </c>
      <c r="P1165" s="1" t="s">
        <v>2908</v>
      </c>
      <c r="Q1165" s="2" t="s">
        <v>1151</v>
      </c>
      <c r="R1165" s="2" t="s">
        <v>5403</v>
      </c>
      <c r="T1165" s="2" t="s">
        <v>13</v>
      </c>
      <c r="U1165" s="3">
        <v>1</v>
      </c>
      <c r="V1165" s="3">
        <v>1</v>
      </c>
      <c r="W1165" s="4" t="s">
        <v>1624</v>
      </c>
      <c r="X1165" s="4" t="s">
        <v>1624</v>
      </c>
      <c r="Y1165" s="4" t="s">
        <v>1624</v>
      </c>
      <c r="Z1165" s="4" t="s">
        <v>1624</v>
      </c>
      <c r="AA1165" s="3">
        <v>195</v>
      </c>
      <c r="AB1165" s="3">
        <v>161</v>
      </c>
      <c r="AC1165" s="3">
        <v>169</v>
      </c>
      <c r="AD1165" s="3">
        <v>3</v>
      </c>
      <c r="AE1165" s="9">
        <v>3</v>
      </c>
      <c r="AF1165" s="9">
        <v>6</v>
      </c>
      <c r="AG1165" s="9">
        <v>6</v>
      </c>
      <c r="AH1165" s="3">
        <v>1</v>
      </c>
      <c r="AI1165" s="3">
        <v>1</v>
      </c>
      <c r="AJ1165" s="3">
        <v>2</v>
      </c>
      <c r="AK1165" s="3">
        <v>2</v>
      </c>
      <c r="AL1165" s="3">
        <v>4</v>
      </c>
      <c r="AM1165" s="3">
        <v>4</v>
      </c>
      <c r="AN1165" s="3">
        <v>2</v>
      </c>
      <c r="AO1165" s="3">
        <v>2</v>
      </c>
      <c r="AP1165" s="3">
        <v>0</v>
      </c>
      <c r="AQ1165" s="3">
        <v>0</v>
      </c>
      <c r="AR1165" s="2" t="s">
        <v>5</v>
      </c>
      <c r="AS1165" s="2" t="s">
        <v>46</v>
      </c>
      <c r="AT1165" s="5" t="str">
        <f>HYPERLINK("http://catalog.hathitrust.org/Record/004219423","HathiTrust Record")</f>
        <v>HathiTrust Record</v>
      </c>
      <c r="AU1165" s="5" t="str">
        <f>HYPERLINK("https://creighton-primo.hosted.exlibrisgroup.com/primo-explore/search?tab=default_tab&amp;search_scope=EVERYTHING&amp;vid=01CRU&amp;lang=en_US&amp;offset=0&amp;query=any,contains,991003924539702656","Catalog Record")</f>
        <v>Catalog Record</v>
      </c>
      <c r="AV1165" s="5" t="str">
        <f>HYPERLINK("http://www.worldcat.org/oclc/47767074","WorldCat Record")</f>
        <v>WorldCat Record</v>
      </c>
      <c r="AW1165" s="2" t="s">
        <v>14365</v>
      </c>
      <c r="AX1165" s="2" t="s">
        <v>14366</v>
      </c>
      <c r="AY1165" s="2" t="s">
        <v>14367</v>
      </c>
      <c r="AZ1165" s="2" t="s">
        <v>14367</v>
      </c>
      <c r="BA1165" s="2" t="s">
        <v>14368</v>
      </c>
      <c r="BB1165" s="2" t="s">
        <v>20</v>
      </c>
      <c r="BD1165" s="2" t="s">
        <v>14369</v>
      </c>
      <c r="BE1165" s="2" t="s">
        <v>14370</v>
      </c>
      <c r="BF1165" s="2" t="s">
        <v>14371</v>
      </c>
    </row>
    <row r="1166" spans="1:58" ht="39.75" customHeight="1" x14ac:dyDescent="0.25">
      <c r="A1166" s="7" t="s">
        <v>5</v>
      </c>
      <c r="B1166" s="1" t="s">
        <v>0</v>
      </c>
      <c r="C1166" s="1" t="s">
        <v>1</v>
      </c>
      <c r="D1166" s="1" t="s">
        <v>14372</v>
      </c>
      <c r="E1166" s="1" t="s">
        <v>14373</v>
      </c>
      <c r="F1166" s="1" t="s">
        <v>14374</v>
      </c>
      <c r="H1166" s="2" t="s">
        <v>5</v>
      </c>
      <c r="I1166" s="2" t="s">
        <v>6</v>
      </c>
      <c r="J1166" s="2" t="s">
        <v>5</v>
      </c>
      <c r="K1166" s="2" t="s">
        <v>5</v>
      </c>
      <c r="L1166" s="2" t="s">
        <v>7</v>
      </c>
      <c r="M1166" s="1" t="s">
        <v>14375</v>
      </c>
      <c r="N1166" s="1" t="s">
        <v>14376</v>
      </c>
      <c r="O1166" s="2" t="s">
        <v>14377</v>
      </c>
      <c r="Q1166" s="2" t="s">
        <v>1151</v>
      </c>
      <c r="R1166" s="2" t="s">
        <v>14378</v>
      </c>
      <c r="S1166" s="1" t="s">
        <v>14379</v>
      </c>
      <c r="T1166" s="2" t="s">
        <v>13</v>
      </c>
      <c r="U1166" s="3">
        <v>1</v>
      </c>
      <c r="V1166" s="3">
        <v>1</v>
      </c>
      <c r="W1166" s="4" t="s">
        <v>5377</v>
      </c>
      <c r="X1166" s="4" t="s">
        <v>5377</v>
      </c>
      <c r="Y1166" s="4" t="s">
        <v>13574</v>
      </c>
      <c r="Z1166" s="4" t="s">
        <v>13574</v>
      </c>
      <c r="AA1166" s="3">
        <v>58</v>
      </c>
      <c r="AB1166" s="3">
        <v>49</v>
      </c>
      <c r="AC1166" s="3">
        <v>52</v>
      </c>
      <c r="AD1166" s="3">
        <v>1</v>
      </c>
      <c r="AE1166" s="9">
        <v>1</v>
      </c>
      <c r="AF1166" s="9">
        <v>1</v>
      </c>
      <c r="AG1166" s="9">
        <v>1</v>
      </c>
      <c r="AH1166" s="3">
        <v>0</v>
      </c>
      <c r="AI1166" s="3">
        <v>0</v>
      </c>
      <c r="AJ1166" s="3">
        <v>0</v>
      </c>
      <c r="AK1166" s="3">
        <v>0</v>
      </c>
      <c r="AL1166" s="3">
        <v>1</v>
      </c>
      <c r="AM1166" s="3">
        <v>1</v>
      </c>
      <c r="AN1166" s="3">
        <v>0</v>
      </c>
      <c r="AO1166" s="3">
        <v>0</v>
      </c>
      <c r="AP1166" s="3">
        <v>0</v>
      </c>
      <c r="AQ1166" s="3">
        <v>0</v>
      </c>
      <c r="AR1166" s="2" t="s">
        <v>5</v>
      </c>
      <c r="AS1166" s="2" t="s">
        <v>46</v>
      </c>
      <c r="AT1166" s="5" t="str">
        <f>HYPERLINK("http://catalog.hathitrust.org/Record/001048283","HathiTrust Record")</f>
        <v>HathiTrust Record</v>
      </c>
      <c r="AU1166" s="5" t="str">
        <f>HYPERLINK("https://creighton-primo.hosted.exlibrisgroup.com/primo-explore/search?tab=default_tab&amp;search_scope=EVERYTHING&amp;vid=01CRU&amp;lang=en_US&amp;offset=0&amp;query=any,contains,991004914179702656","Catalog Record")</f>
        <v>Catalog Record</v>
      </c>
      <c r="AV1166" s="5" t="str">
        <f>HYPERLINK("http://www.worldcat.org/oclc/6014196","WorldCat Record")</f>
        <v>WorldCat Record</v>
      </c>
      <c r="AW1166" s="2" t="s">
        <v>14380</v>
      </c>
      <c r="AX1166" s="2" t="s">
        <v>14381</v>
      </c>
      <c r="AY1166" s="2" t="s">
        <v>14382</v>
      </c>
      <c r="AZ1166" s="2" t="s">
        <v>14382</v>
      </c>
      <c r="BA1166" s="2" t="s">
        <v>14383</v>
      </c>
      <c r="BB1166" s="2" t="s">
        <v>20</v>
      </c>
      <c r="BE1166" s="2" t="s">
        <v>14384</v>
      </c>
      <c r="BF1166" s="2" t="s">
        <v>14385</v>
      </c>
    </row>
    <row r="1167" spans="1:58" ht="39.75" customHeight="1" x14ac:dyDescent="0.25">
      <c r="A1167" s="7" t="s">
        <v>5</v>
      </c>
      <c r="B1167" s="1" t="s">
        <v>0</v>
      </c>
      <c r="C1167" s="1" t="s">
        <v>1</v>
      </c>
      <c r="D1167" s="1" t="s">
        <v>14386</v>
      </c>
      <c r="E1167" s="1" t="s">
        <v>14387</v>
      </c>
      <c r="F1167" s="1" t="s">
        <v>14388</v>
      </c>
      <c r="H1167" s="2" t="s">
        <v>5</v>
      </c>
      <c r="I1167" s="2" t="s">
        <v>6</v>
      </c>
      <c r="J1167" s="2" t="s">
        <v>5</v>
      </c>
      <c r="K1167" s="2" t="s">
        <v>5</v>
      </c>
      <c r="L1167" s="2" t="s">
        <v>7</v>
      </c>
      <c r="M1167" s="1" t="s">
        <v>14389</v>
      </c>
      <c r="N1167" s="1" t="s">
        <v>14390</v>
      </c>
      <c r="O1167" s="2" t="s">
        <v>1515</v>
      </c>
      <c r="P1167" s="1" t="s">
        <v>14391</v>
      </c>
      <c r="Q1167" s="2" t="s">
        <v>1151</v>
      </c>
      <c r="R1167" s="2" t="s">
        <v>5863</v>
      </c>
      <c r="T1167" s="2" t="s">
        <v>13</v>
      </c>
      <c r="U1167" s="3">
        <v>1</v>
      </c>
      <c r="V1167" s="3">
        <v>1</v>
      </c>
      <c r="W1167" s="4" t="s">
        <v>11707</v>
      </c>
      <c r="X1167" s="4" t="s">
        <v>11707</v>
      </c>
      <c r="Y1167" s="4" t="s">
        <v>11708</v>
      </c>
      <c r="Z1167" s="4" t="s">
        <v>11708</v>
      </c>
      <c r="AA1167" s="3">
        <v>16</v>
      </c>
      <c r="AB1167" s="3">
        <v>14</v>
      </c>
      <c r="AC1167" s="3">
        <v>569</v>
      </c>
      <c r="AD1167" s="3">
        <v>1</v>
      </c>
      <c r="AE1167" s="9">
        <v>5</v>
      </c>
      <c r="AF1167" s="9">
        <v>0</v>
      </c>
      <c r="AG1167" s="9">
        <v>13</v>
      </c>
      <c r="AH1167" s="3">
        <v>0</v>
      </c>
      <c r="AI1167" s="3">
        <v>1</v>
      </c>
      <c r="AJ1167" s="3">
        <v>0</v>
      </c>
      <c r="AK1167" s="3">
        <v>6</v>
      </c>
      <c r="AL1167" s="3">
        <v>0</v>
      </c>
      <c r="AM1167" s="3">
        <v>7</v>
      </c>
      <c r="AN1167" s="3">
        <v>0</v>
      </c>
      <c r="AO1167" s="3">
        <v>2</v>
      </c>
      <c r="AP1167" s="3">
        <v>0</v>
      </c>
      <c r="AQ1167" s="3">
        <v>0</v>
      </c>
      <c r="AR1167" s="2" t="s">
        <v>5</v>
      </c>
      <c r="AS1167" s="2" t="s">
        <v>5</v>
      </c>
      <c r="AU1167" s="5" t="str">
        <f>HYPERLINK("https://creighton-primo.hosted.exlibrisgroup.com/primo-explore/search?tab=default_tab&amp;search_scope=EVERYTHING&amp;vid=01CRU&amp;lang=en_US&amp;offset=0&amp;query=any,contains,991003677889702656","Catalog Record")</f>
        <v>Catalog Record</v>
      </c>
      <c r="AV1167" s="5" t="str">
        <f>HYPERLINK("http://www.worldcat.org/oclc/8869286","WorldCat Record")</f>
        <v>WorldCat Record</v>
      </c>
      <c r="AW1167" s="2" t="s">
        <v>14392</v>
      </c>
      <c r="AX1167" s="2" t="s">
        <v>14393</v>
      </c>
      <c r="AY1167" s="2" t="s">
        <v>14394</v>
      </c>
      <c r="AZ1167" s="2" t="s">
        <v>14394</v>
      </c>
      <c r="BA1167" s="2" t="s">
        <v>14395</v>
      </c>
      <c r="BB1167" s="2" t="s">
        <v>20</v>
      </c>
      <c r="BE1167" s="2" t="s">
        <v>14396</v>
      </c>
      <c r="BF1167" s="2" t="s">
        <v>14397</v>
      </c>
    </row>
    <row r="1168" spans="1:58" ht="39.75" customHeight="1" x14ac:dyDescent="0.25">
      <c r="A1168" s="7" t="s">
        <v>5</v>
      </c>
      <c r="B1168" s="1" t="s">
        <v>0</v>
      </c>
      <c r="C1168" s="1" t="s">
        <v>1</v>
      </c>
      <c r="D1168" s="1" t="s">
        <v>14398</v>
      </c>
      <c r="E1168" s="1" t="s">
        <v>14399</v>
      </c>
      <c r="F1168" s="1" t="s">
        <v>14400</v>
      </c>
      <c r="H1168" s="2" t="s">
        <v>5</v>
      </c>
      <c r="I1168" s="2" t="s">
        <v>6</v>
      </c>
      <c r="J1168" s="2" t="s">
        <v>5</v>
      </c>
      <c r="K1168" s="2" t="s">
        <v>5</v>
      </c>
      <c r="L1168" s="2" t="s">
        <v>7</v>
      </c>
      <c r="N1168" s="1" t="s">
        <v>14401</v>
      </c>
      <c r="O1168" s="2" t="s">
        <v>291</v>
      </c>
      <c r="Q1168" s="2" t="s">
        <v>1151</v>
      </c>
      <c r="R1168" s="2" t="s">
        <v>4146</v>
      </c>
      <c r="S1168" s="1" t="s">
        <v>4147</v>
      </c>
      <c r="T1168" s="2" t="s">
        <v>13</v>
      </c>
      <c r="U1168" s="3">
        <v>1</v>
      </c>
      <c r="V1168" s="3">
        <v>1</v>
      </c>
      <c r="W1168" s="4" t="s">
        <v>6701</v>
      </c>
      <c r="X1168" s="4" t="s">
        <v>6701</v>
      </c>
      <c r="Y1168" s="4" t="s">
        <v>10209</v>
      </c>
      <c r="Z1168" s="4" t="s">
        <v>10209</v>
      </c>
      <c r="AA1168" s="3">
        <v>132</v>
      </c>
      <c r="AB1168" s="3">
        <v>102</v>
      </c>
      <c r="AC1168" s="3">
        <v>105</v>
      </c>
      <c r="AD1168" s="3">
        <v>2</v>
      </c>
      <c r="AE1168" s="9">
        <v>2</v>
      </c>
      <c r="AF1168" s="9">
        <v>5</v>
      </c>
      <c r="AG1168" s="9">
        <v>5</v>
      </c>
      <c r="AH1168" s="3">
        <v>1</v>
      </c>
      <c r="AI1168" s="3">
        <v>1</v>
      </c>
      <c r="AJ1168" s="3">
        <v>3</v>
      </c>
      <c r="AK1168" s="3">
        <v>3</v>
      </c>
      <c r="AL1168" s="3">
        <v>2</v>
      </c>
      <c r="AM1168" s="3">
        <v>2</v>
      </c>
      <c r="AN1168" s="3">
        <v>1</v>
      </c>
      <c r="AO1168" s="3">
        <v>1</v>
      </c>
      <c r="AP1168" s="3">
        <v>0</v>
      </c>
      <c r="AQ1168" s="3">
        <v>0</v>
      </c>
      <c r="AR1168" s="2" t="s">
        <v>5</v>
      </c>
      <c r="AS1168" s="2" t="s">
        <v>46</v>
      </c>
      <c r="AT1168" s="5" t="str">
        <f>HYPERLINK("http://catalog.hathitrust.org/Record/101160814","HathiTrust Record")</f>
        <v>HathiTrust Record</v>
      </c>
      <c r="AU1168" s="5" t="str">
        <f>HYPERLINK("https://creighton-primo.hosted.exlibrisgroup.com/primo-explore/search?tab=default_tab&amp;search_scope=EVERYTHING&amp;vid=01CRU&amp;lang=en_US&amp;offset=0&amp;query=any,contains,991003757689702656","Catalog Record")</f>
        <v>Catalog Record</v>
      </c>
      <c r="AV1168" s="5" t="str">
        <f>HYPERLINK("http://www.worldcat.org/oclc/3966361","WorldCat Record")</f>
        <v>WorldCat Record</v>
      </c>
      <c r="AW1168" s="2" t="s">
        <v>14402</v>
      </c>
      <c r="AX1168" s="2" t="s">
        <v>14403</v>
      </c>
      <c r="AY1168" s="2" t="s">
        <v>14404</v>
      </c>
      <c r="AZ1168" s="2" t="s">
        <v>14404</v>
      </c>
      <c r="BA1168" s="2" t="s">
        <v>14405</v>
      </c>
      <c r="BB1168" s="2" t="s">
        <v>20</v>
      </c>
      <c r="BE1168" s="2" t="s">
        <v>14406</v>
      </c>
      <c r="BF1168" s="2" t="s">
        <v>14407</v>
      </c>
    </row>
    <row r="1169" spans="1:58" ht="39.75" customHeight="1" x14ac:dyDescent="0.25">
      <c r="A1169" s="7" t="s">
        <v>5</v>
      </c>
      <c r="B1169" s="1" t="s">
        <v>0</v>
      </c>
      <c r="C1169" s="1" t="s">
        <v>1</v>
      </c>
      <c r="D1169" s="1" t="s">
        <v>14408</v>
      </c>
      <c r="E1169" s="1" t="s">
        <v>14409</v>
      </c>
      <c r="F1169" s="1" t="s">
        <v>14410</v>
      </c>
      <c r="H1169" s="2" t="s">
        <v>5</v>
      </c>
      <c r="I1169" s="2" t="s">
        <v>6</v>
      </c>
      <c r="J1169" s="2" t="s">
        <v>5</v>
      </c>
      <c r="K1169" s="2" t="s">
        <v>5</v>
      </c>
      <c r="L1169" s="2" t="s">
        <v>7</v>
      </c>
      <c r="M1169" s="1" t="s">
        <v>14411</v>
      </c>
      <c r="N1169" s="1" t="s">
        <v>14412</v>
      </c>
      <c r="O1169" s="2" t="s">
        <v>708</v>
      </c>
      <c r="Q1169" s="2" t="s">
        <v>1151</v>
      </c>
      <c r="R1169" s="2" t="s">
        <v>1152</v>
      </c>
      <c r="S1169" s="1" t="s">
        <v>14413</v>
      </c>
      <c r="T1169" s="2" t="s">
        <v>13</v>
      </c>
      <c r="U1169" s="3">
        <v>1</v>
      </c>
      <c r="V1169" s="3">
        <v>1</v>
      </c>
      <c r="W1169" s="4" t="s">
        <v>14414</v>
      </c>
      <c r="X1169" s="4" t="s">
        <v>14414</v>
      </c>
      <c r="Y1169" s="4" t="s">
        <v>1352</v>
      </c>
      <c r="Z1169" s="4" t="s">
        <v>1352</v>
      </c>
      <c r="AA1169" s="3">
        <v>200</v>
      </c>
      <c r="AB1169" s="3">
        <v>147</v>
      </c>
      <c r="AC1169" s="3">
        <v>221</v>
      </c>
      <c r="AD1169" s="3">
        <v>2</v>
      </c>
      <c r="AE1169" s="9">
        <v>2</v>
      </c>
      <c r="AF1169" s="9">
        <v>7</v>
      </c>
      <c r="AG1169" s="9">
        <v>11</v>
      </c>
      <c r="AH1169" s="3">
        <v>2</v>
      </c>
      <c r="AI1169" s="3">
        <v>2</v>
      </c>
      <c r="AJ1169" s="3">
        <v>2</v>
      </c>
      <c r="AK1169" s="3">
        <v>5</v>
      </c>
      <c r="AL1169" s="3">
        <v>3</v>
      </c>
      <c r="AM1169" s="3">
        <v>5</v>
      </c>
      <c r="AN1169" s="3">
        <v>1</v>
      </c>
      <c r="AO1169" s="3">
        <v>1</v>
      </c>
      <c r="AP1169" s="3">
        <v>0</v>
      </c>
      <c r="AQ1169" s="3">
        <v>0</v>
      </c>
      <c r="AR1169" s="2" t="s">
        <v>5</v>
      </c>
      <c r="AS1169" s="2" t="s">
        <v>46</v>
      </c>
      <c r="AT1169" s="5" t="str">
        <f>HYPERLINK("http://catalog.hathitrust.org/Record/000902018","HathiTrust Record")</f>
        <v>HathiTrust Record</v>
      </c>
      <c r="AU1169" s="5" t="str">
        <f>HYPERLINK("https://creighton-primo.hosted.exlibrisgroup.com/primo-explore/search?tab=default_tab&amp;search_scope=EVERYTHING&amp;vid=01CRU&amp;lang=en_US&amp;offset=0&amp;query=any,contains,991001264019702656","Catalog Record")</f>
        <v>Catalog Record</v>
      </c>
      <c r="AV1169" s="5" t="str">
        <f>HYPERLINK("http://www.worldcat.org/oclc/17792666","WorldCat Record")</f>
        <v>WorldCat Record</v>
      </c>
      <c r="AW1169" s="2" t="s">
        <v>14415</v>
      </c>
      <c r="AX1169" s="2" t="s">
        <v>14416</v>
      </c>
      <c r="AY1169" s="2" t="s">
        <v>14417</v>
      </c>
      <c r="AZ1169" s="2" t="s">
        <v>14417</v>
      </c>
      <c r="BA1169" s="2" t="s">
        <v>14418</v>
      </c>
      <c r="BB1169" s="2" t="s">
        <v>20</v>
      </c>
      <c r="BD1169" s="2" t="s">
        <v>14419</v>
      </c>
      <c r="BE1169" s="2" t="s">
        <v>14420</v>
      </c>
      <c r="BF1169" s="2" t="s">
        <v>14421</v>
      </c>
    </row>
    <row r="1170" spans="1:58" ht="39.75" customHeight="1" x14ac:dyDescent="0.25">
      <c r="A1170" s="7" t="s">
        <v>5</v>
      </c>
      <c r="B1170" s="1" t="s">
        <v>0</v>
      </c>
      <c r="C1170" s="1" t="s">
        <v>1</v>
      </c>
      <c r="D1170" s="1" t="s">
        <v>14422</v>
      </c>
      <c r="E1170" s="1" t="s">
        <v>14423</v>
      </c>
      <c r="F1170" s="1" t="s">
        <v>14424</v>
      </c>
      <c r="H1170" s="2" t="s">
        <v>5</v>
      </c>
      <c r="I1170" s="2" t="s">
        <v>6</v>
      </c>
      <c r="J1170" s="2" t="s">
        <v>5</v>
      </c>
      <c r="K1170" s="2" t="s">
        <v>5</v>
      </c>
      <c r="L1170" s="2" t="s">
        <v>7</v>
      </c>
      <c r="M1170" s="1" t="s">
        <v>14411</v>
      </c>
      <c r="N1170" s="1" t="s">
        <v>14425</v>
      </c>
      <c r="O1170" s="2" t="s">
        <v>494</v>
      </c>
      <c r="Q1170" s="2" t="s">
        <v>1151</v>
      </c>
      <c r="R1170" s="2" t="s">
        <v>1152</v>
      </c>
      <c r="S1170" s="1" t="s">
        <v>14426</v>
      </c>
      <c r="T1170" s="2" t="s">
        <v>13</v>
      </c>
      <c r="U1170" s="3">
        <v>1</v>
      </c>
      <c r="V1170" s="3">
        <v>1</v>
      </c>
      <c r="W1170" s="4" t="s">
        <v>2304</v>
      </c>
      <c r="X1170" s="4" t="s">
        <v>2304</v>
      </c>
      <c r="Y1170" s="4" t="s">
        <v>12606</v>
      </c>
      <c r="Z1170" s="4" t="s">
        <v>12606</v>
      </c>
      <c r="AA1170" s="3">
        <v>53</v>
      </c>
      <c r="AB1170" s="3">
        <v>41</v>
      </c>
      <c r="AC1170" s="3">
        <v>236</v>
      </c>
      <c r="AD1170" s="3">
        <v>1</v>
      </c>
      <c r="AE1170" s="9">
        <v>2</v>
      </c>
      <c r="AF1170" s="9">
        <v>1</v>
      </c>
      <c r="AG1170" s="9">
        <v>11</v>
      </c>
      <c r="AH1170" s="3">
        <v>0</v>
      </c>
      <c r="AI1170" s="3">
        <v>0</v>
      </c>
      <c r="AJ1170" s="3">
        <v>1</v>
      </c>
      <c r="AK1170" s="3">
        <v>4</v>
      </c>
      <c r="AL1170" s="3">
        <v>0</v>
      </c>
      <c r="AM1170" s="3">
        <v>8</v>
      </c>
      <c r="AN1170" s="3">
        <v>0</v>
      </c>
      <c r="AO1170" s="3">
        <v>1</v>
      </c>
      <c r="AP1170" s="3">
        <v>0</v>
      </c>
      <c r="AQ1170" s="3">
        <v>0</v>
      </c>
      <c r="AR1170" s="2" t="s">
        <v>5</v>
      </c>
      <c r="AS1170" s="2" t="s">
        <v>46</v>
      </c>
      <c r="AT1170" s="5" t="str">
        <f>HYPERLINK("http://catalog.hathitrust.org/Record/007923613","HathiTrust Record")</f>
        <v>HathiTrust Record</v>
      </c>
      <c r="AU1170" s="5" t="str">
        <f>HYPERLINK("https://creighton-primo.hosted.exlibrisgroup.com/primo-explore/search?tab=default_tab&amp;search_scope=EVERYTHING&amp;vid=01CRU&amp;lang=en_US&amp;offset=0&amp;query=any,contains,991004700509702656","Catalog Record")</f>
        <v>Catalog Record</v>
      </c>
      <c r="AV1170" s="5" t="str">
        <f>HYPERLINK("http://www.worldcat.org/oclc/4666339","WorldCat Record")</f>
        <v>WorldCat Record</v>
      </c>
      <c r="AW1170" s="2" t="s">
        <v>14427</v>
      </c>
      <c r="AX1170" s="2" t="s">
        <v>14428</v>
      </c>
      <c r="AY1170" s="2" t="s">
        <v>14429</v>
      </c>
      <c r="AZ1170" s="2" t="s">
        <v>14429</v>
      </c>
      <c r="BA1170" s="2" t="s">
        <v>14430</v>
      </c>
      <c r="BB1170" s="2" t="s">
        <v>20</v>
      </c>
      <c r="BD1170" s="2" t="s">
        <v>14431</v>
      </c>
      <c r="BE1170" s="2" t="s">
        <v>14432</v>
      </c>
      <c r="BF1170" s="2" t="s">
        <v>14433</v>
      </c>
    </row>
    <row r="1171" spans="1:58" ht="39.75" customHeight="1" x14ac:dyDescent="0.25">
      <c r="A1171" s="7" t="s">
        <v>5</v>
      </c>
      <c r="B1171" s="1" t="s">
        <v>0</v>
      </c>
      <c r="C1171" s="1" t="s">
        <v>1</v>
      </c>
      <c r="D1171" s="1" t="s">
        <v>14434</v>
      </c>
      <c r="E1171" s="1" t="s">
        <v>14435</v>
      </c>
      <c r="F1171" s="1" t="s">
        <v>14436</v>
      </c>
      <c r="H1171" s="2" t="s">
        <v>5</v>
      </c>
      <c r="I1171" s="2" t="s">
        <v>6</v>
      </c>
      <c r="J1171" s="2" t="s">
        <v>5</v>
      </c>
      <c r="K1171" s="2" t="s">
        <v>5</v>
      </c>
      <c r="L1171" s="2" t="s">
        <v>7</v>
      </c>
      <c r="M1171" s="1" t="s">
        <v>14100</v>
      </c>
      <c r="N1171" s="1" t="s">
        <v>14437</v>
      </c>
      <c r="O1171" s="2" t="s">
        <v>291</v>
      </c>
      <c r="Q1171" s="2" t="s">
        <v>1151</v>
      </c>
      <c r="R1171" s="2" t="s">
        <v>3002</v>
      </c>
      <c r="T1171" s="2" t="s">
        <v>13</v>
      </c>
      <c r="U1171" s="3">
        <v>1</v>
      </c>
      <c r="V1171" s="3">
        <v>1</v>
      </c>
      <c r="W1171" s="4" t="s">
        <v>8667</v>
      </c>
      <c r="X1171" s="4" t="s">
        <v>8667</v>
      </c>
      <c r="Y1171" s="4" t="s">
        <v>8667</v>
      </c>
      <c r="Z1171" s="4" t="s">
        <v>8667</v>
      </c>
      <c r="AA1171" s="3">
        <v>200</v>
      </c>
      <c r="AB1171" s="3">
        <v>155</v>
      </c>
      <c r="AC1171" s="3">
        <v>176</v>
      </c>
      <c r="AD1171" s="3">
        <v>3</v>
      </c>
      <c r="AE1171" s="9">
        <v>3</v>
      </c>
      <c r="AF1171" s="9">
        <v>7</v>
      </c>
      <c r="AG1171" s="9">
        <v>7</v>
      </c>
      <c r="AH1171" s="3">
        <v>0</v>
      </c>
      <c r="AI1171" s="3">
        <v>0</v>
      </c>
      <c r="AJ1171" s="3">
        <v>3</v>
      </c>
      <c r="AK1171" s="3">
        <v>3</v>
      </c>
      <c r="AL1171" s="3">
        <v>4</v>
      </c>
      <c r="AM1171" s="3">
        <v>4</v>
      </c>
      <c r="AN1171" s="3">
        <v>2</v>
      </c>
      <c r="AO1171" s="3">
        <v>2</v>
      </c>
      <c r="AP1171" s="3">
        <v>0</v>
      </c>
      <c r="AQ1171" s="3">
        <v>0</v>
      </c>
      <c r="AR1171" s="2" t="s">
        <v>5</v>
      </c>
      <c r="AS1171" s="2" t="s">
        <v>46</v>
      </c>
      <c r="AT1171" s="5" t="str">
        <f>HYPERLINK("http://catalog.hathitrust.org/Record/000750930","HathiTrust Record")</f>
        <v>HathiTrust Record</v>
      </c>
      <c r="AU1171" s="5" t="str">
        <f>HYPERLINK("https://creighton-primo.hosted.exlibrisgroup.com/primo-explore/search?tab=default_tab&amp;search_scope=EVERYTHING&amp;vid=01CRU&amp;lang=en_US&amp;offset=0&amp;query=any,contains,991004339469702656","Catalog Record")</f>
        <v>Catalog Record</v>
      </c>
      <c r="AV1171" s="5" t="str">
        <f>HYPERLINK("http://www.worldcat.org/oclc/3382009","WorldCat Record")</f>
        <v>WorldCat Record</v>
      </c>
      <c r="AW1171" s="2" t="s">
        <v>14438</v>
      </c>
      <c r="AX1171" s="2" t="s">
        <v>14439</v>
      </c>
      <c r="AY1171" s="2" t="s">
        <v>14440</v>
      </c>
      <c r="AZ1171" s="2" t="s">
        <v>14440</v>
      </c>
      <c r="BA1171" s="2" t="s">
        <v>14441</v>
      </c>
      <c r="BB1171" s="2" t="s">
        <v>20</v>
      </c>
      <c r="BE1171" s="2" t="s">
        <v>14442</v>
      </c>
      <c r="BF1171" s="2" t="s">
        <v>14443</v>
      </c>
    </row>
    <row r="1172" spans="1:58" ht="39.75" customHeight="1" x14ac:dyDescent="0.25">
      <c r="A1172" s="7" t="s">
        <v>5</v>
      </c>
      <c r="B1172" s="1" t="s">
        <v>0</v>
      </c>
      <c r="C1172" s="1" t="s">
        <v>1</v>
      </c>
      <c r="D1172" s="1" t="s">
        <v>14444</v>
      </c>
      <c r="E1172" s="1" t="s">
        <v>14445</v>
      </c>
      <c r="F1172" s="1" t="s">
        <v>14446</v>
      </c>
      <c r="H1172" s="2" t="s">
        <v>5</v>
      </c>
      <c r="I1172" s="2" t="s">
        <v>6</v>
      </c>
      <c r="J1172" s="2" t="s">
        <v>5</v>
      </c>
      <c r="K1172" s="2" t="s">
        <v>5</v>
      </c>
      <c r="L1172" s="2" t="s">
        <v>7</v>
      </c>
      <c r="M1172" s="1" t="s">
        <v>14447</v>
      </c>
      <c r="N1172" s="1" t="s">
        <v>14448</v>
      </c>
      <c r="O1172" s="2" t="s">
        <v>1418</v>
      </c>
      <c r="Q1172" s="2" t="s">
        <v>1151</v>
      </c>
      <c r="R1172" s="2" t="s">
        <v>5403</v>
      </c>
      <c r="S1172" s="1" t="s">
        <v>14449</v>
      </c>
      <c r="T1172" s="2" t="s">
        <v>13</v>
      </c>
      <c r="U1172" s="3">
        <v>1</v>
      </c>
      <c r="V1172" s="3">
        <v>1</v>
      </c>
      <c r="W1172" s="4" t="s">
        <v>7746</v>
      </c>
      <c r="X1172" s="4" t="s">
        <v>7746</v>
      </c>
      <c r="Y1172" s="4" t="s">
        <v>13574</v>
      </c>
      <c r="Z1172" s="4" t="s">
        <v>13574</v>
      </c>
      <c r="AA1172" s="3">
        <v>137</v>
      </c>
      <c r="AB1172" s="3">
        <v>111</v>
      </c>
      <c r="AC1172" s="3">
        <v>261</v>
      </c>
      <c r="AD1172" s="3">
        <v>2</v>
      </c>
      <c r="AE1172" s="9">
        <v>3</v>
      </c>
      <c r="AF1172" s="9">
        <v>4</v>
      </c>
      <c r="AG1172" s="9">
        <v>10</v>
      </c>
      <c r="AH1172" s="3">
        <v>1</v>
      </c>
      <c r="AI1172" s="3">
        <v>3</v>
      </c>
      <c r="AJ1172" s="3">
        <v>2</v>
      </c>
      <c r="AK1172" s="3">
        <v>5</v>
      </c>
      <c r="AL1172" s="3">
        <v>0</v>
      </c>
      <c r="AM1172" s="3">
        <v>3</v>
      </c>
      <c r="AN1172" s="3">
        <v>1</v>
      </c>
      <c r="AO1172" s="3">
        <v>2</v>
      </c>
      <c r="AP1172" s="3">
        <v>0</v>
      </c>
      <c r="AQ1172" s="3">
        <v>0</v>
      </c>
      <c r="AR1172" s="2" t="s">
        <v>5</v>
      </c>
      <c r="AS1172" s="2" t="s">
        <v>46</v>
      </c>
      <c r="AT1172" s="5" t="str">
        <f>HYPERLINK("http://catalog.hathitrust.org/Record/007112271","HathiTrust Record")</f>
        <v>HathiTrust Record</v>
      </c>
      <c r="AU1172" s="5" t="str">
        <f>HYPERLINK("https://creighton-primo.hosted.exlibrisgroup.com/primo-explore/search?tab=default_tab&amp;search_scope=EVERYTHING&amp;vid=01CRU&amp;lang=en_US&amp;offset=0&amp;query=any,contains,991003230539702656","Catalog Record")</f>
        <v>Catalog Record</v>
      </c>
      <c r="AV1172" s="5" t="str">
        <f>HYPERLINK("http://www.worldcat.org/oclc/755305","WorldCat Record")</f>
        <v>WorldCat Record</v>
      </c>
      <c r="AW1172" s="2" t="s">
        <v>14450</v>
      </c>
      <c r="AX1172" s="2" t="s">
        <v>14451</v>
      </c>
      <c r="AY1172" s="2" t="s">
        <v>14452</v>
      </c>
      <c r="AZ1172" s="2" t="s">
        <v>14452</v>
      </c>
      <c r="BA1172" s="2" t="s">
        <v>14453</v>
      </c>
      <c r="BB1172" s="2" t="s">
        <v>20</v>
      </c>
      <c r="BD1172" s="2" t="s">
        <v>14454</v>
      </c>
      <c r="BE1172" s="2" t="s">
        <v>14455</v>
      </c>
      <c r="BF1172" s="2" t="s">
        <v>14456</v>
      </c>
    </row>
    <row r="1173" spans="1:58" ht="39.75" customHeight="1" x14ac:dyDescent="0.25">
      <c r="A1173" s="7" t="s">
        <v>5</v>
      </c>
      <c r="B1173" s="1" t="s">
        <v>0</v>
      </c>
      <c r="C1173" s="1" t="s">
        <v>1</v>
      </c>
      <c r="D1173" s="1" t="s">
        <v>14457</v>
      </c>
      <c r="E1173" s="1" t="s">
        <v>14458</v>
      </c>
      <c r="F1173" s="1" t="s">
        <v>14459</v>
      </c>
      <c r="H1173" s="2" t="s">
        <v>5</v>
      </c>
      <c r="I1173" s="2" t="s">
        <v>6</v>
      </c>
      <c r="J1173" s="2" t="s">
        <v>5</v>
      </c>
      <c r="K1173" s="2" t="s">
        <v>5</v>
      </c>
      <c r="L1173" s="2" t="s">
        <v>7</v>
      </c>
      <c r="M1173" s="1" t="s">
        <v>14460</v>
      </c>
      <c r="N1173" s="1" t="s">
        <v>14461</v>
      </c>
      <c r="O1173" s="2" t="s">
        <v>108</v>
      </c>
      <c r="Q1173" s="2" t="s">
        <v>60</v>
      </c>
      <c r="R1173" s="2" t="s">
        <v>61</v>
      </c>
      <c r="S1173" s="1" t="s">
        <v>14462</v>
      </c>
      <c r="T1173" s="2" t="s">
        <v>13</v>
      </c>
      <c r="U1173" s="3">
        <v>1</v>
      </c>
      <c r="V1173" s="3">
        <v>1</v>
      </c>
      <c r="W1173" s="4" t="s">
        <v>5377</v>
      </c>
      <c r="X1173" s="4" t="s">
        <v>5377</v>
      </c>
      <c r="Y1173" s="4" t="s">
        <v>12606</v>
      </c>
      <c r="Z1173" s="4" t="s">
        <v>12606</v>
      </c>
      <c r="AA1173" s="3">
        <v>585</v>
      </c>
      <c r="AB1173" s="3">
        <v>520</v>
      </c>
      <c r="AC1173" s="3">
        <v>527</v>
      </c>
      <c r="AD1173" s="3">
        <v>4</v>
      </c>
      <c r="AE1173" s="9">
        <v>4</v>
      </c>
      <c r="AF1173" s="9">
        <v>27</v>
      </c>
      <c r="AG1173" s="9">
        <v>27</v>
      </c>
      <c r="AH1173" s="3">
        <v>11</v>
      </c>
      <c r="AI1173" s="3">
        <v>11</v>
      </c>
      <c r="AJ1173" s="3">
        <v>7</v>
      </c>
      <c r="AK1173" s="3">
        <v>7</v>
      </c>
      <c r="AL1173" s="3">
        <v>13</v>
      </c>
      <c r="AM1173" s="3">
        <v>13</v>
      </c>
      <c r="AN1173" s="3">
        <v>3</v>
      </c>
      <c r="AO1173" s="3">
        <v>3</v>
      </c>
      <c r="AP1173" s="3">
        <v>0</v>
      </c>
      <c r="AQ1173" s="3">
        <v>0</v>
      </c>
      <c r="AR1173" s="2" t="s">
        <v>5</v>
      </c>
      <c r="AS1173" s="2" t="s">
        <v>46</v>
      </c>
      <c r="AT1173" s="5" t="str">
        <f>HYPERLINK("http://catalog.hathitrust.org/Record/001056567","HathiTrust Record")</f>
        <v>HathiTrust Record</v>
      </c>
      <c r="AU1173" s="5" t="str">
        <f>HYPERLINK("https://creighton-primo.hosted.exlibrisgroup.com/primo-explore/search?tab=default_tab&amp;search_scope=EVERYTHING&amp;vid=01CRU&amp;lang=en_US&amp;offset=0&amp;query=any,contains,991002936429702656","Catalog Record")</f>
        <v>Catalog Record</v>
      </c>
      <c r="AV1173" s="5" t="str">
        <f>HYPERLINK("http://www.worldcat.org/oclc/533483","WorldCat Record")</f>
        <v>WorldCat Record</v>
      </c>
      <c r="AW1173" s="2" t="s">
        <v>14463</v>
      </c>
      <c r="AX1173" s="2" t="s">
        <v>14464</v>
      </c>
      <c r="AY1173" s="2" t="s">
        <v>14465</v>
      </c>
      <c r="AZ1173" s="2" t="s">
        <v>14465</v>
      </c>
      <c r="BA1173" s="2" t="s">
        <v>14466</v>
      </c>
      <c r="BB1173" s="2" t="s">
        <v>20</v>
      </c>
      <c r="BE1173" s="2" t="s">
        <v>14467</v>
      </c>
      <c r="BF1173" s="2" t="s">
        <v>14468</v>
      </c>
    </row>
    <row r="1174" spans="1:58" ht="39.75" customHeight="1" x14ac:dyDescent="0.25">
      <c r="A1174" s="7" t="s">
        <v>5</v>
      </c>
      <c r="B1174" s="1" t="s">
        <v>0</v>
      </c>
      <c r="C1174" s="1" t="s">
        <v>1</v>
      </c>
      <c r="D1174" s="1" t="s">
        <v>14469</v>
      </c>
      <c r="E1174" s="1" t="s">
        <v>14470</v>
      </c>
      <c r="F1174" s="1" t="s">
        <v>14471</v>
      </c>
      <c r="H1174" s="2" t="s">
        <v>5</v>
      </c>
      <c r="I1174" s="2" t="s">
        <v>6</v>
      </c>
      <c r="J1174" s="2" t="s">
        <v>5</v>
      </c>
      <c r="K1174" s="2" t="s">
        <v>5</v>
      </c>
      <c r="L1174" s="2" t="s">
        <v>7</v>
      </c>
      <c r="M1174" s="1" t="s">
        <v>14472</v>
      </c>
      <c r="N1174" s="1" t="s">
        <v>14473</v>
      </c>
      <c r="O1174" s="2" t="s">
        <v>1515</v>
      </c>
      <c r="Q1174" s="2" t="s">
        <v>1151</v>
      </c>
      <c r="R1174" s="2" t="s">
        <v>3002</v>
      </c>
      <c r="T1174" s="2" t="s">
        <v>13</v>
      </c>
      <c r="U1174" s="3">
        <v>1</v>
      </c>
      <c r="V1174" s="3">
        <v>1</v>
      </c>
      <c r="W1174" s="4" t="s">
        <v>9859</v>
      </c>
      <c r="X1174" s="4" t="s">
        <v>9859</v>
      </c>
      <c r="Y1174" s="4" t="s">
        <v>9859</v>
      </c>
      <c r="Z1174" s="4" t="s">
        <v>9859</v>
      </c>
      <c r="AA1174" s="3">
        <v>27</v>
      </c>
      <c r="AB1174" s="3">
        <v>26</v>
      </c>
      <c r="AC1174" s="3">
        <v>38</v>
      </c>
      <c r="AD1174" s="3">
        <v>1</v>
      </c>
      <c r="AE1174" s="9">
        <v>1</v>
      </c>
      <c r="AF1174" s="9">
        <v>0</v>
      </c>
      <c r="AG1174" s="9">
        <v>0</v>
      </c>
      <c r="AH1174" s="3">
        <v>0</v>
      </c>
      <c r="AI1174" s="3">
        <v>0</v>
      </c>
      <c r="AJ1174" s="3">
        <v>0</v>
      </c>
      <c r="AK1174" s="3">
        <v>0</v>
      </c>
      <c r="AL1174" s="3">
        <v>0</v>
      </c>
      <c r="AM1174" s="3">
        <v>0</v>
      </c>
      <c r="AN1174" s="3">
        <v>0</v>
      </c>
      <c r="AO1174" s="3">
        <v>0</v>
      </c>
      <c r="AP1174" s="3">
        <v>0</v>
      </c>
      <c r="AQ1174" s="3">
        <v>0</v>
      </c>
      <c r="AR1174" s="2" t="s">
        <v>5</v>
      </c>
      <c r="AS1174" s="2" t="s">
        <v>46</v>
      </c>
      <c r="AT1174" s="5" t="str">
        <f>HYPERLINK("http://catalog.hathitrust.org/Record/101161348","HathiTrust Record")</f>
        <v>HathiTrust Record</v>
      </c>
      <c r="AU1174" s="5" t="str">
        <f>HYPERLINK("https://creighton-primo.hosted.exlibrisgroup.com/primo-explore/search?tab=default_tab&amp;search_scope=EVERYTHING&amp;vid=01CRU&amp;lang=en_US&amp;offset=0&amp;query=any,contains,991003693119702656","Catalog Record")</f>
        <v>Catalog Record</v>
      </c>
      <c r="AV1174" s="5" t="str">
        <f>HYPERLINK("http://www.worldcat.org/oclc/7009701","WorldCat Record")</f>
        <v>WorldCat Record</v>
      </c>
      <c r="AW1174" s="2" t="s">
        <v>14474</v>
      </c>
      <c r="AX1174" s="2" t="s">
        <v>14475</v>
      </c>
      <c r="AY1174" s="2" t="s">
        <v>14476</v>
      </c>
      <c r="AZ1174" s="2" t="s">
        <v>14476</v>
      </c>
      <c r="BA1174" s="2" t="s">
        <v>14477</v>
      </c>
      <c r="BB1174" s="2" t="s">
        <v>20</v>
      </c>
      <c r="BE1174" s="2" t="s">
        <v>14478</v>
      </c>
      <c r="BF1174" s="2" t="s">
        <v>14479</v>
      </c>
    </row>
    <row r="1175" spans="1:58" ht="39.75" customHeight="1" x14ac:dyDescent="0.25">
      <c r="A1175" s="7" t="s">
        <v>5</v>
      </c>
      <c r="B1175" s="1" t="s">
        <v>0</v>
      </c>
      <c r="C1175" s="1" t="s">
        <v>1</v>
      </c>
      <c r="D1175" s="1" t="s">
        <v>14480</v>
      </c>
      <c r="E1175" s="1" t="s">
        <v>14481</v>
      </c>
      <c r="F1175" s="1" t="s">
        <v>14482</v>
      </c>
      <c r="H1175" s="2" t="s">
        <v>5</v>
      </c>
      <c r="I1175" s="2" t="s">
        <v>6</v>
      </c>
      <c r="J1175" s="2" t="s">
        <v>5</v>
      </c>
      <c r="K1175" s="2" t="s">
        <v>5</v>
      </c>
      <c r="L1175" s="2" t="s">
        <v>7</v>
      </c>
      <c r="M1175" s="1" t="s">
        <v>14483</v>
      </c>
      <c r="N1175" s="1" t="s">
        <v>14484</v>
      </c>
      <c r="O1175" s="2" t="s">
        <v>91</v>
      </c>
      <c r="Q1175" s="2" t="s">
        <v>60</v>
      </c>
      <c r="R1175" s="2" t="s">
        <v>5056</v>
      </c>
      <c r="T1175" s="2" t="s">
        <v>13</v>
      </c>
      <c r="U1175" s="3">
        <v>1</v>
      </c>
      <c r="V1175" s="3">
        <v>1</v>
      </c>
      <c r="W1175" s="4" t="s">
        <v>14485</v>
      </c>
      <c r="X1175" s="4" t="s">
        <v>14485</v>
      </c>
      <c r="Y1175" s="4" t="s">
        <v>14485</v>
      </c>
      <c r="Z1175" s="4" t="s">
        <v>14485</v>
      </c>
      <c r="AA1175" s="3">
        <v>71</v>
      </c>
      <c r="AB1175" s="3">
        <v>60</v>
      </c>
      <c r="AC1175" s="3">
        <v>62</v>
      </c>
      <c r="AD1175" s="3">
        <v>1</v>
      </c>
      <c r="AE1175" s="9">
        <v>1</v>
      </c>
      <c r="AF1175" s="9">
        <v>1</v>
      </c>
      <c r="AG1175" s="9">
        <v>1</v>
      </c>
      <c r="AH1175" s="3">
        <v>0</v>
      </c>
      <c r="AI1175" s="3">
        <v>0</v>
      </c>
      <c r="AJ1175" s="3">
        <v>0</v>
      </c>
      <c r="AK1175" s="3">
        <v>0</v>
      </c>
      <c r="AL1175" s="3">
        <v>1</v>
      </c>
      <c r="AM1175" s="3">
        <v>1</v>
      </c>
      <c r="AN1175" s="3">
        <v>0</v>
      </c>
      <c r="AO1175" s="3">
        <v>0</v>
      </c>
      <c r="AP1175" s="3">
        <v>0</v>
      </c>
      <c r="AQ1175" s="3">
        <v>0</v>
      </c>
      <c r="AR1175" s="2" t="s">
        <v>5</v>
      </c>
      <c r="AS1175" s="2" t="s">
        <v>46</v>
      </c>
      <c r="AT1175" s="5" t="str">
        <f>HYPERLINK("http://catalog.hathitrust.org/Record/003084289","HathiTrust Record")</f>
        <v>HathiTrust Record</v>
      </c>
      <c r="AU1175" s="5" t="str">
        <f>HYPERLINK("https://creighton-primo.hosted.exlibrisgroup.com/primo-explore/search?tab=default_tab&amp;search_scope=EVERYTHING&amp;vid=01CRU&amp;lang=en_US&amp;offset=0&amp;query=any,contains,991004027659702656","Catalog Record")</f>
        <v>Catalog Record</v>
      </c>
      <c r="AV1175" s="5" t="str">
        <f>HYPERLINK("http://www.worldcat.org/oclc/32169016","WorldCat Record")</f>
        <v>WorldCat Record</v>
      </c>
      <c r="AW1175" s="2" t="s">
        <v>14486</v>
      </c>
      <c r="AX1175" s="2" t="s">
        <v>14487</v>
      </c>
      <c r="AY1175" s="2" t="s">
        <v>14488</v>
      </c>
      <c r="AZ1175" s="2" t="s">
        <v>14488</v>
      </c>
      <c r="BA1175" s="2" t="s">
        <v>14489</v>
      </c>
      <c r="BB1175" s="2" t="s">
        <v>20</v>
      </c>
      <c r="BD1175" s="2" t="s">
        <v>14490</v>
      </c>
      <c r="BE1175" s="2" t="s">
        <v>14491</v>
      </c>
      <c r="BF1175" s="2" t="s">
        <v>14492</v>
      </c>
    </row>
    <row r="1176" spans="1:58" ht="39.75" customHeight="1" x14ac:dyDescent="0.25">
      <c r="A1176" s="7" t="s">
        <v>5</v>
      </c>
      <c r="B1176" s="1" t="s">
        <v>0</v>
      </c>
      <c r="C1176" s="1" t="s">
        <v>1</v>
      </c>
      <c r="D1176" s="1" t="s">
        <v>14493</v>
      </c>
      <c r="E1176" s="1" t="s">
        <v>14494</v>
      </c>
      <c r="F1176" s="1" t="s">
        <v>14495</v>
      </c>
      <c r="H1176" s="2" t="s">
        <v>5</v>
      </c>
      <c r="I1176" s="2" t="s">
        <v>6</v>
      </c>
      <c r="J1176" s="2" t="s">
        <v>5</v>
      </c>
      <c r="K1176" s="2" t="s">
        <v>5</v>
      </c>
      <c r="L1176" s="2" t="s">
        <v>7</v>
      </c>
      <c r="M1176" s="1" t="s">
        <v>14496</v>
      </c>
      <c r="N1176" s="1" t="s">
        <v>14497</v>
      </c>
      <c r="O1176" s="2" t="s">
        <v>1515</v>
      </c>
      <c r="Q1176" s="2" t="s">
        <v>1151</v>
      </c>
      <c r="R1176" s="2" t="s">
        <v>4146</v>
      </c>
      <c r="S1176" s="1" t="s">
        <v>14498</v>
      </c>
      <c r="T1176" s="2" t="s">
        <v>13</v>
      </c>
      <c r="U1176" s="3">
        <v>1</v>
      </c>
      <c r="V1176" s="3">
        <v>1</v>
      </c>
      <c r="W1176" s="4" t="s">
        <v>6996</v>
      </c>
      <c r="X1176" s="4" t="s">
        <v>6996</v>
      </c>
      <c r="Y1176" s="4" t="s">
        <v>9871</v>
      </c>
      <c r="Z1176" s="4" t="s">
        <v>9871</v>
      </c>
      <c r="AA1176" s="3">
        <v>46</v>
      </c>
      <c r="AB1176" s="3">
        <v>41</v>
      </c>
      <c r="AC1176" s="3">
        <v>46</v>
      </c>
      <c r="AD1176" s="3">
        <v>1</v>
      </c>
      <c r="AE1176" s="9">
        <v>1</v>
      </c>
      <c r="AF1176" s="9">
        <v>2</v>
      </c>
      <c r="AG1176" s="9">
        <v>2</v>
      </c>
      <c r="AH1176" s="3">
        <v>2</v>
      </c>
      <c r="AI1176" s="3">
        <v>2</v>
      </c>
      <c r="AJ1176" s="3">
        <v>0</v>
      </c>
      <c r="AK1176" s="3">
        <v>0</v>
      </c>
      <c r="AL1176" s="3">
        <v>1</v>
      </c>
      <c r="AM1176" s="3">
        <v>1</v>
      </c>
      <c r="AN1176" s="3">
        <v>0</v>
      </c>
      <c r="AO1176" s="3">
        <v>0</v>
      </c>
      <c r="AP1176" s="3">
        <v>0</v>
      </c>
      <c r="AQ1176" s="3">
        <v>0</v>
      </c>
      <c r="AR1176" s="2" t="s">
        <v>5</v>
      </c>
      <c r="AS1176" s="2" t="s">
        <v>46</v>
      </c>
      <c r="AT1176" s="5" t="str">
        <f>HYPERLINK("http://catalog.hathitrust.org/Record/101161359","HathiTrust Record")</f>
        <v>HathiTrust Record</v>
      </c>
      <c r="AU1176" s="5" t="str">
        <f>HYPERLINK("https://creighton-primo.hosted.exlibrisgroup.com/primo-explore/search?tab=default_tab&amp;search_scope=EVERYTHING&amp;vid=01CRU&amp;lang=en_US&amp;offset=0&amp;query=any,contains,991003810589702656","Catalog Record")</f>
        <v>Catalog Record</v>
      </c>
      <c r="AV1176" s="5" t="str">
        <f>HYPERLINK("http://www.worldcat.org/oclc/7575152","WorldCat Record")</f>
        <v>WorldCat Record</v>
      </c>
      <c r="AW1176" s="2" t="s">
        <v>14499</v>
      </c>
      <c r="AX1176" s="2" t="s">
        <v>14500</v>
      </c>
      <c r="AY1176" s="2" t="s">
        <v>14501</v>
      </c>
      <c r="AZ1176" s="2" t="s">
        <v>14501</v>
      </c>
      <c r="BA1176" s="2" t="s">
        <v>14502</v>
      </c>
      <c r="BB1176" s="2" t="s">
        <v>20</v>
      </c>
      <c r="BE1176" s="2" t="s">
        <v>14503</v>
      </c>
      <c r="BF1176" s="2" t="s">
        <v>14504</v>
      </c>
    </row>
    <row r="1177" spans="1:58" ht="39.75" customHeight="1" x14ac:dyDescent="0.25">
      <c r="A1177" s="7" t="s">
        <v>5</v>
      </c>
      <c r="B1177" s="1" t="s">
        <v>0</v>
      </c>
      <c r="C1177" s="1" t="s">
        <v>1</v>
      </c>
      <c r="D1177" s="1" t="s">
        <v>14505</v>
      </c>
      <c r="E1177" s="1" t="s">
        <v>14506</v>
      </c>
      <c r="F1177" s="1" t="s">
        <v>14507</v>
      </c>
      <c r="H1177" s="2" t="s">
        <v>5</v>
      </c>
      <c r="I1177" s="2" t="s">
        <v>6</v>
      </c>
      <c r="J1177" s="2" t="s">
        <v>5</v>
      </c>
      <c r="K1177" s="2" t="s">
        <v>5</v>
      </c>
      <c r="L1177" s="2" t="s">
        <v>7</v>
      </c>
      <c r="M1177" s="1" t="s">
        <v>14508</v>
      </c>
      <c r="N1177" s="1" t="s">
        <v>14509</v>
      </c>
      <c r="O1177" s="2" t="s">
        <v>569</v>
      </c>
      <c r="Q1177" s="2" t="s">
        <v>1151</v>
      </c>
      <c r="R1177" s="2" t="s">
        <v>1152</v>
      </c>
      <c r="S1177" s="1" t="s">
        <v>14510</v>
      </c>
      <c r="T1177" s="2" t="s">
        <v>13</v>
      </c>
      <c r="U1177" s="3">
        <v>1</v>
      </c>
      <c r="V1177" s="3">
        <v>1</v>
      </c>
      <c r="W1177" s="4" t="s">
        <v>8230</v>
      </c>
      <c r="X1177" s="4" t="s">
        <v>8230</v>
      </c>
      <c r="Y1177" s="4" t="s">
        <v>8230</v>
      </c>
      <c r="Z1177" s="4" t="s">
        <v>8230</v>
      </c>
      <c r="AA1177" s="3">
        <v>40</v>
      </c>
      <c r="AB1177" s="3">
        <v>33</v>
      </c>
      <c r="AC1177" s="3">
        <v>93</v>
      </c>
      <c r="AD1177" s="3">
        <v>1</v>
      </c>
      <c r="AE1177" s="9">
        <v>2</v>
      </c>
      <c r="AF1177" s="9">
        <v>0</v>
      </c>
      <c r="AG1177" s="9">
        <v>4</v>
      </c>
      <c r="AH1177" s="3">
        <v>0</v>
      </c>
      <c r="AI1177" s="3">
        <v>1</v>
      </c>
      <c r="AJ1177" s="3">
        <v>0</v>
      </c>
      <c r="AK1177" s="3">
        <v>2</v>
      </c>
      <c r="AL1177" s="3">
        <v>0</v>
      </c>
      <c r="AM1177" s="3">
        <v>1</v>
      </c>
      <c r="AN1177" s="3">
        <v>0</v>
      </c>
      <c r="AO1177" s="3">
        <v>1</v>
      </c>
      <c r="AP1177" s="3">
        <v>0</v>
      </c>
      <c r="AQ1177" s="3">
        <v>0</v>
      </c>
      <c r="AR1177" s="2" t="s">
        <v>5</v>
      </c>
      <c r="AS1177" s="2" t="s">
        <v>5</v>
      </c>
      <c r="AU1177" s="5" t="str">
        <f>HYPERLINK("https://creighton-primo.hosted.exlibrisgroup.com/primo-explore/search?tab=default_tab&amp;search_scope=EVERYTHING&amp;vid=01CRU&amp;lang=en_US&amp;offset=0&amp;query=any,contains,991003253969702656","Catalog Record")</f>
        <v>Catalog Record</v>
      </c>
      <c r="AV1177" s="5" t="str">
        <f>HYPERLINK("http://www.worldcat.org/oclc/46547524","WorldCat Record")</f>
        <v>WorldCat Record</v>
      </c>
      <c r="AW1177" s="2" t="s">
        <v>14511</v>
      </c>
      <c r="AX1177" s="2" t="s">
        <v>14512</v>
      </c>
      <c r="AY1177" s="2" t="s">
        <v>14513</v>
      </c>
      <c r="AZ1177" s="2" t="s">
        <v>14513</v>
      </c>
      <c r="BA1177" s="2" t="s">
        <v>14514</v>
      </c>
      <c r="BB1177" s="2" t="s">
        <v>20</v>
      </c>
      <c r="BD1177" s="2" t="s">
        <v>14515</v>
      </c>
      <c r="BE1177" s="2" t="s">
        <v>14516</v>
      </c>
      <c r="BF1177" s="2" t="s">
        <v>14517</v>
      </c>
    </row>
    <row r="1178" spans="1:58" ht="39.75" customHeight="1" x14ac:dyDescent="0.25">
      <c r="A1178" s="7" t="s">
        <v>5</v>
      </c>
      <c r="B1178" s="1" t="s">
        <v>0</v>
      </c>
      <c r="C1178" s="1" t="s">
        <v>1</v>
      </c>
      <c r="D1178" s="1" t="s">
        <v>14518</v>
      </c>
      <c r="E1178" s="1" t="s">
        <v>14519</v>
      </c>
      <c r="F1178" s="1" t="s">
        <v>14520</v>
      </c>
      <c r="H1178" s="2" t="s">
        <v>5</v>
      </c>
      <c r="I1178" s="2" t="s">
        <v>6</v>
      </c>
      <c r="J1178" s="2" t="s">
        <v>5</v>
      </c>
      <c r="K1178" s="2" t="s">
        <v>5</v>
      </c>
      <c r="L1178" s="2" t="s">
        <v>7</v>
      </c>
      <c r="M1178" s="1" t="s">
        <v>14508</v>
      </c>
      <c r="N1178" s="1" t="s">
        <v>14521</v>
      </c>
      <c r="O1178" s="2" t="s">
        <v>3817</v>
      </c>
      <c r="Q1178" s="2" t="s">
        <v>1151</v>
      </c>
      <c r="R1178" s="2" t="s">
        <v>9488</v>
      </c>
      <c r="S1178" s="1" t="s">
        <v>13507</v>
      </c>
      <c r="T1178" s="2" t="s">
        <v>13</v>
      </c>
      <c r="U1178" s="3">
        <v>2</v>
      </c>
      <c r="V1178" s="3">
        <v>2</v>
      </c>
      <c r="W1178" s="4" t="s">
        <v>5590</v>
      </c>
      <c r="X1178" s="4" t="s">
        <v>5590</v>
      </c>
      <c r="Y1178" s="4" t="s">
        <v>12216</v>
      </c>
      <c r="Z1178" s="4" t="s">
        <v>12216</v>
      </c>
      <c r="AA1178" s="3">
        <v>52</v>
      </c>
      <c r="AB1178" s="3">
        <v>41</v>
      </c>
      <c r="AC1178" s="3">
        <v>84</v>
      </c>
      <c r="AD1178" s="3">
        <v>1</v>
      </c>
      <c r="AE1178" s="9">
        <v>1</v>
      </c>
      <c r="AF1178" s="9">
        <v>0</v>
      </c>
      <c r="AG1178" s="9">
        <v>3</v>
      </c>
      <c r="AH1178" s="3">
        <v>0</v>
      </c>
      <c r="AI1178" s="3">
        <v>1</v>
      </c>
      <c r="AJ1178" s="3">
        <v>0</v>
      </c>
      <c r="AK1178" s="3">
        <v>1</v>
      </c>
      <c r="AL1178" s="3">
        <v>0</v>
      </c>
      <c r="AM1178" s="3">
        <v>3</v>
      </c>
      <c r="AN1178" s="3">
        <v>0</v>
      </c>
      <c r="AO1178" s="3">
        <v>0</v>
      </c>
      <c r="AP1178" s="3">
        <v>0</v>
      </c>
      <c r="AQ1178" s="3">
        <v>0</v>
      </c>
      <c r="AR1178" s="2" t="s">
        <v>5</v>
      </c>
      <c r="AS1178" s="2" t="s">
        <v>46</v>
      </c>
      <c r="AT1178" s="5" t="str">
        <f>HYPERLINK("http://catalog.hathitrust.org/Record/007393918","HathiTrust Record")</f>
        <v>HathiTrust Record</v>
      </c>
      <c r="AU1178" s="5" t="str">
        <f>HYPERLINK("https://creighton-primo.hosted.exlibrisgroup.com/primo-explore/search?tab=default_tab&amp;search_scope=EVERYTHING&amp;vid=01CRU&amp;lang=en_US&amp;offset=0&amp;query=any,contains,991003253999702656","Catalog Record")</f>
        <v>Catalog Record</v>
      </c>
      <c r="AV1178" s="5" t="str">
        <f>HYPERLINK("http://www.worldcat.org/oclc/39792562","WorldCat Record")</f>
        <v>WorldCat Record</v>
      </c>
      <c r="AW1178" s="2" t="s">
        <v>14522</v>
      </c>
      <c r="AX1178" s="2" t="s">
        <v>14523</v>
      </c>
      <c r="AY1178" s="2" t="s">
        <v>14524</v>
      </c>
      <c r="AZ1178" s="2" t="s">
        <v>14524</v>
      </c>
      <c r="BA1178" s="2" t="s">
        <v>14525</v>
      </c>
      <c r="BB1178" s="2" t="s">
        <v>20</v>
      </c>
      <c r="BD1178" s="2" t="s">
        <v>14526</v>
      </c>
      <c r="BE1178" s="2" t="s">
        <v>14527</v>
      </c>
      <c r="BF1178" s="2" t="s">
        <v>14528</v>
      </c>
    </row>
    <row r="1179" spans="1:58" ht="39.75" customHeight="1" x14ac:dyDescent="0.25">
      <c r="A1179" s="7" t="s">
        <v>5</v>
      </c>
      <c r="B1179" s="1" t="s">
        <v>0</v>
      </c>
      <c r="C1179" s="1" t="s">
        <v>1</v>
      </c>
      <c r="D1179" s="1" t="s">
        <v>14529</v>
      </c>
      <c r="E1179" s="1" t="s">
        <v>14530</v>
      </c>
      <c r="F1179" s="1" t="s">
        <v>14531</v>
      </c>
      <c r="H1179" s="2" t="s">
        <v>5</v>
      </c>
      <c r="I1179" s="2" t="s">
        <v>6</v>
      </c>
      <c r="J1179" s="2" t="s">
        <v>5</v>
      </c>
      <c r="K1179" s="2" t="s">
        <v>5</v>
      </c>
      <c r="L1179" s="2" t="s">
        <v>7</v>
      </c>
      <c r="M1179" s="1" t="s">
        <v>14508</v>
      </c>
      <c r="N1179" s="1" t="s">
        <v>14532</v>
      </c>
      <c r="O1179" s="2" t="s">
        <v>736</v>
      </c>
      <c r="P1179" s="1" t="s">
        <v>6915</v>
      </c>
      <c r="Q1179" s="2" t="s">
        <v>1151</v>
      </c>
      <c r="R1179" s="2" t="s">
        <v>5403</v>
      </c>
      <c r="S1179" s="1" t="s">
        <v>10446</v>
      </c>
      <c r="T1179" s="2" t="s">
        <v>13</v>
      </c>
      <c r="U1179" s="3">
        <v>7</v>
      </c>
      <c r="V1179" s="3">
        <v>7</v>
      </c>
      <c r="W1179" s="4" t="s">
        <v>4398</v>
      </c>
      <c r="X1179" s="4" t="s">
        <v>4398</v>
      </c>
      <c r="Y1179" s="4" t="s">
        <v>14533</v>
      </c>
      <c r="Z1179" s="4" t="s">
        <v>14533</v>
      </c>
      <c r="AA1179" s="3">
        <v>47</v>
      </c>
      <c r="AB1179" s="3">
        <v>43</v>
      </c>
      <c r="AC1179" s="3">
        <v>255</v>
      </c>
      <c r="AD1179" s="3">
        <v>1</v>
      </c>
      <c r="AE1179" s="9">
        <v>1</v>
      </c>
      <c r="AF1179" s="9">
        <v>1</v>
      </c>
      <c r="AG1179" s="9">
        <v>8</v>
      </c>
      <c r="AH1179" s="3">
        <v>1</v>
      </c>
      <c r="AI1179" s="3">
        <v>3</v>
      </c>
      <c r="AJ1179" s="3">
        <v>0</v>
      </c>
      <c r="AK1179" s="3">
        <v>1</v>
      </c>
      <c r="AL1179" s="3">
        <v>0</v>
      </c>
      <c r="AM1179" s="3">
        <v>5</v>
      </c>
      <c r="AN1179" s="3">
        <v>0</v>
      </c>
      <c r="AO1179" s="3">
        <v>0</v>
      </c>
      <c r="AP1179" s="3">
        <v>0</v>
      </c>
      <c r="AQ1179" s="3">
        <v>0</v>
      </c>
      <c r="AR1179" s="2" t="s">
        <v>5</v>
      </c>
      <c r="AS1179" s="2" t="s">
        <v>5</v>
      </c>
      <c r="AU1179" s="5" t="str">
        <f>HYPERLINK("https://creighton-primo.hosted.exlibrisgroup.com/primo-explore/search?tab=default_tab&amp;search_scope=EVERYTHING&amp;vid=01CRU&amp;lang=en_US&amp;offset=0&amp;query=any,contains,991002171969702656","Catalog Record")</f>
        <v>Catalog Record</v>
      </c>
      <c r="AV1179" s="5" t="str">
        <f>HYPERLINK("http://www.worldcat.org/oclc/27952249","WorldCat Record")</f>
        <v>WorldCat Record</v>
      </c>
      <c r="AW1179" s="2" t="s">
        <v>14534</v>
      </c>
      <c r="AX1179" s="2" t="s">
        <v>14535</v>
      </c>
      <c r="AY1179" s="2" t="s">
        <v>14536</v>
      </c>
      <c r="AZ1179" s="2" t="s">
        <v>14536</v>
      </c>
      <c r="BA1179" s="2" t="s">
        <v>14537</v>
      </c>
      <c r="BB1179" s="2" t="s">
        <v>20</v>
      </c>
      <c r="BD1179" s="2" t="s">
        <v>14538</v>
      </c>
      <c r="BE1179" s="2" t="s">
        <v>14539</v>
      </c>
      <c r="BF1179" s="2" t="s">
        <v>14540</v>
      </c>
    </row>
    <row r="1180" spans="1:58" ht="39.75" customHeight="1" x14ac:dyDescent="0.25">
      <c r="A1180" s="7" t="s">
        <v>5</v>
      </c>
      <c r="B1180" s="1" t="s">
        <v>0</v>
      </c>
      <c r="C1180" s="1" t="s">
        <v>1</v>
      </c>
      <c r="D1180" s="1" t="s">
        <v>14541</v>
      </c>
      <c r="E1180" s="1" t="s">
        <v>14542</v>
      </c>
      <c r="F1180" s="1" t="s">
        <v>14543</v>
      </c>
      <c r="H1180" s="2" t="s">
        <v>5</v>
      </c>
      <c r="I1180" s="2" t="s">
        <v>6</v>
      </c>
      <c r="J1180" s="2" t="s">
        <v>5</v>
      </c>
      <c r="K1180" s="2" t="s">
        <v>5</v>
      </c>
      <c r="L1180" s="2" t="s">
        <v>7</v>
      </c>
      <c r="M1180" s="1" t="s">
        <v>14544</v>
      </c>
      <c r="N1180" s="1" t="s">
        <v>14545</v>
      </c>
      <c r="O1180" s="2" t="s">
        <v>1473</v>
      </c>
      <c r="Q1180" s="2" t="s">
        <v>60</v>
      </c>
      <c r="R1180" s="2" t="s">
        <v>12202</v>
      </c>
      <c r="T1180" s="2" t="s">
        <v>13</v>
      </c>
      <c r="U1180" s="3">
        <v>3</v>
      </c>
      <c r="V1180" s="3">
        <v>3</v>
      </c>
      <c r="W1180" s="4" t="s">
        <v>14546</v>
      </c>
      <c r="X1180" s="4" t="s">
        <v>14546</v>
      </c>
      <c r="Y1180" s="4" t="s">
        <v>14547</v>
      </c>
      <c r="Z1180" s="4" t="s">
        <v>14547</v>
      </c>
      <c r="AA1180" s="3">
        <v>207</v>
      </c>
      <c r="AB1180" s="3">
        <v>163</v>
      </c>
      <c r="AC1180" s="3">
        <v>167</v>
      </c>
      <c r="AD1180" s="3">
        <v>2</v>
      </c>
      <c r="AE1180" s="9">
        <v>2</v>
      </c>
      <c r="AF1180" s="9">
        <v>7</v>
      </c>
      <c r="AG1180" s="9">
        <v>7</v>
      </c>
      <c r="AH1180" s="3">
        <v>1</v>
      </c>
      <c r="AI1180" s="3">
        <v>1</v>
      </c>
      <c r="AJ1180" s="3">
        <v>3</v>
      </c>
      <c r="AK1180" s="3">
        <v>3</v>
      </c>
      <c r="AL1180" s="3">
        <v>4</v>
      </c>
      <c r="AM1180" s="3">
        <v>4</v>
      </c>
      <c r="AN1180" s="3">
        <v>1</v>
      </c>
      <c r="AO1180" s="3">
        <v>1</v>
      </c>
      <c r="AP1180" s="3">
        <v>0</v>
      </c>
      <c r="AQ1180" s="3">
        <v>0</v>
      </c>
      <c r="AR1180" s="2" t="s">
        <v>5</v>
      </c>
      <c r="AS1180" s="2" t="s">
        <v>46</v>
      </c>
      <c r="AT1180" s="5" t="str">
        <f>HYPERLINK("http://catalog.hathitrust.org/Record/004237563","HathiTrust Record")</f>
        <v>HathiTrust Record</v>
      </c>
      <c r="AU1180" s="5" t="str">
        <f>HYPERLINK("https://creighton-primo.hosted.exlibrisgroup.com/primo-explore/search?tab=default_tab&amp;search_scope=EVERYTHING&amp;vid=01CRU&amp;lang=en_US&amp;offset=0&amp;query=any,contains,991003867109702656","Catalog Record")</f>
        <v>Catalog Record</v>
      </c>
      <c r="AV1180" s="5" t="str">
        <f>HYPERLINK("http://www.worldcat.org/oclc/43884445","WorldCat Record")</f>
        <v>WorldCat Record</v>
      </c>
      <c r="AW1180" s="2" t="s">
        <v>14548</v>
      </c>
      <c r="AX1180" s="2" t="s">
        <v>14549</v>
      </c>
      <c r="AY1180" s="2" t="s">
        <v>14550</v>
      </c>
      <c r="AZ1180" s="2" t="s">
        <v>14550</v>
      </c>
      <c r="BA1180" s="2" t="s">
        <v>14551</v>
      </c>
      <c r="BB1180" s="2" t="s">
        <v>20</v>
      </c>
      <c r="BD1180" s="2" t="s">
        <v>14552</v>
      </c>
      <c r="BE1180" s="2" t="s">
        <v>14553</v>
      </c>
      <c r="BF1180" s="2" t="s">
        <v>14554</v>
      </c>
    </row>
    <row r="1181" spans="1:58" ht="39.75" customHeight="1" x14ac:dyDescent="0.25">
      <c r="A1181" s="7" t="s">
        <v>5</v>
      </c>
      <c r="B1181" s="1" t="s">
        <v>0</v>
      </c>
      <c r="C1181" s="1" t="s">
        <v>1</v>
      </c>
      <c r="D1181" s="1" t="s">
        <v>14555</v>
      </c>
      <c r="E1181" s="1" t="s">
        <v>14556</v>
      </c>
      <c r="F1181" s="1" t="s">
        <v>14557</v>
      </c>
      <c r="H1181" s="2" t="s">
        <v>5</v>
      </c>
      <c r="I1181" s="2" t="s">
        <v>6</v>
      </c>
      <c r="J1181" s="2" t="s">
        <v>5</v>
      </c>
      <c r="K1181" s="2" t="s">
        <v>5</v>
      </c>
      <c r="L1181" s="2" t="s">
        <v>7</v>
      </c>
      <c r="M1181" s="1" t="s">
        <v>14558</v>
      </c>
      <c r="N1181" s="1" t="s">
        <v>14559</v>
      </c>
      <c r="O1181" s="2" t="s">
        <v>554</v>
      </c>
      <c r="Q1181" s="2" t="s">
        <v>1151</v>
      </c>
      <c r="R1181" s="2" t="s">
        <v>4146</v>
      </c>
      <c r="T1181" s="2" t="s">
        <v>13</v>
      </c>
      <c r="U1181" s="3">
        <v>1</v>
      </c>
      <c r="V1181" s="3">
        <v>1</v>
      </c>
      <c r="W1181" s="4" t="s">
        <v>6701</v>
      </c>
      <c r="X1181" s="4" t="s">
        <v>6701</v>
      </c>
      <c r="Y1181" s="4" t="s">
        <v>6702</v>
      </c>
      <c r="Z1181" s="4" t="s">
        <v>6702</v>
      </c>
      <c r="AA1181" s="3">
        <v>21</v>
      </c>
      <c r="AB1181" s="3">
        <v>20</v>
      </c>
      <c r="AC1181" s="3">
        <v>20</v>
      </c>
      <c r="AD1181" s="3">
        <v>1</v>
      </c>
      <c r="AE1181" s="9">
        <v>1</v>
      </c>
      <c r="AF1181" s="9">
        <v>0</v>
      </c>
      <c r="AG1181" s="9">
        <v>0</v>
      </c>
      <c r="AH1181" s="3">
        <v>0</v>
      </c>
      <c r="AI1181" s="3">
        <v>0</v>
      </c>
      <c r="AJ1181" s="3">
        <v>0</v>
      </c>
      <c r="AK1181" s="3">
        <v>0</v>
      </c>
      <c r="AL1181" s="3">
        <v>0</v>
      </c>
      <c r="AM1181" s="3">
        <v>0</v>
      </c>
      <c r="AN1181" s="3">
        <v>0</v>
      </c>
      <c r="AO1181" s="3">
        <v>0</v>
      </c>
      <c r="AP1181" s="3">
        <v>0</v>
      </c>
      <c r="AQ1181" s="3">
        <v>0</v>
      </c>
      <c r="AR1181" s="2" t="s">
        <v>5</v>
      </c>
      <c r="AS1181" s="2" t="s">
        <v>5</v>
      </c>
      <c r="AU1181" s="5" t="str">
        <f>HYPERLINK("https://creighton-primo.hosted.exlibrisgroup.com/primo-explore/search?tab=default_tab&amp;search_scope=EVERYTHING&amp;vid=01CRU&amp;lang=en_US&amp;offset=0&amp;query=any,contains,991003759349702656","Catalog Record")</f>
        <v>Catalog Record</v>
      </c>
      <c r="AV1181" s="5" t="str">
        <f>HYPERLINK("http://www.worldcat.org/oclc/13239954","WorldCat Record")</f>
        <v>WorldCat Record</v>
      </c>
      <c r="AW1181" s="2" t="s">
        <v>14560</v>
      </c>
      <c r="AX1181" s="2" t="s">
        <v>14561</v>
      </c>
      <c r="AY1181" s="2" t="s">
        <v>14562</v>
      </c>
      <c r="AZ1181" s="2" t="s">
        <v>14562</v>
      </c>
      <c r="BA1181" s="2" t="s">
        <v>14563</v>
      </c>
      <c r="BB1181" s="2" t="s">
        <v>20</v>
      </c>
      <c r="BD1181" s="2" t="s">
        <v>14564</v>
      </c>
      <c r="BE1181" s="2" t="s">
        <v>14565</v>
      </c>
      <c r="BF1181" s="2" t="s">
        <v>14566</v>
      </c>
    </row>
    <row r="1182" spans="1:58" ht="39.75" customHeight="1" x14ac:dyDescent="0.25">
      <c r="A1182" s="7" t="s">
        <v>5</v>
      </c>
      <c r="B1182" s="1" t="s">
        <v>0</v>
      </c>
      <c r="C1182" s="1" t="s">
        <v>1</v>
      </c>
      <c r="D1182" s="1" t="s">
        <v>14567</v>
      </c>
      <c r="E1182" s="1" t="s">
        <v>14568</v>
      </c>
      <c r="F1182" s="1" t="s">
        <v>14569</v>
      </c>
      <c r="H1182" s="2" t="s">
        <v>5</v>
      </c>
      <c r="I1182" s="2" t="s">
        <v>6</v>
      </c>
      <c r="J1182" s="2" t="s">
        <v>5</v>
      </c>
      <c r="K1182" s="2" t="s">
        <v>5</v>
      </c>
      <c r="L1182" s="2" t="s">
        <v>7</v>
      </c>
      <c r="M1182" s="1" t="s">
        <v>14570</v>
      </c>
      <c r="N1182" s="1" t="s">
        <v>14571</v>
      </c>
      <c r="O1182" s="2" t="s">
        <v>6611</v>
      </c>
      <c r="Q1182" s="2" t="s">
        <v>1151</v>
      </c>
      <c r="R1182" s="2" t="s">
        <v>4146</v>
      </c>
      <c r="T1182" s="2" t="s">
        <v>13</v>
      </c>
      <c r="U1182" s="3">
        <v>1</v>
      </c>
      <c r="V1182" s="3">
        <v>1</v>
      </c>
      <c r="W1182" s="4" t="s">
        <v>1154</v>
      </c>
      <c r="X1182" s="4" t="s">
        <v>1154</v>
      </c>
      <c r="Y1182" s="4" t="s">
        <v>1154</v>
      </c>
      <c r="Z1182" s="4" t="s">
        <v>1154</v>
      </c>
      <c r="AA1182" s="3">
        <v>7</v>
      </c>
      <c r="AB1182" s="3">
        <v>7</v>
      </c>
      <c r="AC1182" s="3">
        <v>7</v>
      </c>
      <c r="AD1182" s="3">
        <v>1</v>
      </c>
      <c r="AE1182" s="9">
        <v>1</v>
      </c>
      <c r="AF1182" s="9">
        <v>0</v>
      </c>
      <c r="AG1182" s="9">
        <v>0</v>
      </c>
      <c r="AH1182" s="3">
        <v>0</v>
      </c>
      <c r="AI1182" s="3">
        <v>0</v>
      </c>
      <c r="AJ1182" s="3">
        <v>0</v>
      </c>
      <c r="AK1182" s="3">
        <v>0</v>
      </c>
      <c r="AL1182" s="3">
        <v>0</v>
      </c>
      <c r="AM1182" s="3">
        <v>0</v>
      </c>
      <c r="AN1182" s="3">
        <v>0</v>
      </c>
      <c r="AO1182" s="3">
        <v>0</v>
      </c>
      <c r="AP1182" s="3">
        <v>0</v>
      </c>
      <c r="AQ1182" s="3">
        <v>0</v>
      </c>
      <c r="AR1182" s="2" t="s">
        <v>5</v>
      </c>
      <c r="AS1182" s="2" t="s">
        <v>5</v>
      </c>
      <c r="AU1182" s="5" t="str">
        <f>HYPERLINK("https://creighton-primo.hosted.exlibrisgroup.com/primo-explore/search?tab=default_tab&amp;search_scope=EVERYTHING&amp;vid=01CRU&amp;lang=en_US&amp;offset=0&amp;query=any,contains,991003848509702656","Catalog Record")</f>
        <v>Catalog Record</v>
      </c>
      <c r="AV1182" s="5" t="str">
        <f>HYPERLINK("http://www.worldcat.org/oclc/50132734","WorldCat Record")</f>
        <v>WorldCat Record</v>
      </c>
      <c r="AW1182" s="2" t="s">
        <v>14572</v>
      </c>
      <c r="AX1182" s="2" t="s">
        <v>14573</v>
      </c>
      <c r="AY1182" s="2" t="s">
        <v>14574</v>
      </c>
      <c r="AZ1182" s="2" t="s">
        <v>14574</v>
      </c>
      <c r="BA1182" s="2" t="s">
        <v>14575</v>
      </c>
      <c r="BB1182" s="2" t="s">
        <v>20</v>
      </c>
      <c r="BD1182" s="2" t="s">
        <v>14576</v>
      </c>
      <c r="BE1182" s="2" t="s">
        <v>14577</v>
      </c>
      <c r="BF1182" s="2" t="s">
        <v>14578</v>
      </c>
    </row>
    <row r="1183" spans="1:58" ht="39.75" customHeight="1" x14ac:dyDescent="0.25">
      <c r="A1183" s="7" t="s">
        <v>5</v>
      </c>
      <c r="B1183" s="1" t="s">
        <v>0</v>
      </c>
      <c r="C1183" s="1" t="s">
        <v>1</v>
      </c>
      <c r="D1183" s="1" t="s">
        <v>14579</v>
      </c>
      <c r="E1183" s="1" t="s">
        <v>14580</v>
      </c>
      <c r="F1183" s="1" t="s">
        <v>14581</v>
      </c>
      <c r="H1183" s="2" t="s">
        <v>5</v>
      </c>
      <c r="I1183" s="2" t="s">
        <v>6</v>
      </c>
      <c r="J1183" s="2" t="s">
        <v>5</v>
      </c>
      <c r="K1183" s="2" t="s">
        <v>5</v>
      </c>
      <c r="L1183" s="2" t="s">
        <v>7</v>
      </c>
      <c r="M1183" s="1" t="s">
        <v>11268</v>
      </c>
      <c r="N1183" s="1" t="s">
        <v>14582</v>
      </c>
      <c r="O1183" s="2" t="s">
        <v>708</v>
      </c>
      <c r="Q1183" s="2" t="s">
        <v>1151</v>
      </c>
      <c r="R1183" s="2" t="s">
        <v>4146</v>
      </c>
      <c r="S1183" s="1" t="s">
        <v>14583</v>
      </c>
      <c r="T1183" s="2" t="s">
        <v>13</v>
      </c>
      <c r="U1183" s="3">
        <v>1</v>
      </c>
      <c r="V1183" s="3">
        <v>1</v>
      </c>
      <c r="W1183" s="4" t="s">
        <v>8667</v>
      </c>
      <c r="X1183" s="4" t="s">
        <v>8667</v>
      </c>
      <c r="Y1183" s="4" t="s">
        <v>8667</v>
      </c>
      <c r="Z1183" s="4" t="s">
        <v>8667</v>
      </c>
      <c r="AA1183" s="3">
        <v>27</v>
      </c>
      <c r="AB1183" s="3">
        <v>23</v>
      </c>
      <c r="AC1183" s="3">
        <v>25</v>
      </c>
      <c r="AD1183" s="3">
        <v>1</v>
      </c>
      <c r="AE1183" s="9">
        <v>1</v>
      </c>
      <c r="AF1183" s="9">
        <v>0</v>
      </c>
      <c r="AG1183" s="9">
        <v>0</v>
      </c>
      <c r="AH1183" s="3">
        <v>0</v>
      </c>
      <c r="AI1183" s="3">
        <v>0</v>
      </c>
      <c r="AJ1183" s="3">
        <v>0</v>
      </c>
      <c r="AK1183" s="3">
        <v>0</v>
      </c>
      <c r="AL1183" s="3">
        <v>0</v>
      </c>
      <c r="AM1183" s="3">
        <v>0</v>
      </c>
      <c r="AN1183" s="3">
        <v>0</v>
      </c>
      <c r="AO1183" s="3">
        <v>0</v>
      </c>
      <c r="AP1183" s="3">
        <v>0</v>
      </c>
      <c r="AQ1183" s="3">
        <v>0</v>
      </c>
      <c r="AR1183" s="2" t="s">
        <v>5</v>
      </c>
      <c r="AS1183" s="2" t="s">
        <v>46</v>
      </c>
      <c r="AT1183" s="5" t="str">
        <f>HYPERLINK("http://catalog.hathitrust.org/Record/101163436","HathiTrust Record")</f>
        <v>HathiTrust Record</v>
      </c>
      <c r="AU1183" s="5" t="str">
        <f>HYPERLINK("https://creighton-primo.hosted.exlibrisgroup.com/primo-explore/search?tab=default_tab&amp;search_scope=EVERYTHING&amp;vid=01CRU&amp;lang=en_US&amp;offset=0&amp;query=any,contains,991004340519702656","Catalog Record")</f>
        <v>Catalog Record</v>
      </c>
      <c r="AV1183" s="5" t="str">
        <f>HYPERLINK("http://www.worldcat.org/oclc/19513911","WorldCat Record")</f>
        <v>WorldCat Record</v>
      </c>
      <c r="AW1183" s="2" t="s">
        <v>14584</v>
      </c>
      <c r="AX1183" s="2" t="s">
        <v>14585</v>
      </c>
      <c r="AY1183" s="2" t="s">
        <v>14586</v>
      </c>
      <c r="AZ1183" s="2" t="s">
        <v>14586</v>
      </c>
      <c r="BA1183" s="2" t="s">
        <v>14587</v>
      </c>
      <c r="BB1183" s="2" t="s">
        <v>20</v>
      </c>
      <c r="BD1183" s="2" t="s">
        <v>14588</v>
      </c>
      <c r="BE1183" s="2" t="s">
        <v>14589</v>
      </c>
      <c r="BF1183" s="2" t="s">
        <v>14590</v>
      </c>
    </row>
    <row r="1184" spans="1:58" ht="39.75" customHeight="1" x14ac:dyDescent="0.25">
      <c r="A1184" s="7" t="s">
        <v>5</v>
      </c>
      <c r="B1184" s="1" t="s">
        <v>0</v>
      </c>
      <c r="C1184" s="1" t="s">
        <v>1</v>
      </c>
      <c r="D1184" s="1" t="s">
        <v>14591</v>
      </c>
      <c r="E1184" s="1" t="s">
        <v>14592</v>
      </c>
      <c r="F1184" s="1" t="s">
        <v>14593</v>
      </c>
      <c r="H1184" s="2" t="s">
        <v>5</v>
      </c>
      <c r="I1184" s="2" t="s">
        <v>6</v>
      </c>
      <c r="J1184" s="2" t="s">
        <v>5</v>
      </c>
      <c r="K1184" s="2" t="s">
        <v>5</v>
      </c>
      <c r="L1184" s="2" t="s">
        <v>7</v>
      </c>
      <c r="M1184" s="1" t="s">
        <v>5414</v>
      </c>
      <c r="N1184" s="1" t="s">
        <v>14594</v>
      </c>
      <c r="O1184" s="2" t="s">
        <v>468</v>
      </c>
      <c r="P1184" s="1" t="s">
        <v>2908</v>
      </c>
      <c r="Q1184" s="2" t="s">
        <v>1151</v>
      </c>
      <c r="R1184" s="2" t="s">
        <v>4146</v>
      </c>
      <c r="T1184" s="2" t="s">
        <v>13</v>
      </c>
      <c r="U1184" s="3">
        <v>1</v>
      </c>
      <c r="V1184" s="3">
        <v>1</v>
      </c>
      <c r="W1184" s="4" t="s">
        <v>14595</v>
      </c>
      <c r="X1184" s="4" t="s">
        <v>14595</v>
      </c>
      <c r="Y1184" s="4" t="s">
        <v>14596</v>
      </c>
      <c r="Z1184" s="4" t="s">
        <v>14596</v>
      </c>
      <c r="AA1184" s="3">
        <v>89</v>
      </c>
      <c r="AB1184" s="3">
        <v>71</v>
      </c>
      <c r="AC1184" s="3">
        <v>74</v>
      </c>
      <c r="AD1184" s="3">
        <v>2</v>
      </c>
      <c r="AE1184" s="9">
        <v>2</v>
      </c>
      <c r="AF1184" s="9">
        <v>1</v>
      </c>
      <c r="AG1184" s="9">
        <v>1</v>
      </c>
      <c r="AH1184" s="3">
        <v>0</v>
      </c>
      <c r="AI1184" s="3">
        <v>0</v>
      </c>
      <c r="AJ1184" s="3">
        <v>0</v>
      </c>
      <c r="AK1184" s="3">
        <v>0</v>
      </c>
      <c r="AL1184" s="3">
        <v>0</v>
      </c>
      <c r="AM1184" s="3">
        <v>0</v>
      </c>
      <c r="AN1184" s="3">
        <v>1</v>
      </c>
      <c r="AO1184" s="3">
        <v>1</v>
      </c>
      <c r="AP1184" s="3">
        <v>0</v>
      </c>
      <c r="AQ1184" s="3">
        <v>0</v>
      </c>
      <c r="AR1184" s="2" t="s">
        <v>5</v>
      </c>
      <c r="AS1184" s="2" t="s">
        <v>46</v>
      </c>
      <c r="AT1184" s="5" t="str">
        <f>HYPERLINK("http://catalog.hathitrust.org/Record/009005913","HathiTrust Record")</f>
        <v>HathiTrust Record</v>
      </c>
      <c r="AU1184" s="5" t="str">
        <f>HYPERLINK("https://creighton-primo.hosted.exlibrisgroup.com/primo-explore/search?tab=default_tab&amp;search_scope=EVERYTHING&amp;vid=01CRU&amp;lang=en_US&amp;offset=0&amp;query=any,contains,991003664659702656","Catalog Record")</f>
        <v>Catalog Record</v>
      </c>
      <c r="AV1184" s="5" t="str">
        <f>HYPERLINK("http://www.worldcat.org/oclc/603272","WorldCat Record")</f>
        <v>WorldCat Record</v>
      </c>
      <c r="AW1184" s="2" t="s">
        <v>14597</v>
      </c>
      <c r="AX1184" s="2" t="s">
        <v>14598</v>
      </c>
      <c r="AY1184" s="2" t="s">
        <v>14599</v>
      </c>
      <c r="AZ1184" s="2" t="s">
        <v>14599</v>
      </c>
      <c r="BA1184" s="2" t="s">
        <v>14600</v>
      </c>
      <c r="BB1184" s="2" t="s">
        <v>20</v>
      </c>
      <c r="BE1184" s="2" t="s">
        <v>14601</v>
      </c>
      <c r="BF1184" s="2" t="s">
        <v>14602</v>
      </c>
    </row>
    <row r="1185" spans="1:58" ht="39.75" customHeight="1" x14ac:dyDescent="0.25">
      <c r="A1185" s="7" t="s">
        <v>5</v>
      </c>
      <c r="B1185" s="1" t="s">
        <v>0</v>
      </c>
      <c r="C1185" s="1" t="s">
        <v>1</v>
      </c>
      <c r="D1185" s="1" t="s">
        <v>14603</v>
      </c>
      <c r="E1185" s="1" t="s">
        <v>14604</v>
      </c>
      <c r="F1185" s="1" t="s">
        <v>14605</v>
      </c>
      <c r="H1185" s="2" t="s">
        <v>5</v>
      </c>
      <c r="I1185" s="2" t="s">
        <v>6</v>
      </c>
      <c r="J1185" s="2" t="s">
        <v>5</v>
      </c>
      <c r="K1185" s="2" t="s">
        <v>5</v>
      </c>
      <c r="L1185" s="2" t="s">
        <v>7</v>
      </c>
      <c r="N1185" s="1" t="s">
        <v>14606</v>
      </c>
      <c r="O1185" s="2" t="s">
        <v>886</v>
      </c>
      <c r="Q1185" s="2" t="s">
        <v>1151</v>
      </c>
      <c r="R1185" s="2" t="s">
        <v>4146</v>
      </c>
      <c r="T1185" s="2" t="s">
        <v>13</v>
      </c>
      <c r="U1185" s="3">
        <v>1</v>
      </c>
      <c r="V1185" s="3">
        <v>1</v>
      </c>
      <c r="W1185" s="4" t="s">
        <v>11579</v>
      </c>
      <c r="X1185" s="4" t="s">
        <v>11579</v>
      </c>
      <c r="Y1185" s="4" t="s">
        <v>11579</v>
      </c>
      <c r="Z1185" s="4" t="s">
        <v>11579</v>
      </c>
      <c r="AA1185" s="3">
        <v>55</v>
      </c>
      <c r="AB1185" s="3">
        <v>46</v>
      </c>
      <c r="AC1185" s="3">
        <v>49</v>
      </c>
      <c r="AD1185" s="3">
        <v>1</v>
      </c>
      <c r="AE1185" s="9">
        <v>1</v>
      </c>
      <c r="AF1185" s="9">
        <v>1</v>
      </c>
      <c r="AG1185" s="9">
        <v>1</v>
      </c>
      <c r="AH1185" s="3">
        <v>0</v>
      </c>
      <c r="AI1185" s="3">
        <v>0</v>
      </c>
      <c r="AJ1185" s="3">
        <v>1</v>
      </c>
      <c r="AK1185" s="3">
        <v>1</v>
      </c>
      <c r="AL1185" s="3">
        <v>1</v>
      </c>
      <c r="AM1185" s="3">
        <v>1</v>
      </c>
      <c r="AN1185" s="3">
        <v>0</v>
      </c>
      <c r="AO1185" s="3">
        <v>0</v>
      </c>
      <c r="AP1185" s="3">
        <v>0</v>
      </c>
      <c r="AQ1185" s="3">
        <v>0</v>
      </c>
      <c r="AR1185" s="2" t="s">
        <v>5</v>
      </c>
      <c r="AS1185" s="2" t="s">
        <v>46</v>
      </c>
      <c r="AT1185" s="5" t="str">
        <f>HYPERLINK("http://catalog.hathitrust.org/Record/007395345","HathiTrust Record")</f>
        <v>HathiTrust Record</v>
      </c>
      <c r="AU1185" s="5" t="str">
        <f>HYPERLINK("https://creighton-primo.hosted.exlibrisgroup.com/primo-explore/search?tab=default_tab&amp;search_scope=EVERYTHING&amp;vid=01CRU&amp;lang=en_US&amp;offset=0&amp;query=any,contains,991004342619702656","Catalog Record")</f>
        <v>Catalog Record</v>
      </c>
      <c r="AV1185" s="5" t="str">
        <f>HYPERLINK("http://www.worldcat.org/oclc/1303601","WorldCat Record")</f>
        <v>WorldCat Record</v>
      </c>
      <c r="AW1185" s="2" t="s">
        <v>14607</v>
      </c>
      <c r="AX1185" s="2" t="s">
        <v>14608</v>
      </c>
      <c r="AY1185" s="2" t="s">
        <v>14609</v>
      </c>
      <c r="AZ1185" s="2" t="s">
        <v>14609</v>
      </c>
      <c r="BA1185" s="2" t="s">
        <v>14610</v>
      </c>
      <c r="BB1185" s="2" t="s">
        <v>20</v>
      </c>
      <c r="BE1185" s="2" t="s">
        <v>14611</v>
      </c>
      <c r="BF1185" s="2" t="s">
        <v>14612</v>
      </c>
    </row>
    <row r="1186" spans="1:58" ht="39.75" customHeight="1" x14ac:dyDescent="0.25">
      <c r="A1186" s="7" t="s">
        <v>5</v>
      </c>
      <c r="B1186" s="1" t="s">
        <v>0</v>
      </c>
      <c r="C1186" s="1" t="s">
        <v>1</v>
      </c>
      <c r="D1186" s="1" t="s">
        <v>14613</v>
      </c>
      <c r="E1186" s="1" t="s">
        <v>14614</v>
      </c>
      <c r="F1186" s="1" t="s">
        <v>14615</v>
      </c>
      <c r="H1186" s="2" t="s">
        <v>5</v>
      </c>
      <c r="I1186" s="2" t="s">
        <v>6</v>
      </c>
      <c r="J1186" s="2" t="s">
        <v>5</v>
      </c>
      <c r="K1186" s="2" t="s">
        <v>5</v>
      </c>
      <c r="L1186" s="2" t="s">
        <v>7</v>
      </c>
      <c r="M1186" s="1" t="s">
        <v>9694</v>
      </c>
      <c r="N1186" s="1" t="s">
        <v>14616</v>
      </c>
      <c r="O1186" s="2" t="s">
        <v>736</v>
      </c>
      <c r="Q1186" s="2" t="s">
        <v>1151</v>
      </c>
      <c r="R1186" s="2" t="s">
        <v>4146</v>
      </c>
      <c r="T1186" s="2" t="s">
        <v>13</v>
      </c>
      <c r="U1186" s="3">
        <v>1</v>
      </c>
      <c r="V1186" s="3">
        <v>1</v>
      </c>
      <c r="W1186" s="4" t="s">
        <v>11744</v>
      </c>
      <c r="X1186" s="4" t="s">
        <v>11744</v>
      </c>
      <c r="Y1186" s="4" t="s">
        <v>11744</v>
      </c>
      <c r="Z1186" s="4" t="s">
        <v>11744</v>
      </c>
      <c r="AA1186" s="3">
        <v>54</v>
      </c>
      <c r="AB1186" s="3">
        <v>51</v>
      </c>
      <c r="AC1186" s="3">
        <v>53</v>
      </c>
      <c r="AD1186" s="3">
        <v>1</v>
      </c>
      <c r="AE1186" s="9">
        <v>1</v>
      </c>
      <c r="AF1186" s="9">
        <v>2</v>
      </c>
      <c r="AG1186" s="9">
        <v>2</v>
      </c>
      <c r="AH1186" s="3">
        <v>1</v>
      </c>
      <c r="AI1186" s="3">
        <v>1</v>
      </c>
      <c r="AJ1186" s="3">
        <v>1</v>
      </c>
      <c r="AK1186" s="3">
        <v>1</v>
      </c>
      <c r="AL1186" s="3">
        <v>1</v>
      </c>
      <c r="AM1186" s="3">
        <v>1</v>
      </c>
      <c r="AN1186" s="3">
        <v>0</v>
      </c>
      <c r="AO1186" s="3">
        <v>0</v>
      </c>
      <c r="AP1186" s="3">
        <v>0</v>
      </c>
      <c r="AQ1186" s="3">
        <v>0</v>
      </c>
      <c r="AR1186" s="2" t="s">
        <v>5</v>
      </c>
      <c r="AS1186" s="2" t="s">
        <v>46</v>
      </c>
      <c r="AT1186" s="5" t="str">
        <f>HYPERLINK("http://catalog.hathitrust.org/Record/101163438","HathiTrust Record")</f>
        <v>HathiTrust Record</v>
      </c>
      <c r="AU1186" s="5" t="str">
        <f>HYPERLINK("https://creighton-primo.hosted.exlibrisgroup.com/primo-explore/search?tab=default_tab&amp;search_scope=EVERYTHING&amp;vid=01CRU&amp;lang=en_US&amp;offset=0&amp;query=any,contains,991003818639702656","Catalog Record")</f>
        <v>Catalog Record</v>
      </c>
      <c r="AV1186" s="5" t="str">
        <f>HYPERLINK("http://www.worldcat.org/oclc/25423447","WorldCat Record")</f>
        <v>WorldCat Record</v>
      </c>
      <c r="AW1186" s="2" t="s">
        <v>14617</v>
      </c>
      <c r="AX1186" s="2" t="s">
        <v>14618</v>
      </c>
      <c r="AY1186" s="2" t="s">
        <v>14619</v>
      </c>
      <c r="AZ1186" s="2" t="s">
        <v>14619</v>
      </c>
      <c r="BA1186" s="2" t="s">
        <v>14620</v>
      </c>
      <c r="BB1186" s="2" t="s">
        <v>20</v>
      </c>
      <c r="BD1186" s="2" t="s">
        <v>14621</v>
      </c>
      <c r="BE1186" s="2" t="s">
        <v>14622</v>
      </c>
      <c r="BF1186" s="2" t="s">
        <v>14623</v>
      </c>
    </row>
    <row r="1187" spans="1:58" ht="39.75" customHeight="1" x14ac:dyDescent="0.25">
      <c r="A1187" s="7" t="s">
        <v>5</v>
      </c>
      <c r="B1187" s="1" t="s">
        <v>0</v>
      </c>
      <c r="C1187" s="1" t="s">
        <v>1</v>
      </c>
      <c r="D1187" s="1" t="s">
        <v>14624</v>
      </c>
      <c r="E1187" s="1" t="s">
        <v>14625</v>
      </c>
      <c r="F1187" s="1" t="s">
        <v>14626</v>
      </c>
      <c r="H1187" s="2" t="s">
        <v>5</v>
      </c>
      <c r="I1187" s="2" t="s">
        <v>6</v>
      </c>
      <c r="J1187" s="2" t="s">
        <v>5</v>
      </c>
      <c r="K1187" s="2" t="s">
        <v>5</v>
      </c>
      <c r="L1187" s="2" t="s">
        <v>7</v>
      </c>
      <c r="M1187" s="1" t="s">
        <v>14627</v>
      </c>
      <c r="N1187" s="1" t="s">
        <v>14628</v>
      </c>
      <c r="O1187" s="2" t="s">
        <v>452</v>
      </c>
      <c r="Q1187" s="2" t="s">
        <v>1151</v>
      </c>
      <c r="R1187" s="2" t="s">
        <v>4146</v>
      </c>
      <c r="T1187" s="2" t="s">
        <v>13</v>
      </c>
      <c r="U1187" s="3">
        <v>1</v>
      </c>
      <c r="V1187" s="3">
        <v>1</v>
      </c>
      <c r="W1187" s="4" t="s">
        <v>11579</v>
      </c>
      <c r="X1187" s="4" t="s">
        <v>11579</v>
      </c>
      <c r="Y1187" s="4" t="s">
        <v>11579</v>
      </c>
      <c r="Z1187" s="4" t="s">
        <v>11579</v>
      </c>
      <c r="AA1187" s="3">
        <v>26</v>
      </c>
      <c r="AB1187" s="3">
        <v>25</v>
      </c>
      <c r="AC1187" s="3">
        <v>31</v>
      </c>
      <c r="AD1187" s="3">
        <v>1</v>
      </c>
      <c r="AE1187" s="9">
        <v>1</v>
      </c>
      <c r="AF1187" s="9">
        <v>1</v>
      </c>
      <c r="AG1187" s="9">
        <v>2</v>
      </c>
      <c r="AH1187" s="3">
        <v>0</v>
      </c>
      <c r="AI1187" s="3">
        <v>0</v>
      </c>
      <c r="AJ1187" s="3">
        <v>0</v>
      </c>
      <c r="AK1187" s="3">
        <v>1</v>
      </c>
      <c r="AL1187" s="3">
        <v>1</v>
      </c>
      <c r="AM1187" s="3">
        <v>2</v>
      </c>
      <c r="AN1187" s="3">
        <v>0</v>
      </c>
      <c r="AO1187" s="3">
        <v>0</v>
      </c>
      <c r="AP1187" s="3">
        <v>0</v>
      </c>
      <c r="AQ1187" s="3">
        <v>0</v>
      </c>
      <c r="AR1187" s="2" t="s">
        <v>5</v>
      </c>
      <c r="AS1187" s="2" t="s">
        <v>5</v>
      </c>
      <c r="AU1187" s="5" t="str">
        <f>HYPERLINK("https://creighton-primo.hosted.exlibrisgroup.com/primo-explore/search?tab=default_tab&amp;search_scope=EVERYTHING&amp;vid=01CRU&amp;lang=en_US&amp;offset=0&amp;query=any,contains,991004342169702656","Catalog Record")</f>
        <v>Catalog Record</v>
      </c>
      <c r="AV1187" s="5" t="str">
        <f>HYPERLINK("http://www.worldcat.org/oclc/36963970","WorldCat Record")</f>
        <v>WorldCat Record</v>
      </c>
      <c r="AW1187" s="2" t="s">
        <v>14629</v>
      </c>
      <c r="AX1187" s="2" t="s">
        <v>14630</v>
      </c>
      <c r="AY1187" s="2" t="s">
        <v>14631</v>
      </c>
      <c r="AZ1187" s="2" t="s">
        <v>14631</v>
      </c>
      <c r="BA1187" s="2" t="s">
        <v>14632</v>
      </c>
      <c r="BB1187" s="2" t="s">
        <v>20</v>
      </c>
      <c r="BD1187" s="2" t="s">
        <v>14633</v>
      </c>
      <c r="BE1187" s="2" t="s">
        <v>14634</v>
      </c>
      <c r="BF1187" s="2" t="s">
        <v>14635</v>
      </c>
    </row>
    <row r="1188" spans="1:58" ht="39.75" customHeight="1" x14ac:dyDescent="0.25">
      <c r="A1188" s="7" t="s">
        <v>5</v>
      </c>
      <c r="B1188" s="1" t="s">
        <v>0</v>
      </c>
      <c r="C1188" s="1" t="s">
        <v>1</v>
      </c>
      <c r="D1188" s="1" t="s">
        <v>14636</v>
      </c>
      <c r="E1188" s="1" t="s">
        <v>14637</v>
      </c>
      <c r="F1188" s="1" t="s">
        <v>14638</v>
      </c>
      <c r="H1188" s="2" t="s">
        <v>5</v>
      </c>
      <c r="I1188" s="2" t="s">
        <v>6</v>
      </c>
      <c r="J1188" s="2" t="s">
        <v>5</v>
      </c>
      <c r="K1188" s="2" t="s">
        <v>5</v>
      </c>
      <c r="L1188" s="2" t="s">
        <v>7</v>
      </c>
      <c r="M1188" s="1" t="s">
        <v>14639</v>
      </c>
      <c r="N1188" s="1" t="s">
        <v>14640</v>
      </c>
      <c r="O1188" s="2" t="s">
        <v>901</v>
      </c>
      <c r="Q1188" s="2" t="s">
        <v>1151</v>
      </c>
      <c r="R1188" s="2" t="s">
        <v>4146</v>
      </c>
      <c r="S1188" s="1" t="s">
        <v>14641</v>
      </c>
      <c r="T1188" s="2" t="s">
        <v>13</v>
      </c>
      <c r="U1188" s="3">
        <v>1</v>
      </c>
      <c r="V1188" s="3">
        <v>1</v>
      </c>
      <c r="W1188" s="4" t="s">
        <v>13088</v>
      </c>
      <c r="X1188" s="4" t="s">
        <v>13088</v>
      </c>
      <c r="Y1188" s="4" t="s">
        <v>13088</v>
      </c>
      <c r="Z1188" s="4" t="s">
        <v>13088</v>
      </c>
      <c r="AA1188" s="3">
        <v>139</v>
      </c>
      <c r="AB1188" s="3">
        <v>118</v>
      </c>
      <c r="AC1188" s="3">
        <v>121</v>
      </c>
      <c r="AD1188" s="3">
        <v>3</v>
      </c>
      <c r="AE1188" s="9">
        <v>3</v>
      </c>
      <c r="AF1188" s="9">
        <v>7</v>
      </c>
      <c r="AG1188" s="9">
        <v>7</v>
      </c>
      <c r="AH1188" s="3">
        <v>0</v>
      </c>
      <c r="AI1188" s="3">
        <v>0</v>
      </c>
      <c r="AJ1188" s="3">
        <v>2</v>
      </c>
      <c r="AK1188" s="3">
        <v>2</v>
      </c>
      <c r="AL1188" s="3">
        <v>4</v>
      </c>
      <c r="AM1188" s="3">
        <v>4</v>
      </c>
      <c r="AN1188" s="3">
        <v>2</v>
      </c>
      <c r="AO1188" s="3">
        <v>2</v>
      </c>
      <c r="AP1188" s="3">
        <v>0</v>
      </c>
      <c r="AQ1188" s="3">
        <v>0</v>
      </c>
      <c r="AR1188" s="2" t="s">
        <v>5</v>
      </c>
      <c r="AS1188" s="2" t="s">
        <v>46</v>
      </c>
      <c r="AT1188" s="5" t="str">
        <f>HYPERLINK("http://catalog.hathitrust.org/Record/001049032","HathiTrust Record")</f>
        <v>HathiTrust Record</v>
      </c>
      <c r="AU1188" s="5" t="str">
        <f>HYPERLINK("https://creighton-primo.hosted.exlibrisgroup.com/primo-explore/search?tab=default_tab&amp;search_scope=EVERYTHING&amp;vid=01CRU&amp;lang=en_US&amp;offset=0&amp;query=any,contains,991003829389702656","Catalog Record")</f>
        <v>Catalog Record</v>
      </c>
      <c r="AV1188" s="5" t="str">
        <f>HYPERLINK("http://www.worldcat.org/oclc/2569740","WorldCat Record")</f>
        <v>WorldCat Record</v>
      </c>
      <c r="AW1188" s="2" t="s">
        <v>14642</v>
      </c>
      <c r="AX1188" s="2" t="s">
        <v>14643</v>
      </c>
      <c r="AY1188" s="2" t="s">
        <v>14644</v>
      </c>
      <c r="AZ1188" s="2" t="s">
        <v>14644</v>
      </c>
      <c r="BA1188" s="2" t="s">
        <v>14645</v>
      </c>
      <c r="BB1188" s="2" t="s">
        <v>20</v>
      </c>
      <c r="BE1188" s="2" t="s">
        <v>14646</v>
      </c>
      <c r="BF1188" s="2" t="s">
        <v>14647</v>
      </c>
    </row>
    <row r="1189" spans="1:58" ht="39.75" customHeight="1" x14ac:dyDescent="0.25">
      <c r="A1189" s="7" t="s">
        <v>5</v>
      </c>
      <c r="B1189" s="1" t="s">
        <v>0</v>
      </c>
      <c r="C1189" s="1" t="s">
        <v>1</v>
      </c>
      <c r="D1189" s="1" t="s">
        <v>14648</v>
      </c>
      <c r="E1189" s="1" t="s">
        <v>14649</v>
      </c>
      <c r="F1189" s="1" t="s">
        <v>14650</v>
      </c>
      <c r="H1189" s="2" t="s">
        <v>5</v>
      </c>
      <c r="I1189" s="2" t="s">
        <v>6</v>
      </c>
      <c r="J1189" s="2" t="s">
        <v>5</v>
      </c>
      <c r="K1189" s="2" t="s">
        <v>5</v>
      </c>
      <c r="L1189" s="2" t="s">
        <v>7</v>
      </c>
      <c r="M1189" s="1" t="s">
        <v>14639</v>
      </c>
      <c r="N1189" s="1" t="s">
        <v>14651</v>
      </c>
      <c r="O1189" s="2" t="s">
        <v>2859</v>
      </c>
      <c r="P1189" s="1" t="s">
        <v>14652</v>
      </c>
      <c r="Q1189" s="2" t="s">
        <v>1151</v>
      </c>
      <c r="R1189" s="2" t="s">
        <v>4146</v>
      </c>
      <c r="T1189" s="2" t="s">
        <v>13</v>
      </c>
      <c r="U1189" s="3">
        <v>3</v>
      </c>
      <c r="V1189" s="3">
        <v>3</v>
      </c>
      <c r="W1189" s="4" t="s">
        <v>6036</v>
      </c>
      <c r="X1189" s="4" t="s">
        <v>6036</v>
      </c>
      <c r="Y1189" s="4" t="s">
        <v>6036</v>
      </c>
      <c r="Z1189" s="4" t="s">
        <v>6036</v>
      </c>
      <c r="AA1189" s="3">
        <v>65</v>
      </c>
      <c r="AB1189" s="3">
        <v>52</v>
      </c>
      <c r="AC1189" s="3">
        <v>129</v>
      </c>
      <c r="AD1189" s="3">
        <v>1</v>
      </c>
      <c r="AE1189" s="9">
        <v>1</v>
      </c>
      <c r="AF1189" s="9">
        <v>2</v>
      </c>
      <c r="AG1189" s="9">
        <v>6</v>
      </c>
      <c r="AH1189" s="3">
        <v>1</v>
      </c>
      <c r="AI1189" s="3">
        <v>3</v>
      </c>
      <c r="AJ1189" s="3">
        <v>2</v>
      </c>
      <c r="AK1189" s="3">
        <v>4</v>
      </c>
      <c r="AL1189" s="3">
        <v>0</v>
      </c>
      <c r="AM1189" s="3">
        <v>1</v>
      </c>
      <c r="AN1189" s="3">
        <v>0</v>
      </c>
      <c r="AO1189" s="3">
        <v>0</v>
      </c>
      <c r="AP1189" s="3">
        <v>0</v>
      </c>
      <c r="AQ1189" s="3">
        <v>0</v>
      </c>
      <c r="AR1189" s="2" t="s">
        <v>5</v>
      </c>
      <c r="AS1189" s="2" t="s">
        <v>5</v>
      </c>
      <c r="AU1189" s="5" t="str">
        <f>HYPERLINK("https://creighton-primo.hosted.exlibrisgroup.com/primo-explore/search?tab=default_tab&amp;search_scope=EVERYTHING&amp;vid=01CRU&amp;lang=en_US&amp;offset=0&amp;query=any,contains,991004334009702656","Catalog Record")</f>
        <v>Catalog Record</v>
      </c>
      <c r="AV1189" s="5" t="str">
        <f>HYPERLINK("http://www.worldcat.org/oclc/12495782","WorldCat Record")</f>
        <v>WorldCat Record</v>
      </c>
      <c r="AW1189" s="2" t="s">
        <v>14653</v>
      </c>
      <c r="AX1189" s="2" t="s">
        <v>14654</v>
      </c>
      <c r="AY1189" s="2" t="s">
        <v>14655</v>
      </c>
      <c r="AZ1189" s="2" t="s">
        <v>14655</v>
      </c>
      <c r="BA1189" s="2" t="s">
        <v>14656</v>
      </c>
      <c r="BB1189" s="2" t="s">
        <v>20</v>
      </c>
      <c r="BE1189" s="2" t="s">
        <v>14657</v>
      </c>
      <c r="BF1189" s="2" t="s">
        <v>14658</v>
      </c>
    </row>
    <row r="1190" spans="1:58" ht="39.75" customHeight="1" x14ac:dyDescent="0.25">
      <c r="A1190" s="7" t="s">
        <v>5</v>
      </c>
      <c r="B1190" s="1" t="s">
        <v>0</v>
      </c>
      <c r="C1190" s="1" t="s">
        <v>1</v>
      </c>
      <c r="D1190" s="1" t="s">
        <v>14659</v>
      </c>
      <c r="E1190" s="1" t="s">
        <v>14660</v>
      </c>
      <c r="F1190" s="1" t="s">
        <v>14661</v>
      </c>
      <c r="H1190" s="2" t="s">
        <v>5</v>
      </c>
      <c r="I1190" s="2" t="s">
        <v>6</v>
      </c>
      <c r="J1190" s="2" t="s">
        <v>5</v>
      </c>
      <c r="K1190" s="2" t="s">
        <v>46</v>
      </c>
      <c r="L1190" s="2" t="s">
        <v>7</v>
      </c>
      <c r="M1190" s="1" t="s">
        <v>10265</v>
      </c>
      <c r="N1190" s="1" t="s">
        <v>14662</v>
      </c>
      <c r="O1190" s="2" t="s">
        <v>42</v>
      </c>
      <c r="P1190" s="1" t="s">
        <v>14663</v>
      </c>
      <c r="Q1190" s="2" t="s">
        <v>1151</v>
      </c>
      <c r="R1190" s="2" t="s">
        <v>4146</v>
      </c>
      <c r="T1190" s="2" t="s">
        <v>13</v>
      </c>
      <c r="U1190" s="3">
        <v>1</v>
      </c>
      <c r="V1190" s="3">
        <v>1</v>
      </c>
      <c r="W1190" s="4" t="s">
        <v>14664</v>
      </c>
      <c r="X1190" s="4" t="s">
        <v>14664</v>
      </c>
      <c r="Y1190" s="4" t="s">
        <v>9131</v>
      </c>
      <c r="Z1190" s="4" t="s">
        <v>9131</v>
      </c>
      <c r="AA1190" s="3">
        <v>67</v>
      </c>
      <c r="AB1190" s="3">
        <v>57</v>
      </c>
      <c r="AC1190" s="3">
        <v>70</v>
      </c>
      <c r="AD1190" s="3">
        <v>1</v>
      </c>
      <c r="AE1190" s="9">
        <v>1</v>
      </c>
      <c r="AF1190" s="9">
        <v>3</v>
      </c>
      <c r="AG1190" s="9">
        <v>3</v>
      </c>
      <c r="AH1190" s="3">
        <v>1</v>
      </c>
      <c r="AI1190" s="3">
        <v>1</v>
      </c>
      <c r="AJ1190" s="3">
        <v>1</v>
      </c>
      <c r="AK1190" s="3">
        <v>1</v>
      </c>
      <c r="AL1190" s="3">
        <v>3</v>
      </c>
      <c r="AM1190" s="3">
        <v>3</v>
      </c>
      <c r="AN1190" s="3">
        <v>0</v>
      </c>
      <c r="AO1190" s="3">
        <v>0</v>
      </c>
      <c r="AP1190" s="3">
        <v>0</v>
      </c>
      <c r="AQ1190" s="3">
        <v>0</v>
      </c>
      <c r="AR1190" s="2" t="s">
        <v>5</v>
      </c>
      <c r="AS1190" s="2" t="s">
        <v>5</v>
      </c>
      <c r="AU1190" s="5" t="str">
        <f>HYPERLINK("https://creighton-primo.hosted.exlibrisgroup.com/primo-explore/search?tab=default_tab&amp;search_scope=EVERYTHING&amp;vid=01CRU&amp;lang=en_US&amp;offset=0&amp;query=any,contains,991003730359702656","Catalog Record")</f>
        <v>Catalog Record</v>
      </c>
      <c r="AV1190" s="5" t="str">
        <f>HYPERLINK("http://www.worldcat.org/oclc/23089781","WorldCat Record")</f>
        <v>WorldCat Record</v>
      </c>
      <c r="AW1190" s="2" t="s">
        <v>14665</v>
      </c>
      <c r="AX1190" s="2" t="s">
        <v>14666</v>
      </c>
      <c r="AY1190" s="2" t="s">
        <v>14667</v>
      </c>
      <c r="AZ1190" s="2" t="s">
        <v>14667</v>
      </c>
      <c r="BA1190" s="2" t="s">
        <v>14668</v>
      </c>
      <c r="BB1190" s="2" t="s">
        <v>20</v>
      </c>
      <c r="BD1190" s="2" t="s">
        <v>14669</v>
      </c>
      <c r="BE1190" s="2" t="s">
        <v>14670</v>
      </c>
      <c r="BF1190" s="2" t="s">
        <v>14671</v>
      </c>
    </row>
    <row r="1191" spans="1:58" ht="39.75" customHeight="1" x14ac:dyDescent="0.25">
      <c r="A1191" s="7" t="s">
        <v>5</v>
      </c>
      <c r="B1191" s="1" t="s">
        <v>0</v>
      </c>
      <c r="C1191" s="1" t="s">
        <v>1</v>
      </c>
      <c r="D1191" s="1" t="s">
        <v>14672</v>
      </c>
      <c r="E1191" s="1" t="s">
        <v>14673</v>
      </c>
      <c r="F1191" s="1" t="s">
        <v>14661</v>
      </c>
      <c r="H1191" s="2" t="s">
        <v>5</v>
      </c>
      <c r="I1191" s="2" t="s">
        <v>6</v>
      </c>
      <c r="J1191" s="2" t="s">
        <v>5</v>
      </c>
      <c r="K1191" s="2" t="s">
        <v>46</v>
      </c>
      <c r="L1191" s="2" t="s">
        <v>7</v>
      </c>
      <c r="M1191" s="1" t="s">
        <v>10265</v>
      </c>
      <c r="N1191" s="1" t="s">
        <v>14674</v>
      </c>
      <c r="O1191" s="2" t="s">
        <v>736</v>
      </c>
      <c r="P1191" s="1" t="s">
        <v>5373</v>
      </c>
      <c r="Q1191" s="2" t="s">
        <v>1151</v>
      </c>
      <c r="R1191" s="2" t="s">
        <v>4146</v>
      </c>
      <c r="S1191" s="1" t="s">
        <v>9773</v>
      </c>
      <c r="T1191" s="2" t="s">
        <v>13</v>
      </c>
      <c r="U1191" s="3">
        <v>4</v>
      </c>
      <c r="V1191" s="3">
        <v>4</v>
      </c>
      <c r="W1191" s="4" t="s">
        <v>4481</v>
      </c>
      <c r="X1191" s="4" t="s">
        <v>4481</v>
      </c>
      <c r="Y1191" s="4" t="s">
        <v>5361</v>
      </c>
      <c r="Z1191" s="4" t="s">
        <v>5361</v>
      </c>
      <c r="AA1191" s="3">
        <v>20</v>
      </c>
      <c r="AB1191" s="3">
        <v>14</v>
      </c>
      <c r="AC1191" s="3">
        <v>70</v>
      </c>
      <c r="AD1191" s="3">
        <v>1</v>
      </c>
      <c r="AE1191" s="9">
        <v>1</v>
      </c>
      <c r="AF1191" s="9">
        <v>0</v>
      </c>
      <c r="AG1191" s="9">
        <v>3</v>
      </c>
      <c r="AH1191" s="3">
        <v>0</v>
      </c>
      <c r="AI1191" s="3">
        <v>1</v>
      </c>
      <c r="AJ1191" s="3">
        <v>0</v>
      </c>
      <c r="AK1191" s="3">
        <v>1</v>
      </c>
      <c r="AL1191" s="3">
        <v>0</v>
      </c>
      <c r="AM1191" s="3">
        <v>3</v>
      </c>
      <c r="AN1191" s="3">
        <v>0</v>
      </c>
      <c r="AO1191" s="3">
        <v>0</v>
      </c>
      <c r="AP1191" s="3">
        <v>0</v>
      </c>
      <c r="AQ1191" s="3">
        <v>0</v>
      </c>
      <c r="AR1191" s="2" t="s">
        <v>5</v>
      </c>
      <c r="AS1191" s="2" t="s">
        <v>5</v>
      </c>
      <c r="AU1191" s="5" t="str">
        <f>HYPERLINK("https://creighton-primo.hosted.exlibrisgroup.com/primo-explore/search?tab=default_tab&amp;search_scope=EVERYTHING&amp;vid=01CRU&amp;lang=en_US&amp;offset=0&amp;query=any,contains,991002090929702656","Catalog Record")</f>
        <v>Catalog Record</v>
      </c>
      <c r="AV1191" s="5" t="str">
        <f>HYPERLINK("http://www.worldcat.org/oclc/26821860","WorldCat Record")</f>
        <v>WorldCat Record</v>
      </c>
      <c r="AW1191" s="2" t="s">
        <v>14665</v>
      </c>
      <c r="AX1191" s="2" t="s">
        <v>14675</v>
      </c>
      <c r="AY1191" s="2" t="s">
        <v>14676</v>
      </c>
      <c r="AZ1191" s="2" t="s">
        <v>14676</v>
      </c>
      <c r="BA1191" s="2" t="s">
        <v>14677</v>
      </c>
      <c r="BB1191" s="2" t="s">
        <v>20</v>
      </c>
      <c r="BD1191" s="2" t="s">
        <v>14669</v>
      </c>
      <c r="BE1191" s="2" t="s">
        <v>14678</v>
      </c>
      <c r="BF1191" s="2" t="s">
        <v>14679</v>
      </c>
    </row>
    <row r="1192" spans="1:58" ht="39.75" customHeight="1" x14ac:dyDescent="0.25">
      <c r="A1192" s="7" t="s">
        <v>5</v>
      </c>
      <c r="B1192" s="1" t="s">
        <v>0</v>
      </c>
      <c r="C1192" s="1" t="s">
        <v>1</v>
      </c>
      <c r="D1192" s="1" t="s">
        <v>14680</v>
      </c>
      <c r="E1192" s="1" t="s">
        <v>14681</v>
      </c>
      <c r="F1192" s="1" t="s">
        <v>14682</v>
      </c>
      <c r="H1192" s="2" t="s">
        <v>5</v>
      </c>
      <c r="I1192" s="2" t="s">
        <v>6</v>
      </c>
      <c r="J1192" s="2" t="s">
        <v>5</v>
      </c>
      <c r="K1192" s="2" t="s">
        <v>5</v>
      </c>
      <c r="L1192" s="2" t="s">
        <v>7</v>
      </c>
      <c r="M1192" s="1" t="s">
        <v>9821</v>
      </c>
      <c r="N1192" s="1" t="s">
        <v>14683</v>
      </c>
      <c r="O1192" s="2" t="s">
        <v>639</v>
      </c>
      <c r="Q1192" s="2" t="s">
        <v>1151</v>
      </c>
      <c r="R1192" s="2" t="s">
        <v>4146</v>
      </c>
      <c r="S1192" s="1" t="s">
        <v>14684</v>
      </c>
      <c r="T1192" s="2" t="s">
        <v>13</v>
      </c>
      <c r="U1192" s="3">
        <v>1</v>
      </c>
      <c r="V1192" s="3">
        <v>1</v>
      </c>
      <c r="W1192" s="4" t="s">
        <v>6036</v>
      </c>
      <c r="X1192" s="4" t="s">
        <v>6036</v>
      </c>
      <c r="Y1192" s="4" t="s">
        <v>6036</v>
      </c>
      <c r="Z1192" s="4" t="s">
        <v>6036</v>
      </c>
      <c r="AA1192" s="3">
        <v>23</v>
      </c>
      <c r="AB1192" s="3">
        <v>20</v>
      </c>
      <c r="AC1192" s="3">
        <v>22</v>
      </c>
      <c r="AD1192" s="3">
        <v>1</v>
      </c>
      <c r="AE1192" s="9">
        <v>1</v>
      </c>
      <c r="AF1192" s="9">
        <v>0</v>
      </c>
      <c r="AG1192" s="9">
        <v>0</v>
      </c>
      <c r="AH1192" s="3">
        <v>0</v>
      </c>
      <c r="AI1192" s="3">
        <v>0</v>
      </c>
      <c r="AJ1192" s="3">
        <v>0</v>
      </c>
      <c r="AK1192" s="3">
        <v>0</v>
      </c>
      <c r="AL1192" s="3">
        <v>0</v>
      </c>
      <c r="AM1192" s="3">
        <v>0</v>
      </c>
      <c r="AN1192" s="3">
        <v>0</v>
      </c>
      <c r="AO1192" s="3">
        <v>0</v>
      </c>
      <c r="AP1192" s="3">
        <v>0</v>
      </c>
      <c r="AQ1192" s="3">
        <v>0</v>
      </c>
      <c r="AR1192" s="2" t="s">
        <v>5</v>
      </c>
      <c r="AS1192" s="2" t="s">
        <v>46</v>
      </c>
      <c r="AT1192" s="5" t="str">
        <f>HYPERLINK("http://catalog.hathitrust.org/Record/010127741","HathiTrust Record")</f>
        <v>HathiTrust Record</v>
      </c>
      <c r="AU1192" s="5" t="str">
        <f>HYPERLINK("https://creighton-primo.hosted.exlibrisgroup.com/primo-explore/search?tab=default_tab&amp;search_scope=EVERYTHING&amp;vid=01CRU&amp;lang=en_US&amp;offset=0&amp;query=any,contains,991004335289702656","Catalog Record")</f>
        <v>Catalog Record</v>
      </c>
      <c r="AV1192" s="5" t="str">
        <f>HYPERLINK("http://www.worldcat.org/oclc/22656774","WorldCat Record")</f>
        <v>WorldCat Record</v>
      </c>
      <c r="AW1192" s="2" t="s">
        <v>14685</v>
      </c>
      <c r="AX1192" s="2" t="s">
        <v>14686</v>
      </c>
      <c r="AY1192" s="2" t="s">
        <v>14687</v>
      </c>
      <c r="AZ1192" s="2" t="s">
        <v>14687</v>
      </c>
      <c r="BA1192" s="2" t="s">
        <v>14688</v>
      </c>
      <c r="BB1192" s="2" t="s">
        <v>20</v>
      </c>
      <c r="BD1192" s="2" t="s">
        <v>14689</v>
      </c>
      <c r="BE1192" s="2" t="s">
        <v>14690</v>
      </c>
      <c r="BF1192" s="2" t="s">
        <v>14691</v>
      </c>
    </row>
    <row r="1193" spans="1:58" ht="39.75" customHeight="1" x14ac:dyDescent="0.25">
      <c r="A1193" s="7" t="s">
        <v>5</v>
      </c>
      <c r="B1193" s="1" t="s">
        <v>0</v>
      </c>
      <c r="C1193" s="1" t="s">
        <v>1</v>
      </c>
      <c r="D1193" s="1" t="s">
        <v>14692</v>
      </c>
      <c r="E1193" s="1" t="s">
        <v>14693</v>
      </c>
      <c r="F1193" s="1" t="s">
        <v>14694</v>
      </c>
      <c r="H1193" s="2" t="s">
        <v>5</v>
      </c>
      <c r="I1193" s="2" t="s">
        <v>6</v>
      </c>
      <c r="J1193" s="2" t="s">
        <v>5</v>
      </c>
      <c r="K1193" s="2" t="s">
        <v>5</v>
      </c>
      <c r="L1193" s="2" t="s">
        <v>7</v>
      </c>
      <c r="M1193" s="1" t="s">
        <v>14695</v>
      </c>
      <c r="N1193" s="1" t="s">
        <v>14696</v>
      </c>
      <c r="O1193" s="2" t="s">
        <v>392</v>
      </c>
      <c r="Q1193" s="2" t="s">
        <v>1151</v>
      </c>
      <c r="R1193" s="2" t="s">
        <v>4146</v>
      </c>
      <c r="S1193" s="1" t="s">
        <v>14697</v>
      </c>
      <c r="T1193" s="2" t="s">
        <v>13</v>
      </c>
      <c r="U1193" s="3">
        <v>1</v>
      </c>
      <c r="V1193" s="3">
        <v>1</v>
      </c>
      <c r="W1193" s="4" t="s">
        <v>8972</v>
      </c>
      <c r="X1193" s="4" t="s">
        <v>8972</v>
      </c>
      <c r="Y1193" s="4" t="s">
        <v>8972</v>
      </c>
      <c r="Z1193" s="4" t="s">
        <v>8972</v>
      </c>
      <c r="AA1193" s="3">
        <v>37</v>
      </c>
      <c r="AB1193" s="3">
        <v>35</v>
      </c>
      <c r="AC1193" s="3">
        <v>42</v>
      </c>
      <c r="AD1193" s="3">
        <v>2</v>
      </c>
      <c r="AE1193" s="9">
        <v>2</v>
      </c>
      <c r="AF1193" s="9">
        <v>2</v>
      </c>
      <c r="AG1193" s="9">
        <v>2</v>
      </c>
      <c r="AH1193" s="3">
        <v>0</v>
      </c>
      <c r="AI1193" s="3">
        <v>0</v>
      </c>
      <c r="AJ1193" s="3">
        <v>1</v>
      </c>
      <c r="AK1193" s="3">
        <v>1</v>
      </c>
      <c r="AL1193" s="3">
        <v>0</v>
      </c>
      <c r="AM1193" s="3">
        <v>0</v>
      </c>
      <c r="AN1193" s="3">
        <v>1</v>
      </c>
      <c r="AO1193" s="3">
        <v>1</v>
      </c>
      <c r="AP1193" s="3">
        <v>0</v>
      </c>
      <c r="AQ1193" s="3">
        <v>0</v>
      </c>
      <c r="AR1193" s="2" t="s">
        <v>5</v>
      </c>
      <c r="AS1193" s="2" t="s">
        <v>46</v>
      </c>
      <c r="AT1193" s="5" t="str">
        <f>HYPERLINK("http://catalog.hathitrust.org/Record/009005939","HathiTrust Record")</f>
        <v>HathiTrust Record</v>
      </c>
      <c r="AU1193" s="5" t="str">
        <f>HYPERLINK("https://creighton-primo.hosted.exlibrisgroup.com/primo-explore/search?tab=default_tab&amp;search_scope=EVERYTHING&amp;vid=01CRU&amp;lang=en_US&amp;offset=0&amp;query=any,contains,991003870069702656","Catalog Record")</f>
        <v>Catalog Record</v>
      </c>
      <c r="AV1193" s="5" t="str">
        <f>HYPERLINK("http://www.worldcat.org/oclc/1353840","WorldCat Record")</f>
        <v>WorldCat Record</v>
      </c>
      <c r="AW1193" s="2" t="s">
        <v>14698</v>
      </c>
      <c r="AX1193" s="2" t="s">
        <v>14699</v>
      </c>
      <c r="AY1193" s="2" t="s">
        <v>14700</v>
      </c>
      <c r="AZ1193" s="2" t="s">
        <v>14700</v>
      </c>
      <c r="BA1193" s="2" t="s">
        <v>14701</v>
      </c>
      <c r="BB1193" s="2" t="s">
        <v>20</v>
      </c>
      <c r="BE1193" s="2" t="s">
        <v>14702</v>
      </c>
      <c r="BF1193" s="2" t="s">
        <v>14703</v>
      </c>
    </row>
    <row r="1194" spans="1:58" ht="39.75" customHeight="1" x14ac:dyDescent="0.25">
      <c r="A1194" s="7" t="s">
        <v>5</v>
      </c>
      <c r="B1194" s="1" t="s">
        <v>0</v>
      </c>
      <c r="C1194" s="1" t="s">
        <v>1</v>
      </c>
      <c r="D1194" s="1" t="s">
        <v>14704</v>
      </c>
      <c r="E1194" s="1" t="s">
        <v>14705</v>
      </c>
      <c r="F1194" s="1" t="s">
        <v>14706</v>
      </c>
      <c r="H1194" s="2" t="s">
        <v>5</v>
      </c>
      <c r="I1194" s="2" t="s">
        <v>6</v>
      </c>
      <c r="J1194" s="2" t="s">
        <v>5</v>
      </c>
      <c r="K1194" s="2" t="s">
        <v>5</v>
      </c>
      <c r="L1194" s="2" t="s">
        <v>7</v>
      </c>
      <c r="M1194" s="1" t="s">
        <v>14707</v>
      </c>
      <c r="N1194" s="1" t="s">
        <v>14708</v>
      </c>
      <c r="O1194" s="2" t="s">
        <v>1515</v>
      </c>
      <c r="Q1194" s="2" t="s">
        <v>1151</v>
      </c>
      <c r="R1194" s="2" t="s">
        <v>4146</v>
      </c>
      <c r="S1194" s="1" t="s">
        <v>4147</v>
      </c>
      <c r="T1194" s="2" t="s">
        <v>13</v>
      </c>
      <c r="U1194" s="3">
        <v>1</v>
      </c>
      <c r="V1194" s="3">
        <v>1</v>
      </c>
      <c r="W1194" s="4" t="s">
        <v>9131</v>
      </c>
      <c r="X1194" s="4" t="s">
        <v>9131</v>
      </c>
      <c r="Y1194" s="4" t="s">
        <v>9131</v>
      </c>
      <c r="Z1194" s="4" t="s">
        <v>9131</v>
      </c>
      <c r="AA1194" s="3">
        <v>35</v>
      </c>
      <c r="AB1194" s="3">
        <v>19</v>
      </c>
      <c r="AC1194" s="3">
        <v>65</v>
      </c>
      <c r="AD1194" s="3">
        <v>1</v>
      </c>
      <c r="AE1194" s="9">
        <v>2</v>
      </c>
      <c r="AF1194" s="9">
        <v>0</v>
      </c>
      <c r="AG1194" s="9">
        <v>3</v>
      </c>
      <c r="AH1194" s="3">
        <v>0</v>
      </c>
      <c r="AI1194" s="3">
        <v>0</v>
      </c>
      <c r="AJ1194" s="3">
        <v>0</v>
      </c>
      <c r="AK1194" s="3">
        <v>1</v>
      </c>
      <c r="AL1194" s="3">
        <v>0</v>
      </c>
      <c r="AM1194" s="3">
        <v>1</v>
      </c>
      <c r="AN1194" s="3">
        <v>0</v>
      </c>
      <c r="AO1194" s="3">
        <v>1</v>
      </c>
      <c r="AP1194" s="3">
        <v>0</v>
      </c>
      <c r="AQ1194" s="3">
        <v>0</v>
      </c>
      <c r="AR1194" s="2" t="s">
        <v>5</v>
      </c>
      <c r="AS1194" s="2" t="s">
        <v>5</v>
      </c>
      <c r="AU1194" s="5" t="str">
        <f>HYPERLINK("https://creighton-primo.hosted.exlibrisgroup.com/primo-explore/search?tab=default_tab&amp;search_scope=EVERYTHING&amp;vid=01CRU&amp;lang=en_US&amp;offset=0&amp;query=any,contains,991003730409702656","Catalog Record")</f>
        <v>Catalog Record</v>
      </c>
      <c r="AV1194" s="5" t="str">
        <f>HYPERLINK("http://www.worldcat.org/oclc/16628331","WorldCat Record")</f>
        <v>WorldCat Record</v>
      </c>
      <c r="AW1194" s="2" t="s">
        <v>14709</v>
      </c>
      <c r="AX1194" s="2" t="s">
        <v>14710</v>
      </c>
      <c r="AY1194" s="2" t="s">
        <v>14711</v>
      </c>
      <c r="AZ1194" s="2" t="s">
        <v>14711</v>
      </c>
      <c r="BA1194" s="2" t="s">
        <v>14712</v>
      </c>
      <c r="BB1194" s="2" t="s">
        <v>20</v>
      </c>
      <c r="BE1194" s="2" t="s">
        <v>14713</v>
      </c>
      <c r="BF1194" s="2" t="s">
        <v>14714</v>
      </c>
    </row>
    <row r="1195" spans="1:58" ht="39.75" customHeight="1" x14ac:dyDescent="0.25">
      <c r="A1195" s="7" t="s">
        <v>5</v>
      </c>
      <c r="B1195" s="1" t="s">
        <v>0</v>
      </c>
      <c r="C1195" s="1" t="s">
        <v>1</v>
      </c>
      <c r="D1195" s="1" t="s">
        <v>14715</v>
      </c>
      <c r="E1195" s="1" t="s">
        <v>14716</v>
      </c>
      <c r="F1195" s="1" t="s">
        <v>14717</v>
      </c>
      <c r="H1195" s="2" t="s">
        <v>5</v>
      </c>
      <c r="I1195" s="2" t="s">
        <v>6</v>
      </c>
      <c r="J1195" s="2" t="s">
        <v>5</v>
      </c>
      <c r="K1195" s="2" t="s">
        <v>5</v>
      </c>
      <c r="L1195" s="2" t="s">
        <v>7</v>
      </c>
      <c r="M1195" s="1" t="s">
        <v>11268</v>
      </c>
      <c r="N1195" s="1" t="s">
        <v>14718</v>
      </c>
      <c r="O1195" s="2" t="s">
        <v>3817</v>
      </c>
      <c r="P1195" s="1" t="s">
        <v>5359</v>
      </c>
      <c r="Q1195" s="2" t="s">
        <v>1151</v>
      </c>
      <c r="R1195" s="2" t="s">
        <v>4146</v>
      </c>
      <c r="S1195" s="1" t="s">
        <v>14719</v>
      </c>
      <c r="T1195" s="2" t="s">
        <v>13</v>
      </c>
      <c r="U1195" s="3">
        <v>1</v>
      </c>
      <c r="V1195" s="3">
        <v>1</v>
      </c>
      <c r="W1195" s="4" t="s">
        <v>5071</v>
      </c>
      <c r="X1195" s="4" t="s">
        <v>5071</v>
      </c>
      <c r="Y1195" s="4" t="s">
        <v>5071</v>
      </c>
      <c r="Z1195" s="4" t="s">
        <v>5071</v>
      </c>
      <c r="AA1195" s="3">
        <v>20</v>
      </c>
      <c r="AB1195" s="3">
        <v>20</v>
      </c>
      <c r="AC1195" s="3">
        <v>22</v>
      </c>
      <c r="AD1195" s="3">
        <v>1</v>
      </c>
      <c r="AE1195" s="9">
        <v>1</v>
      </c>
      <c r="AF1195" s="9">
        <v>2</v>
      </c>
      <c r="AG1195" s="9">
        <v>2</v>
      </c>
      <c r="AH1195" s="3">
        <v>0</v>
      </c>
      <c r="AI1195" s="3">
        <v>0</v>
      </c>
      <c r="AJ1195" s="3">
        <v>1</v>
      </c>
      <c r="AK1195" s="3">
        <v>1</v>
      </c>
      <c r="AL1195" s="3">
        <v>2</v>
      </c>
      <c r="AM1195" s="3">
        <v>2</v>
      </c>
      <c r="AN1195" s="3">
        <v>0</v>
      </c>
      <c r="AO1195" s="3">
        <v>0</v>
      </c>
      <c r="AP1195" s="3">
        <v>0</v>
      </c>
      <c r="AQ1195" s="3">
        <v>0</v>
      </c>
      <c r="AR1195" s="2" t="s">
        <v>5</v>
      </c>
      <c r="AS1195" s="2" t="s">
        <v>46</v>
      </c>
      <c r="AT1195" s="5" t="str">
        <f>HYPERLINK("http://catalog.hathitrust.org/Record/003295129","HathiTrust Record")</f>
        <v>HathiTrust Record</v>
      </c>
      <c r="AU1195" s="5" t="str">
        <f>HYPERLINK("https://creighton-primo.hosted.exlibrisgroup.com/primo-explore/search?tab=default_tab&amp;search_scope=EVERYTHING&amp;vid=01CRU&amp;lang=en_US&amp;offset=0&amp;query=any,contains,991004336239702656","Catalog Record")</f>
        <v>Catalog Record</v>
      </c>
      <c r="AV1195" s="5" t="str">
        <f>HYPERLINK("http://www.worldcat.org/oclc/39042091","WorldCat Record")</f>
        <v>WorldCat Record</v>
      </c>
      <c r="AW1195" s="2" t="s">
        <v>14720</v>
      </c>
      <c r="AX1195" s="2" t="s">
        <v>14721</v>
      </c>
      <c r="AY1195" s="2" t="s">
        <v>14722</v>
      </c>
      <c r="AZ1195" s="2" t="s">
        <v>14722</v>
      </c>
      <c r="BA1195" s="2" t="s">
        <v>14723</v>
      </c>
      <c r="BB1195" s="2" t="s">
        <v>20</v>
      </c>
      <c r="BD1195" s="2" t="s">
        <v>14724</v>
      </c>
      <c r="BE1195" s="2" t="s">
        <v>14725</v>
      </c>
      <c r="BF1195" s="2" t="s">
        <v>14726</v>
      </c>
    </row>
    <row r="1196" spans="1:58" ht="39.75" customHeight="1" x14ac:dyDescent="0.25">
      <c r="A1196" s="7" t="s">
        <v>5</v>
      </c>
      <c r="B1196" s="1" t="s">
        <v>0</v>
      </c>
      <c r="C1196" s="1" t="s">
        <v>1</v>
      </c>
      <c r="D1196" s="1" t="s">
        <v>14727</v>
      </c>
      <c r="E1196" s="1" t="s">
        <v>14728</v>
      </c>
      <c r="F1196" s="1" t="s">
        <v>14729</v>
      </c>
      <c r="H1196" s="2" t="s">
        <v>5</v>
      </c>
      <c r="I1196" s="2" t="s">
        <v>6</v>
      </c>
      <c r="J1196" s="2" t="s">
        <v>5</v>
      </c>
      <c r="K1196" s="2" t="s">
        <v>5</v>
      </c>
      <c r="L1196" s="2" t="s">
        <v>7</v>
      </c>
      <c r="M1196" s="1" t="s">
        <v>14730</v>
      </c>
      <c r="N1196" s="1" t="s">
        <v>14731</v>
      </c>
      <c r="O1196" s="2" t="s">
        <v>791</v>
      </c>
      <c r="Q1196" s="2" t="s">
        <v>1151</v>
      </c>
      <c r="R1196" s="2" t="s">
        <v>4146</v>
      </c>
      <c r="S1196" s="1" t="s">
        <v>14732</v>
      </c>
      <c r="T1196" s="2" t="s">
        <v>13</v>
      </c>
      <c r="U1196" s="3">
        <v>1</v>
      </c>
      <c r="V1196" s="3">
        <v>1</v>
      </c>
      <c r="W1196" s="4" t="s">
        <v>3004</v>
      </c>
      <c r="X1196" s="4" t="s">
        <v>3004</v>
      </c>
      <c r="Y1196" s="4" t="s">
        <v>3004</v>
      </c>
      <c r="Z1196" s="4" t="s">
        <v>3004</v>
      </c>
      <c r="AA1196" s="3">
        <v>114</v>
      </c>
      <c r="AB1196" s="3">
        <v>93</v>
      </c>
      <c r="AC1196" s="3">
        <v>102</v>
      </c>
      <c r="AD1196" s="3">
        <v>1</v>
      </c>
      <c r="AE1196" s="9">
        <v>2</v>
      </c>
      <c r="AF1196" s="9">
        <v>3</v>
      </c>
      <c r="AG1196" s="9">
        <v>4</v>
      </c>
      <c r="AH1196" s="3">
        <v>1</v>
      </c>
      <c r="AI1196" s="3">
        <v>1</v>
      </c>
      <c r="AJ1196" s="3">
        <v>2</v>
      </c>
      <c r="AK1196" s="3">
        <v>2</v>
      </c>
      <c r="AL1196" s="3">
        <v>1</v>
      </c>
      <c r="AM1196" s="3">
        <v>1</v>
      </c>
      <c r="AN1196" s="3">
        <v>0</v>
      </c>
      <c r="AO1196" s="3">
        <v>1</v>
      </c>
      <c r="AP1196" s="3">
        <v>0</v>
      </c>
      <c r="AQ1196" s="3">
        <v>0</v>
      </c>
      <c r="AR1196" s="2" t="s">
        <v>5</v>
      </c>
      <c r="AS1196" s="2" t="s">
        <v>46</v>
      </c>
      <c r="AT1196" s="5" t="str">
        <f>HYPERLINK("http://catalog.hathitrust.org/Record/006113326","HathiTrust Record")</f>
        <v>HathiTrust Record</v>
      </c>
      <c r="AU1196" s="5" t="str">
        <f>HYPERLINK("https://creighton-primo.hosted.exlibrisgroup.com/primo-explore/search?tab=default_tab&amp;search_scope=EVERYTHING&amp;vid=01CRU&amp;lang=en_US&amp;offset=0&amp;query=any,contains,991003699959702656","Catalog Record")</f>
        <v>Catalog Record</v>
      </c>
      <c r="AV1196" s="5" t="str">
        <f>HYPERLINK("http://www.worldcat.org/oclc/2043418","WorldCat Record")</f>
        <v>WorldCat Record</v>
      </c>
      <c r="AW1196" s="2" t="s">
        <v>14733</v>
      </c>
      <c r="AX1196" s="2" t="s">
        <v>14734</v>
      </c>
      <c r="AY1196" s="2" t="s">
        <v>14735</v>
      </c>
      <c r="AZ1196" s="2" t="s">
        <v>14735</v>
      </c>
      <c r="BA1196" s="2" t="s">
        <v>14736</v>
      </c>
      <c r="BB1196" s="2" t="s">
        <v>20</v>
      </c>
      <c r="BE1196" s="2" t="s">
        <v>14737</v>
      </c>
      <c r="BF1196" s="2" t="s">
        <v>14738</v>
      </c>
    </row>
    <row r="1197" spans="1:58" ht="39.75" customHeight="1" x14ac:dyDescent="0.25">
      <c r="A1197" s="7" t="s">
        <v>5</v>
      </c>
      <c r="B1197" s="1" t="s">
        <v>0</v>
      </c>
      <c r="C1197" s="1" t="s">
        <v>1</v>
      </c>
      <c r="D1197" s="1" t="s">
        <v>14739</v>
      </c>
      <c r="E1197" s="1" t="s">
        <v>14740</v>
      </c>
      <c r="F1197" s="1" t="s">
        <v>14741</v>
      </c>
      <c r="H1197" s="2" t="s">
        <v>5</v>
      </c>
      <c r="I1197" s="2" t="s">
        <v>6</v>
      </c>
      <c r="J1197" s="2" t="s">
        <v>5</v>
      </c>
      <c r="K1197" s="2" t="s">
        <v>5</v>
      </c>
      <c r="L1197" s="2" t="s">
        <v>7</v>
      </c>
      <c r="M1197" s="1" t="s">
        <v>14742</v>
      </c>
      <c r="N1197" s="1" t="s">
        <v>14743</v>
      </c>
      <c r="O1197" s="2" t="s">
        <v>6611</v>
      </c>
      <c r="Q1197" s="2" t="s">
        <v>1151</v>
      </c>
      <c r="R1197" s="2" t="s">
        <v>61</v>
      </c>
      <c r="S1197" s="1" t="s">
        <v>14744</v>
      </c>
      <c r="T1197" s="2" t="s">
        <v>13</v>
      </c>
      <c r="U1197" s="3">
        <v>3</v>
      </c>
      <c r="V1197" s="3">
        <v>3</v>
      </c>
      <c r="W1197" s="4" t="s">
        <v>2572</v>
      </c>
      <c r="X1197" s="4" t="s">
        <v>2572</v>
      </c>
      <c r="Y1197" s="4" t="s">
        <v>14745</v>
      </c>
      <c r="Z1197" s="4" t="s">
        <v>14745</v>
      </c>
      <c r="AA1197" s="3">
        <v>130</v>
      </c>
      <c r="AB1197" s="3">
        <v>91</v>
      </c>
      <c r="AC1197" s="3">
        <v>93</v>
      </c>
      <c r="AD1197" s="3">
        <v>2</v>
      </c>
      <c r="AE1197" s="9">
        <v>2</v>
      </c>
      <c r="AF1197" s="9">
        <v>5</v>
      </c>
      <c r="AG1197" s="9">
        <v>5</v>
      </c>
      <c r="AH1197" s="3">
        <v>0</v>
      </c>
      <c r="AI1197" s="3">
        <v>0</v>
      </c>
      <c r="AJ1197" s="3">
        <v>3</v>
      </c>
      <c r="AK1197" s="3">
        <v>3</v>
      </c>
      <c r="AL1197" s="3">
        <v>3</v>
      </c>
      <c r="AM1197" s="3">
        <v>3</v>
      </c>
      <c r="AN1197" s="3">
        <v>1</v>
      </c>
      <c r="AO1197" s="3">
        <v>1</v>
      </c>
      <c r="AP1197" s="3">
        <v>0</v>
      </c>
      <c r="AQ1197" s="3">
        <v>0</v>
      </c>
      <c r="AR1197" s="2" t="s">
        <v>5</v>
      </c>
      <c r="AS1197" s="2" t="s">
        <v>46</v>
      </c>
      <c r="AT1197" s="5" t="str">
        <f>HYPERLINK("http://catalog.hathitrust.org/Record/003077411","HathiTrust Record")</f>
        <v>HathiTrust Record</v>
      </c>
      <c r="AU1197" s="5" t="str">
        <f>HYPERLINK("https://creighton-primo.hosted.exlibrisgroup.com/primo-explore/search?tab=default_tab&amp;search_scope=EVERYTHING&amp;vid=01CRU&amp;lang=en_US&amp;offset=0&amp;query=any,contains,991002402419702656","Catalog Record")</f>
        <v>Catalog Record</v>
      </c>
      <c r="AV1197" s="5" t="str">
        <f>HYPERLINK("http://www.worldcat.org/oclc/31239463","WorldCat Record")</f>
        <v>WorldCat Record</v>
      </c>
      <c r="AW1197" s="2" t="s">
        <v>14746</v>
      </c>
      <c r="AX1197" s="2" t="s">
        <v>14747</v>
      </c>
      <c r="AY1197" s="2" t="s">
        <v>14748</v>
      </c>
      <c r="AZ1197" s="2" t="s">
        <v>14748</v>
      </c>
      <c r="BA1197" s="2" t="s">
        <v>14749</v>
      </c>
      <c r="BB1197" s="2" t="s">
        <v>20</v>
      </c>
      <c r="BD1197" s="2" t="s">
        <v>14750</v>
      </c>
      <c r="BE1197" s="2" t="s">
        <v>14751</v>
      </c>
      <c r="BF1197" s="2" t="s">
        <v>14752</v>
      </c>
    </row>
    <row r="1198" spans="1:58" ht="39.75" customHeight="1" x14ac:dyDescent="0.25">
      <c r="A1198" s="7" t="s">
        <v>5</v>
      </c>
      <c r="B1198" s="1" t="s">
        <v>0</v>
      </c>
      <c r="C1198" s="1" t="s">
        <v>1</v>
      </c>
      <c r="D1198" s="1" t="s">
        <v>14753</v>
      </c>
      <c r="E1198" s="1" t="s">
        <v>14754</v>
      </c>
      <c r="F1198" s="1" t="s">
        <v>14755</v>
      </c>
      <c r="H1198" s="2" t="s">
        <v>5</v>
      </c>
      <c r="I1198" s="2" t="s">
        <v>6</v>
      </c>
      <c r="J1198" s="2" t="s">
        <v>5</v>
      </c>
      <c r="K1198" s="2" t="s">
        <v>5</v>
      </c>
      <c r="L1198" s="2" t="s">
        <v>7</v>
      </c>
      <c r="M1198" s="1" t="s">
        <v>14627</v>
      </c>
      <c r="O1198" s="2" t="s">
        <v>108</v>
      </c>
      <c r="Q1198" s="2" t="s">
        <v>1151</v>
      </c>
      <c r="R1198" s="2" t="s">
        <v>4146</v>
      </c>
      <c r="S1198" s="1" t="s">
        <v>14732</v>
      </c>
      <c r="T1198" s="2" t="s">
        <v>13</v>
      </c>
      <c r="U1198" s="3">
        <v>1</v>
      </c>
      <c r="V1198" s="3">
        <v>1</v>
      </c>
      <c r="W1198" s="4" t="s">
        <v>5642</v>
      </c>
      <c r="X1198" s="4" t="s">
        <v>5642</v>
      </c>
      <c r="Y1198" s="4" t="s">
        <v>5642</v>
      </c>
      <c r="Z1198" s="4" t="s">
        <v>5642</v>
      </c>
      <c r="AA1198" s="3">
        <v>112</v>
      </c>
      <c r="AB1198" s="3">
        <v>83</v>
      </c>
      <c r="AC1198" s="3">
        <v>85</v>
      </c>
      <c r="AD1198" s="3">
        <v>2</v>
      </c>
      <c r="AE1198" s="9">
        <v>2</v>
      </c>
      <c r="AF1198" s="9">
        <v>4</v>
      </c>
      <c r="AG1198" s="9">
        <v>5</v>
      </c>
      <c r="AH1198" s="3">
        <v>0</v>
      </c>
      <c r="AI1198" s="3">
        <v>0</v>
      </c>
      <c r="AJ1198" s="3">
        <v>2</v>
      </c>
      <c r="AK1198" s="3">
        <v>3</v>
      </c>
      <c r="AL1198" s="3">
        <v>3</v>
      </c>
      <c r="AM1198" s="3">
        <v>3</v>
      </c>
      <c r="AN1198" s="3">
        <v>1</v>
      </c>
      <c r="AO1198" s="3">
        <v>1</v>
      </c>
      <c r="AP1198" s="3">
        <v>0</v>
      </c>
      <c r="AQ1198" s="3">
        <v>0</v>
      </c>
      <c r="AR1198" s="2" t="s">
        <v>5</v>
      </c>
      <c r="AS1198" s="2" t="s">
        <v>46</v>
      </c>
      <c r="AT1198" s="5" t="str">
        <f>HYPERLINK("http://catalog.hathitrust.org/Record/007926680","HathiTrust Record")</f>
        <v>HathiTrust Record</v>
      </c>
      <c r="AU1198" s="5" t="str">
        <f>HYPERLINK("https://creighton-primo.hosted.exlibrisgroup.com/primo-explore/search?tab=default_tab&amp;search_scope=EVERYTHING&amp;vid=01CRU&amp;lang=en_US&amp;offset=0&amp;query=any,contains,991003739969702656","Catalog Record")</f>
        <v>Catalog Record</v>
      </c>
      <c r="AV1198" s="5" t="str">
        <f>HYPERLINK("http://www.worldcat.org/oclc/1035835","WorldCat Record")</f>
        <v>WorldCat Record</v>
      </c>
      <c r="AW1198" s="2" t="s">
        <v>14756</v>
      </c>
      <c r="AX1198" s="2" t="s">
        <v>14757</v>
      </c>
      <c r="AY1198" s="2" t="s">
        <v>14758</v>
      </c>
      <c r="AZ1198" s="2" t="s">
        <v>14758</v>
      </c>
      <c r="BA1198" s="2" t="s">
        <v>14759</v>
      </c>
      <c r="BB1198" s="2" t="s">
        <v>20</v>
      </c>
      <c r="BE1198" s="2" t="s">
        <v>14760</v>
      </c>
      <c r="BF1198" s="2" t="s">
        <v>14761</v>
      </c>
    </row>
    <row r="1199" spans="1:58" ht="39.75" customHeight="1" x14ac:dyDescent="0.25">
      <c r="A1199" s="7" t="s">
        <v>5</v>
      </c>
      <c r="B1199" s="1" t="s">
        <v>0</v>
      </c>
      <c r="C1199" s="1" t="s">
        <v>1</v>
      </c>
      <c r="D1199" s="1" t="s">
        <v>14762</v>
      </c>
      <c r="E1199" s="1" t="s">
        <v>14763</v>
      </c>
      <c r="F1199" s="1" t="s">
        <v>14764</v>
      </c>
      <c r="H1199" s="2" t="s">
        <v>5</v>
      </c>
      <c r="I1199" s="2" t="s">
        <v>6</v>
      </c>
      <c r="J1199" s="2" t="s">
        <v>5</v>
      </c>
      <c r="K1199" s="2" t="s">
        <v>5</v>
      </c>
      <c r="L1199" s="2" t="s">
        <v>7</v>
      </c>
      <c r="M1199" s="1" t="s">
        <v>14765</v>
      </c>
      <c r="N1199" s="1" t="s">
        <v>14766</v>
      </c>
      <c r="O1199" s="2" t="s">
        <v>2859</v>
      </c>
      <c r="P1199" s="1" t="s">
        <v>5911</v>
      </c>
      <c r="Q1199" s="2" t="s">
        <v>1151</v>
      </c>
      <c r="R1199" s="2" t="s">
        <v>4146</v>
      </c>
      <c r="T1199" s="2" t="s">
        <v>13</v>
      </c>
      <c r="U1199" s="3">
        <v>1</v>
      </c>
      <c r="V1199" s="3">
        <v>1</v>
      </c>
      <c r="W1199" s="4" t="s">
        <v>11744</v>
      </c>
      <c r="X1199" s="4" t="s">
        <v>11744</v>
      </c>
      <c r="Y1199" s="4" t="s">
        <v>11744</v>
      </c>
      <c r="Z1199" s="4" t="s">
        <v>11744</v>
      </c>
      <c r="AA1199" s="3">
        <v>61</v>
      </c>
      <c r="AB1199" s="3">
        <v>46</v>
      </c>
      <c r="AC1199" s="3">
        <v>59</v>
      </c>
      <c r="AD1199" s="3">
        <v>1</v>
      </c>
      <c r="AE1199" s="9">
        <v>1</v>
      </c>
      <c r="AF1199" s="9">
        <v>3</v>
      </c>
      <c r="AG1199" s="9">
        <v>3</v>
      </c>
      <c r="AH1199" s="3">
        <v>0</v>
      </c>
      <c r="AI1199" s="3">
        <v>0</v>
      </c>
      <c r="AJ1199" s="3">
        <v>2</v>
      </c>
      <c r="AK1199" s="3">
        <v>2</v>
      </c>
      <c r="AL1199" s="3">
        <v>2</v>
      </c>
      <c r="AM1199" s="3">
        <v>2</v>
      </c>
      <c r="AN1199" s="3">
        <v>0</v>
      </c>
      <c r="AO1199" s="3">
        <v>0</v>
      </c>
      <c r="AP1199" s="3">
        <v>0</v>
      </c>
      <c r="AQ1199" s="3">
        <v>0</v>
      </c>
      <c r="AR1199" s="2" t="s">
        <v>5</v>
      </c>
      <c r="AS1199" s="2" t="s">
        <v>46</v>
      </c>
      <c r="AT1199" s="5" t="str">
        <f>HYPERLINK("http://catalog.hathitrust.org/Record/006716712","HathiTrust Record")</f>
        <v>HathiTrust Record</v>
      </c>
      <c r="AU1199" s="5" t="str">
        <f>HYPERLINK("https://creighton-primo.hosted.exlibrisgroup.com/primo-explore/search?tab=default_tab&amp;search_scope=EVERYTHING&amp;vid=01CRU&amp;lang=en_US&amp;offset=0&amp;query=any,contains,991003818009702656","Catalog Record")</f>
        <v>Catalog Record</v>
      </c>
      <c r="AV1199" s="5" t="str">
        <f>HYPERLINK("http://www.worldcat.org/oclc/12668265","WorldCat Record")</f>
        <v>WorldCat Record</v>
      </c>
      <c r="AW1199" s="2" t="s">
        <v>14767</v>
      </c>
      <c r="AX1199" s="2" t="s">
        <v>14768</v>
      </c>
      <c r="AY1199" s="2" t="s">
        <v>14769</v>
      </c>
      <c r="AZ1199" s="2" t="s">
        <v>14769</v>
      </c>
      <c r="BA1199" s="2" t="s">
        <v>14770</v>
      </c>
      <c r="BB1199" s="2" t="s">
        <v>20</v>
      </c>
      <c r="BE1199" s="2" t="s">
        <v>14771</v>
      </c>
      <c r="BF1199" s="2" t="s">
        <v>14772</v>
      </c>
    </row>
    <row r="1200" spans="1:58" ht="39.75" customHeight="1" x14ac:dyDescent="0.25">
      <c r="A1200" s="7" t="s">
        <v>5</v>
      </c>
      <c r="B1200" s="1" t="s">
        <v>0</v>
      </c>
      <c r="C1200" s="1" t="s">
        <v>1</v>
      </c>
      <c r="D1200" s="1" t="s">
        <v>14773</v>
      </c>
      <c r="E1200" s="1" t="s">
        <v>14774</v>
      </c>
      <c r="F1200" s="1" t="s">
        <v>14775</v>
      </c>
      <c r="H1200" s="2" t="s">
        <v>5</v>
      </c>
      <c r="I1200" s="2" t="s">
        <v>6</v>
      </c>
      <c r="J1200" s="2" t="s">
        <v>5</v>
      </c>
      <c r="K1200" s="2" t="s">
        <v>5</v>
      </c>
      <c r="L1200" s="2" t="s">
        <v>7</v>
      </c>
      <c r="M1200" s="1" t="s">
        <v>9759</v>
      </c>
      <c r="N1200" s="1" t="s">
        <v>14776</v>
      </c>
      <c r="O1200" s="2" t="s">
        <v>1390</v>
      </c>
      <c r="Q1200" s="2" t="s">
        <v>1151</v>
      </c>
      <c r="R1200" s="2" t="s">
        <v>1152</v>
      </c>
      <c r="S1200" s="1" t="s">
        <v>13786</v>
      </c>
      <c r="T1200" s="2" t="s">
        <v>13</v>
      </c>
      <c r="U1200" s="3">
        <v>1</v>
      </c>
      <c r="V1200" s="3">
        <v>1</v>
      </c>
      <c r="W1200" s="4" t="s">
        <v>14777</v>
      </c>
      <c r="X1200" s="4" t="s">
        <v>14777</v>
      </c>
      <c r="Y1200" s="4" t="s">
        <v>14777</v>
      </c>
      <c r="Z1200" s="4" t="s">
        <v>14777</v>
      </c>
      <c r="AA1200" s="3">
        <v>153</v>
      </c>
      <c r="AB1200" s="3">
        <v>120</v>
      </c>
      <c r="AC1200" s="3">
        <v>122</v>
      </c>
      <c r="AD1200" s="3">
        <v>2</v>
      </c>
      <c r="AE1200" s="9">
        <v>2</v>
      </c>
      <c r="AF1200" s="9">
        <v>7</v>
      </c>
      <c r="AG1200" s="9">
        <v>7</v>
      </c>
      <c r="AH1200" s="3">
        <v>3</v>
      </c>
      <c r="AI1200" s="3">
        <v>3</v>
      </c>
      <c r="AJ1200" s="3">
        <v>3</v>
      </c>
      <c r="AK1200" s="3">
        <v>3</v>
      </c>
      <c r="AL1200" s="3">
        <v>3</v>
      </c>
      <c r="AM1200" s="3">
        <v>3</v>
      </c>
      <c r="AN1200" s="3">
        <v>1</v>
      </c>
      <c r="AO1200" s="3">
        <v>1</v>
      </c>
      <c r="AP1200" s="3">
        <v>0</v>
      </c>
      <c r="AQ1200" s="3">
        <v>0</v>
      </c>
      <c r="AR1200" s="2" t="s">
        <v>5</v>
      </c>
      <c r="AS1200" s="2" t="s">
        <v>46</v>
      </c>
      <c r="AT1200" s="5" t="str">
        <f>HYPERLINK("http://catalog.hathitrust.org/Record/000225803","HathiTrust Record")</f>
        <v>HathiTrust Record</v>
      </c>
      <c r="AU1200" s="5" t="str">
        <f>HYPERLINK("https://creighton-primo.hosted.exlibrisgroup.com/primo-explore/search?tab=default_tab&amp;search_scope=EVERYTHING&amp;vid=01CRU&amp;lang=en_US&amp;offset=0&amp;query=any,contains,991003659029702656","Catalog Record")</f>
        <v>Catalog Record</v>
      </c>
      <c r="AV1200" s="5" t="str">
        <f>HYPERLINK("http://www.worldcat.org/oclc/6709596","WorldCat Record")</f>
        <v>WorldCat Record</v>
      </c>
      <c r="AW1200" s="2" t="s">
        <v>14778</v>
      </c>
      <c r="AX1200" s="2" t="s">
        <v>14779</v>
      </c>
      <c r="AY1200" s="2" t="s">
        <v>14780</v>
      </c>
      <c r="AZ1200" s="2" t="s">
        <v>14780</v>
      </c>
      <c r="BA1200" s="2" t="s">
        <v>14781</v>
      </c>
      <c r="BB1200" s="2" t="s">
        <v>20</v>
      </c>
      <c r="BD1200" s="2" t="s">
        <v>14782</v>
      </c>
      <c r="BE1200" s="2" t="s">
        <v>14783</v>
      </c>
      <c r="BF1200" s="2" t="s">
        <v>14784</v>
      </c>
    </row>
    <row r="1201" spans="1:58" ht="39.75" customHeight="1" x14ac:dyDescent="0.25">
      <c r="A1201" s="7" t="s">
        <v>5</v>
      </c>
      <c r="B1201" s="1" t="s">
        <v>0</v>
      </c>
      <c r="C1201" s="1" t="s">
        <v>1</v>
      </c>
      <c r="D1201" s="1" t="s">
        <v>14785</v>
      </c>
      <c r="E1201" s="1" t="s">
        <v>14786</v>
      </c>
      <c r="F1201" s="1" t="s">
        <v>14787</v>
      </c>
      <c r="H1201" s="2" t="s">
        <v>5</v>
      </c>
      <c r="I1201" s="2" t="s">
        <v>6</v>
      </c>
      <c r="J1201" s="2" t="s">
        <v>5</v>
      </c>
      <c r="K1201" s="2" t="s">
        <v>5</v>
      </c>
      <c r="L1201" s="2" t="s">
        <v>7</v>
      </c>
      <c r="M1201" s="1" t="s">
        <v>14788</v>
      </c>
      <c r="N1201" s="1" t="s">
        <v>14789</v>
      </c>
      <c r="O1201" s="2" t="s">
        <v>468</v>
      </c>
      <c r="Q1201" s="2" t="s">
        <v>1151</v>
      </c>
      <c r="R1201" s="2" t="s">
        <v>4146</v>
      </c>
      <c r="S1201" s="1" t="s">
        <v>14790</v>
      </c>
      <c r="T1201" s="2" t="s">
        <v>13</v>
      </c>
      <c r="U1201" s="3">
        <v>1</v>
      </c>
      <c r="V1201" s="3">
        <v>1</v>
      </c>
      <c r="W1201" s="4" t="s">
        <v>13088</v>
      </c>
      <c r="X1201" s="4" t="s">
        <v>13088</v>
      </c>
      <c r="Y1201" s="4" t="s">
        <v>13088</v>
      </c>
      <c r="Z1201" s="4" t="s">
        <v>13088</v>
      </c>
      <c r="AA1201" s="3">
        <v>66</v>
      </c>
      <c r="AB1201" s="3">
        <v>40</v>
      </c>
      <c r="AC1201" s="3">
        <v>46</v>
      </c>
      <c r="AD1201" s="3">
        <v>1</v>
      </c>
      <c r="AE1201" s="9">
        <v>1</v>
      </c>
      <c r="AF1201" s="9">
        <v>2</v>
      </c>
      <c r="AG1201" s="9">
        <v>2</v>
      </c>
      <c r="AH1201" s="3">
        <v>1</v>
      </c>
      <c r="AI1201" s="3">
        <v>1</v>
      </c>
      <c r="AJ1201" s="3">
        <v>1</v>
      </c>
      <c r="AK1201" s="3">
        <v>1</v>
      </c>
      <c r="AL1201" s="3">
        <v>2</v>
      </c>
      <c r="AM1201" s="3">
        <v>2</v>
      </c>
      <c r="AN1201" s="3">
        <v>0</v>
      </c>
      <c r="AO1201" s="3">
        <v>0</v>
      </c>
      <c r="AP1201" s="3">
        <v>0</v>
      </c>
      <c r="AQ1201" s="3">
        <v>0</v>
      </c>
      <c r="AR1201" s="2" t="s">
        <v>5</v>
      </c>
      <c r="AS1201" s="2" t="s">
        <v>46</v>
      </c>
      <c r="AT1201" s="5" t="str">
        <f>HYPERLINK("http://catalog.hathitrust.org/Record/001519427","HathiTrust Record")</f>
        <v>HathiTrust Record</v>
      </c>
      <c r="AU1201" s="5" t="str">
        <f>HYPERLINK("https://creighton-primo.hosted.exlibrisgroup.com/primo-explore/search?tab=default_tab&amp;search_scope=EVERYTHING&amp;vid=01CRU&amp;lang=en_US&amp;offset=0&amp;query=any,contains,991003830089702656","Catalog Record")</f>
        <v>Catalog Record</v>
      </c>
      <c r="AV1201" s="5" t="str">
        <f>HYPERLINK("http://www.worldcat.org/oclc/2344931","WorldCat Record")</f>
        <v>WorldCat Record</v>
      </c>
      <c r="AW1201" s="2" t="s">
        <v>14791</v>
      </c>
      <c r="AX1201" s="2" t="s">
        <v>14792</v>
      </c>
      <c r="AY1201" s="2" t="s">
        <v>14793</v>
      </c>
      <c r="AZ1201" s="2" t="s">
        <v>14793</v>
      </c>
      <c r="BA1201" s="2" t="s">
        <v>14794</v>
      </c>
      <c r="BB1201" s="2" t="s">
        <v>20</v>
      </c>
      <c r="BE1201" s="2" t="s">
        <v>14795</v>
      </c>
      <c r="BF1201" s="2" t="s">
        <v>14796</v>
      </c>
    </row>
    <row r="1202" spans="1:58" ht="39.75" customHeight="1" x14ac:dyDescent="0.25">
      <c r="A1202" s="7" t="s">
        <v>5</v>
      </c>
      <c r="B1202" s="1" t="s">
        <v>0</v>
      </c>
      <c r="C1202" s="1" t="s">
        <v>1</v>
      </c>
      <c r="D1202" s="1" t="s">
        <v>14797</v>
      </c>
      <c r="E1202" s="1" t="s">
        <v>14798</v>
      </c>
      <c r="F1202" s="1" t="s">
        <v>14799</v>
      </c>
      <c r="H1202" s="2" t="s">
        <v>5</v>
      </c>
      <c r="I1202" s="2" t="s">
        <v>6</v>
      </c>
      <c r="J1202" s="2" t="s">
        <v>5</v>
      </c>
      <c r="K1202" s="2" t="s">
        <v>5</v>
      </c>
      <c r="L1202" s="2" t="s">
        <v>7</v>
      </c>
      <c r="M1202" s="1" t="s">
        <v>14800</v>
      </c>
      <c r="N1202" s="1" t="s">
        <v>14801</v>
      </c>
      <c r="O1202" s="2" t="s">
        <v>27</v>
      </c>
      <c r="P1202" s="1" t="s">
        <v>5911</v>
      </c>
      <c r="Q1202" s="2" t="s">
        <v>1151</v>
      </c>
      <c r="R1202" s="2" t="s">
        <v>4146</v>
      </c>
      <c r="S1202" s="1" t="s">
        <v>9773</v>
      </c>
      <c r="T1202" s="2" t="s">
        <v>13</v>
      </c>
      <c r="U1202" s="3">
        <v>1</v>
      </c>
      <c r="V1202" s="3">
        <v>1</v>
      </c>
      <c r="W1202" s="4" t="s">
        <v>9871</v>
      </c>
      <c r="X1202" s="4" t="s">
        <v>9871</v>
      </c>
      <c r="Y1202" s="4" t="s">
        <v>5941</v>
      </c>
      <c r="Z1202" s="4" t="s">
        <v>5941</v>
      </c>
      <c r="AA1202" s="3">
        <v>40</v>
      </c>
      <c r="AB1202" s="3">
        <v>32</v>
      </c>
      <c r="AC1202" s="3">
        <v>32</v>
      </c>
      <c r="AD1202" s="3">
        <v>1</v>
      </c>
      <c r="AE1202" s="9">
        <v>1</v>
      </c>
      <c r="AF1202" s="9">
        <v>1</v>
      </c>
      <c r="AG1202" s="9">
        <v>1</v>
      </c>
      <c r="AH1202" s="3">
        <v>0</v>
      </c>
      <c r="AI1202" s="3">
        <v>0</v>
      </c>
      <c r="AJ1202" s="3">
        <v>0</v>
      </c>
      <c r="AK1202" s="3">
        <v>0</v>
      </c>
      <c r="AL1202" s="3">
        <v>1</v>
      </c>
      <c r="AM1202" s="3">
        <v>1</v>
      </c>
      <c r="AN1202" s="3">
        <v>0</v>
      </c>
      <c r="AO1202" s="3">
        <v>0</v>
      </c>
      <c r="AP1202" s="3">
        <v>0</v>
      </c>
      <c r="AQ1202" s="3">
        <v>0</v>
      </c>
      <c r="AR1202" s="2" t="s">
        <v>5</v>
      </c>
      <c r="AS1202" s="2" t="s">
        <v>5</v>
      </c>
      <c r="AU1202" s="5" t="str">
        <f>HYPERLINK("https://creighton-primo.hosted.exlibrisgroup.com/primo-explore/search?tab=default_tab&amp;search_scope=EVERYTHING&amp;vid=01CRU&amp;lang=en_US&amp;offset=0&amp;query=any,contains,991003806609702656","Catalog Record")</f>
        <v>Catalog Record</v>
      </c>
      <c r="AV1202" s="5" t="str">
        <f>HYPERLINK("http://www.worldcat.org/oclc/28309848","WorldCat Record")</f>
        <v>WorldCat Record</v>
      </c>
      <c r="AW1202" s="2" t="s">
        <v>14802</v>
      </c>
      <c r="AX1202" s="2" t="s">
        <v>14803</v>
      </c>
      <c r="AY1202" s="2" t="s">
        <v>14804</v>
      </c>
      <c r="AZ1202" s="2" t="s">
        <v>14804</v>
      </c>
      <c r="BA1202" s="2" t="s">
        <v>14805</v>
      </c>
      <c r="BB1202" s="2" t="s">
        <v>20</v>
      </c>
      <c r="BD1202" s="2" t="s">
        <v>14806</v>
      </c>
      <c r="BE1202" s="2" t="s">
        <v>14807</v>
      </c>
      <c r="BF1202" s="2" t="s">
        <v>14808</v>
      </c>
    </row>
    <row r="1203" spans="1:58" ht="39.75" customHeight="1" x14ac:dyDescent="0.25">
      <c r="A1203" s="7" t="s">
        <v>5</v>
      </c>
      <c r="B1203" s="1" t="s">
        <v>0</v>
      </c>
      <c r="C1203" s="1" t="s">
        <v>1</v>
      </c>
      <c r="D1203" s="1" t="s">
        <v>14809</v>
      </c>
      <c r="E1203" s="1" t="s">
        <v>14810</v>
      </c>
      <c r="F1203" s="1" t="s">
        <v>14811</v>
      </c>
      <c r="H1203" s="2" t="s">
        <v>5</v>
      </c>
      <c r="I1203" s="2" t="s">
        <v>6</v>
      </c>
      <c r="J1203" s="2" t="s">
        <v>5</v>
      </c>
      <c r="K1203" s="2" t="s">
        <v>5</v>
      </c>
      <c r="L1203" s="2" t="s">
        <v>7</v>
      </c>
      <c r="N1203" s="1" t="s">
        <v>14812</v>
      </c>
      <c r="O1203" s="2" t="s">
        <v>27</v>
      </c>
      <c r="P1203" s="1" t="s">
        <v>5359</v>
      </c>
      <c r="Q1203" s="2" t="s">
        <v>1151</v>
      </c>
      <c r="R1203" s="2" t="s">
        <v>4146</v>
      </c>
      <c r="S1203" s="1" t="s">
        <v>9773</v>
      </c>
      <c r="T1203" s="2" t="s">
        <v>13</v>
      </c>
      <c r="U1203" s="3">
        <v>1</v>
      </c>
      <c r="V1203" s="3">
        <v>1</v>
      </c>
      <c r="W1203" s="4" t="s">
        <v>6036</v>
      </c>
      <c r="X1203" s="4" t="s">
        <v>6036</v>
      </c>
      <c r="Y1203" s="4" t="s">
        <v>6036</v>
      </c>
      <c r="Z1203" s="4" t="s">
        <v>6036</v>
      </c>
      <c r="AA1203" s="3">
        <v>63</v>
      </c>
      <c r="AB1203" s="3">
        <v>51</v>
      </c>
      <c r="AC1203" s="3">
        <v>51</v>
      </c>
      <c r="AD1203" s="3">
        <v>1</v>
      </c>
      <c r="AE1203" s="9">
        <v>1</v>
      </c>
      <c r="AF1203" s="9">
        <v>4</v>
      </c>
      <c r="AG1203" s="9">
        <v>4</v>
      </c>
      <c r="AH1203" s="3">
        <v>2</v>
      </c>
      <c r="AI1203" s="3">
        <v>2</v>
      </c>
      <c r="AJ1203" s="3">
        <v>2</v>
      </c>
      <c r="AK1203" s="3">
        <v>2</v>
      </c>
      <c r="AL1203" s="3">
        <v>2</v>
      </c>
      <c r="AM1203" s="3">
        <v>2</v>
      </c>
      <c r="AN1203" s="3">
        <v>0</v>
      </c>
      <c r="AO1203" s="3">
        <v>0</v>
      </c>
      <c r="AP1203" s="3">
        <v>0</v>
      </c>
      <c r="AQ1203" s="3">
        <v>0</v>
      </c>
      <c r="AR1203" s="2" t="s">
        <v>5</v>
      </c>
      <c r="AS1203" s="2" t="s">
        <v>5</v>
      </c>
      <c r="AU1203" s="5" t="str">
        <f>HYPERLINK("https://creighton-primo.hosted.exlibrisgroup.com/primo-explore/search?tab=default_tab&amp;search_scope=EVERYTHING&amp;vid=01CRU&amp;lang=en_US&amp;offset=0&amp;query=any,contains,991004335229702656","Catalog Record")</f>
        <v>Catalog Record</v>
      </c>
      <c r="AV1203" s="5" t="str">
        <f>HYPERLINK("http://www.worldcat.org/oclc/26921947","WorldCat Record")</f>
        <v>WorldCat Record</v>
      </c>
      <c r="AW1203" s="2" t="s">
        <v>14813</v>
      </c>
      <c r="AX1203" s="2" t="s">
        <v>14814</v>
      </c>
      <c r="AY1203" s="2" t="s">
        <v>14815</v>
      </c>
      <c r="AZ1203" s="2" t="s">
        <v>14815</v>
      </c>
      <c r="BA1203" s="2" t="s">
        <v>14816</v>
      </c>
      <c r="BB1203" s="2" t="s">
        <v>20</v>
      </c>
      <c r="BD1203" s="2" t="s">
        <v>14817</v>
      </c>
      <c r="BE1203" s="2" t="s">
        <v>14818</v>
      </c>
      <c r="BF1203" s="2" t="s">
        <v>14819</v>
      </c>
    </row>
    <row r="1204" spans="1:58" ht="39.75" customHeight="1" x14ac:dyDescent="0.25">
      <c r="A1204" s="7" t="s">
        <v>5</v>
      </c>
      <c r="B1204" s="1" t="s">
        <v>0</v>
      </c>
      <c r="C1204" s="1" t="s">
        <v>1</v>
      </c>
      <c r="D1204" s="1" t="s">
        <v>14820</v>
      </c>
      <c r="E1204" s="1" t="s">
        <v>14821</v>
      </c>
      <c r="F1204" s="1" t="s">
        <v>14822</v>
      </c>
      <c r="H1204" s="2" t="s">
        <v>5</v>
      </c>
      <c r="I1204" s="2" t="s">
        <v>6</v>
      </c>
      <c r="J1204" s="2" t="s">
        <v>5</v>
      </c>
      <c r="K1204" s="2" t="s">
        <v>5</v>
      </c>
      <c r="L1204" s="2" t="s">
        <v>7</v>
      </c>
      <c r="M1204" s="1" t="s">
        <v>14823</v>
      </c>
      <c r="N1204" s="1" t="s">
        <v>14824</v>
      </c>
      <c r="O1204" s="2" t="s">
        <v>76</v>
      </c>
      <c r="Q1204" s="2" t="s">
        <v>1151</v>
      </c>
      <c r="R1204" s="2" t="s">
        <v>1152</v>
      </c>
      <c r="S1204" s="1" t="s">
        <v>14825</v>
      </c>
      <c r="T1204" s="2" t="s">
        <v>13</v>
      </c>
      <c r="U1204" s="3">
        <v>1</v>
      </c>
      <c r="V1204" s="3">
        <v>1</v>
      </c>
      <c r="W1204" s="4" t="s">
        <v>8667</v>
      </c>
      <c r="X1204" s="4" t="s">
        <v>8667</v>
      </c>
      <c r="Y1204" s="4" t="s">
        <v>8667</v>
      </c>
      <c r="Z1204" s="4" t="s">
        <v>8667</v>
      </c>
      <c r="AA1204" s="3">
        <v>93</v>
      </c>
      <c r="AB1204" s="3">
        <v>83</v>
      </c>
      <c r="AC1204" s="3">
        <v>86</v>
      </c>
      <c r="AD1204" s="3">
        <v>3</v>
      </c>
      <c r="AE1204" s="9">
        <v>3</v>
      </c>
      <c r="AF1204" s="9">
        <v>5</v>
      </c>
      <c r="AG1204" s="9">
        <v>5</v>
      </c>
      <c r="AH1204" s="3">
        <v>1</v>
      </c>
      <c r="AI1204" s="3">
        <v>1</v>
      </c>
      <c r="AJ1204" s="3">
        <v>1</v>
      </c>
      <c r="AK1204" s="3">
        <v>1</v>
      </c>
      <c r="AL1204" s="3">
        <v>3</v>
      </c>
      <c r="AM1204" s="3">
        <v>3</v>
      </c>
      <c r="AN1204" s="3">
        <v>2</v>
      </c>
      <c r="AO1204" s="3">
        <v>2</v>
      </c>
      <c r="AP1204" s="3">
        <v>0</v>
      </c>
      <c r="AQ1204" s="3">
        <v>0</v>
      </c>
      <c r="AR1204" s="2" t="s">
        <v>5</v>
      </c>
      <c r="AS1204" s="2" t="s">
        <v>46</v>
      </c>
      <c r="AT1204" s="5" t="str">
        <f>HYPERLINK("http://catalog.hathitrust.org/Record/001589585","HathiTrust Record")</f>
        <v>HathiTrust Record</v>
      </c>
      <c r="AU1204" s="5" t="str">
        <f>HYPERLINK("https://creighton-primo.hosted.exlibrisgroup.com/primo-explore/search?tab=default_tab&amp;search_scope=EVERYTHING&amp;vid=01CRU&amp;lang=en_US&amp;offset=0&amp;query=any,contains,991004339929702656","Catalog Record")</f>
        <v>Catalog Record</v>
      </c>
      <c r="AV1204" s="5" t="str">
        <f>HYPERLINK("http://www.worldcat.org/oclc/3911534","WorldCat Record")</f>
        <v>WorldCat Record</v>
      </c>
      <c r="AW1204" s="2" t="s">
        <v>14826</v>
      </c>
      <c r="AX1204" s="2" t="s">
        <v>14827</v>
      </c>
      <c r="AY1204" s="2" t="s">
        <v>14828</v>
      </c>
      <c r="AZ1204" s="2" t="s">
        <v>14828</v>
      </c>
      <c r="BA1204" s="2" t="s">
        <v>14829</v>
      </c>
      <c r="BB1204" s="2" t="s">
        <v>20</v>
      </c>
      <c r="BE1204" s="2" t="s">
        <v>14830</v>
      </c>
      <c r="BF1204" s="2" t="s">
        <v>14831</v>
      </c>
    </row>
    <row r="1205" spans="1:58" ht="39.75" customHeight="1" x14ac:dyDescent="0.25">
      <c r="A1205" s="7" t="s">
        <v>5</v>
      </c>
      <c r="B1205" s="1" t="s">
        <v>0</v>
      </c>
      <c r="C1205" s="1" t="s">
        <v>1</v>
      </c>
      <c r="D1205" s="1" t="s">
        <v>14832</v>
      </c>
      <c r="E1205" s="1" t="s">
        <v>14833</v>
      </c>
      <c r="F1205" s="1" t="s">
        <v>14834</v>
      </c>
      <c r="H1205" s="2" t="s">
        <v>5</v>
      </c>
      <c r="I1205" s="2" t="s">
        <v>6</v>
      </c>
      <c r="J1205" s="2" t="s">
        <v>5</v>
      </c>
      <c r="K1205" s="2" t="s">
        <v>5</v>
      </c>
      <c r="L1205" s="2" t="s">
        <v>7</v>
      </c>
      <c r="M1205" s="1" t="s">
        <v>14835</v>
      </c>
      <c r="N1205" s="1" t="s">
        <v>14836</v>
      </c>
      <c r="O1205" s="2" t="s">
        <v>791</v>
      </c>
      <c r="Q1205" s="2" t="s">
        <v>1151</v>
      </c>
      <c r="R1205" s="2" t="s">
        <v>4146</v>
      </c>
      <c r="T1205" s="2" t="s">
        <v>13</v>
      </c>
      <c r="U1205" s="3">
        <v>1</v>
      </c>
      <c r="V1205" s="3">
        <v>1</v>
      </c>
      <c r="W1205" s="4" t="s">
        <v>10380</v>
      </c>
      <c r="X1205" s="4" t="s">
        <v>10380</v>
      </c>
      <c r="Y1205" s="4" t="s">
        <v>10381</v>
      </c>
      <c r="Z1205" s="4" t="s">
        <v>10381</v>
      </c>
      <c r="AA1205" s="3">
        <v>7</v>
      </c>
      <c r="AB1205" s="3">
        <v>7</v>
      </c>
      <c r="AC1205" s="3">
        <v>120</v>
      </c>
      <c r="AD1205" s="3">
        <v>1</v>
      </c>
      <c r="AE1205" s="9">
        <v>2</v>
      </c>
      <c r="AF1205" s="9">
        <v>0</v>
      </c>
      <c r="AG1205" s="9">
        <v>7</v>
      </c>
      <c r="AH1205" s="3">
        <v>0</v>
      </c>
      <c r="AI1205" s="3">
        <v>0</v>
      </c>
      <c r="AJ1205" s="3">
        <v>0</v>
      </c>
      <c r="AK1205" s="3">
        <v>3</v>
      </c>
      <c r="AL1205" s="3">
        <v>0</v>
      </c>
      <c r="AM1205" s="3">
        <v>4</v>
      </c>
      <c r="AN1205" s="3">
        <v>0</v>
      </c>
      <c r="AO1205" s="3">
        <v>1</v>
      </c>
      <c r="AP1205" s="3">
        <v>0</v>
      </c>
      <c r="AQ1205" s="3">
        <v>0</v>
      </c>
      <c r="AR1205" s="2" t="s">
        <v>5</v>
      </c>
      <c r="AS1205" s="2" t="s">
        <v>46</v>
      </c>
      <c r="AT1205" s="5" t="str">
        <f>HYPERLINK("http://catalog.hathitrust.org/Record/100587512","HathiTrust Record")</f>
        <v>HathiTrust Record</v>
      </c>
      <c r="AU1205" s="5" t="str">
        <f>HYPERLINK("https://creighton-primo.hosted.exlibrisgroup.com/primo-explore/search?tab=default_tab&amp;search_scope=EVERYTHING&amp;vid=01CRU&amp;lang=en_US&amp;offset=0&amp;query=any,contains,991003694669702656","Catalog Record")</f>
        <v>Catalog Record</v>
      </c>
      <c r="AV1205" s="5" t="str">
        <f>HYPERLINK("http://www.worldcat.org/oclc/2669379","WorldCat Record")</f>
        <v>WorldCat Record</v>
      </c>
      <c r="AW1205" s="2" t="s">
        <v>14837</v>
      </c>
      <c r="AX1205" s="2" t="s">
        <v>14838</v>
      </c>
      <c r="AY1205" s="2" t="s">
        <v>14839</v>
      </c>
      <c r="AZ1205" s="2" t="s">
        <v>14839</v>
      </c>
      <c r="BA1205" s="2" t="s">
        <v>14840</v>
      </c>
      <c r="BB1205" s="2" t="s">
        <v>20</v>
      </c>
      <c r="BE1205" s="2" t="s">
        <v>14841</v>
      </c>
      <c r="BF1205" s="2" t="s">
        <v>14842</v>
      </c>
    </row>
    <row r="1206" spans="1:58" ht="39.75" customHeight="1" x14ac:dyDescent="0.25">
      <c r="A1206" s="7" t="s">
        <v>5</v>
      </c>
      <c r="B1206" s="1" t="s">
        <v>0</v>
      </c>
      <c r="C1206" s="1" t="s">
        <v>1</v>
      </c>
      <c r="D1206" s="1" t="s">
        <v>14843</v>
      </c>
      <c r="E1206" s="1" t="s">
        <v>14844</v>
      </c>
      <c r="F1206" s="1" t="s">
        <v>14845</v>
      </c>
      <c r="H1206" s="2" t="s">
        <v>5</v>
      </c>
      <c r="I1206" s="2" t="s">
        <v>6</v>
      </c>
      <c r="J1206" s="2" t="s">
        <v>5</v>
      </c>
      <c r="K1206" s="2" t="s">
        <v>5</v>
      </c>
      <c r="L1206" s="2" t="s">
        <v>7</v>
      </c>
      <c r="M1206" s="1" t="s">
        <v>14846</v>
      </c>
      <c r="N1206" s="1" t="s">
        <v>14847</v>
      </c>
      <c r="O1206" s="2" t="s">
        <v>276</v>
      </c>
      <c r="P1206" s="1" t="s">
        <v>6915</v>
      </c>
      <c r="Q1206" s="2" t="s">
        <v>1151</v>
      </c>
      <c r="R1206" s="2" t="s">
        <v>1152</v>
      </c>
      <c r="T1206" s="2" t="s">
        <v>13</v>
      </c>
      <c r="U1206" s="3">
        <v>1</v>
      </c>
      <c r="V1206" s="3">
        <v>1</v>
      </c>
      <c r="W1206" s="4" t="s">
        <v>5071</v>
      </c>
      <c r="X1206" s="4" t="s">
        <v>5071</v>
      </c>
      <c r="Y1206" s="4" t="s">
        <v>5071</v>
      </c>
      <c r="Z1206" s="4" t="s">
        <v>5071</v>
      </c>
      <c r="AA1206" s="3">
        <v>4</v>
      </c>
      <c r="AB1206" s="3">
        <v>4</v>
      </c>
      <c r="AC1206" s="3">
        <v>41</v>
      </c>
      <c r="AD1206" s="3">
        <v>1</v>
      </c>
      <c r="AE1206" s="9">
        <v>2</v>
      </c>
      <c r="AF1206" s="9">
        <v>0</v>
      </c>
      <c r="AG1206" s="9">
        <v>3</v>
      </c>
      <c r="AH1206" s="3">
        <v>0</v>
      </c>
      <c r="AI1206" s="3">
        <v>1</v>
      </c>
      <c r="AJ1206" s="3">
        <v>0</v>
      </c>
      <c r="AK1206" s="3">
        <v>0</v>
      </c>
      <c r="AL1206" s="3">
        <v>0</v>
      </c>
      <c r="AM1206" s="3">
        <v>2</v>
      </c>
      <c r="AN1206" s="3">
        <v>0</v>
      </c>
      <c r="AO1206" s="3">
        <v>1</v>
      </c>
      <c r="AP1206" s="3">
        <v>0</v>
      </c>
      <c r="AQ1206" s="3">
        <v>0</v>
      </c>
      <c r="AR1206" s="2" t="s">
        <v>5</v>
      </c>
      <c r="AS1206" s="2" t="s">
        <v>46</v>
      </c>
      <c r="AT1206" s="5" t="str">
        <f>HYPERLINK("http://catalog.hathitrust.org/Record/007393958","HathiTrust Record")</f>
        <v>HathiTrust Record</v>
      </c>
      <c r="AU1206" s="5" t="str">
        <f>HYPERLINK("https://creighton-primo.hosted.exlibrisgroup.com/primo-explore/search?tab=default_tab&amp;search_scope=EVERYTHING&amp;vid=01CRU&amp;lang=en_US&amp;offset=0&amp;query=any,contains,991004337539702656","Catalog Record")</f>
        <v>Catalog Record</v>
      </c>
      <c r="AV1206" s="5" t="str">
        <f>HYPERLINK("http://www.worldcat.org/oclc/3840050","WorldCat Record")</f>
        <v>WorldCat Record</v>
      </c>
      <c r="AW1206" s="2" t="s">
        <v>14848</v>
      </c>
      <c r="AX1206" s="2" t="s">
        <v>14849</v>
      </c>
      <c r="AY1206" s="2" t="s">
        <v>14850</v>
      </c>
      <c r="AZ1206" s="2" t="s">
        <v>14850</v>
      </c>
      <c r="BA1206" s="2" t="s">
        <v>14851</v>
      </c>
      <c r="BB1206" s="2" t="s">
        <v>20</v>
      </c>
      <c r="BE1206" s="2" t="s">
        <v>14852</v>
      </c>
      <c r="BF1206" s="2" t="s">
        <v>14853</v>
      </c>
    </row>
    <row r="1207" spans="1:58" ht="39.75" customHeight="1" x14ac:dyDescent="0.25">
      <c r="A1207" s="7" t="s">
        <v>5</v>
      </c>
      <c r="B1207" s="1" t="s">
        <v>0</v>
      </c>
      <c r="C1207" s="1" t="s">
        <v>1</v>
      </c>
      <c r="D1207" s="1" t="s">
        <v>14854</v>
      </c>
      <c r="E1207" s="1" t="s">
        <v>14855</v>
      </c>
      <c r="F1207" s="1" t="s">
        <v>14856</v>
      </c>
      <c r="H1207" s="2" t="s">
        <v>5</v>
      </c>
      <c r="I1207" s="2" t="s">
        <v>6</v>
      </c>
      <c r="J1207" s="2" t="s">
        <v>5</v>
      </c>
      <c r="K1207" s="2" t="s">
        <v>5</v>
      </c>
      <c r="L1207" s="2" t="s">
        <v>7</v>
      </c>
      <c r="M1207" s="1" t="s">
        <v>14857</v>
      </c>
      <c r="N1207" s="1" t="s">
        <v>14858</v>
      </c>
      <c r="O1207" s="2" t="s">
        <v>1566</v>
      </c>
      <c r="Q1207" s="2" t="s">
        <v>1151</v>
      </c>
      <c r="R1207" s="2" t="s">
        <v>4146</v>
      </c>
      <c r="T1207" s="2" t="s">
        <v>13</v>
      </c>
      <c r="U1207" s="3">
        <v>1</v>
      </c>
      <c r="V1207" s="3">
        <v>1</v>
      </c>
      <c r="W1207" s="4" t="s">
        <v>8972</v>
      </c>
      <c r="X1207" s="4" t="s">
        <v>8972</v>
      </c>
      <c r="Y1207" s="4" t="s">
        <v>8972</v>
      </c>
      <c r="Z1207" s="4" t="s">
        <v>8972</v>
      </c>
      <c r="AA1207" s="3">
        <v>38</v>
      </c>
      <c r="AB1207" s="3">
        <v>35</v>
      </c>
      <c r="AC1207" s="3">
        <v>37</v>
      </c>
      <c r="AD1207" s="3">
        <v>2</v>
      </c>
      <c r="AE1207" s="9">
        <v>2</v>
      </c>
      <c r="AF1207" s="9">
        <v>1</v>
      </c>
      <c r="AG1207" s="9">
        <v>1</v>
      </c>
      <c r="AH1207" s="3">
        <v>0</v>
      </c>
      <c r="AI1207" s="3">
        <v>0</v>
      </c>
      <c r="AJ1207" s="3">
        <v>0</v>
      </c>
      <c r="AK1207" s="3">
        <v>0</v>
      </c>
      <c r="AL1207" s="3">
        <v>0</v>
      </c>
      <c r="AM1207" s="3">
        <v>0</v>
      </c>
      <c r="AN1207" s="3">
        <v>1</v>
      </c>
      <c r="AO1207" s="3">
        <v>1</v>
      </c>
      <c r="AP1207" s="3">
        <v>0</v>
      </c>
      <c r="AQ1207" s="3">
        <v>0</v>
      </c>
      <c r="AR1207" s="2" t="s">
        <v>5</v>
      </c>
      <c r="AS1207" s="2" t="s">
        <v>46</v>
      </c>
      <c r="AT1207" s="5" t="str">
        <f>HYPERLINK("http://catalog.hathitrust.org/Record/101387738","HathiTrust Record")</f>
        <v>HathiTrust Record</v>
      </c>
      <c r="AU1207" s="5" t="str">
        <f>HYPERLINK("https://creighton-primo.hosted.exlibrisgroup.com/primo-explore/search?tab=default_tab&amp;search_scope=EVERYTHING&amp;vid=01CRU&amp;lang=en_US&amp;offset=0&amp;query=any,contains,991003870499702656","Catalog Record")</f>
        <v>Catalog Record</v>
      </c>
      <c r="AV1207" s="5" t="str">
        <f>HYPERLINK("http://www.worldcat.org/oclc/557511","WorldCat Record")</f>
        <v>WorldCat Record</v>
      </c>
      <c r="AW1207" s="2" t="s">
        <v>14859</v>
      </c>
      <c r="AX1207" s="2" t="s">
        <v>14860</v>
      </c>
      <c r="AY1207" s="2" t="s">
        <v>14861</v>
      </c>
      <c r="AZ1207" s="2" t="s">
        <v>14861</v>
      </c>
      <c r="BA1207" s="2" t="s">
        <v>14862</v>
      </c>
      <c r="BB1207" s="2" t="s">
        <v>20</v>
      </c>
      <c r="BE1207" s="2" t="s">
        <v>14863</v>
      </c>
      <c r="BF1207" s="2" t="s">
        <v>14864</v>
      </c>
    </row>
    <row r="1208" spans="1:58" ht="39.75" customHeight="1" x14ac:dyDescent="0.25">
      <c r="A1208" s="7" t="s">
        <v>5</v>
      </c>
      <c r="B1208" s="1" t="s">
        <v>0</v>
      </c>
      <c r="C1208" s="1" t="s">
        <v>1</v>
      </c>
      <c r="D1208" s="1" t="s">
        <v>14865</v>
      </c>
      <c r="E1208" s="1" t="s">
        <v>14866</v>
      </c>
      <c r="F1208" s="1" t="s">
        <v>14867</v>
      </c>
      <c r="H1208" s="2" t="s">
        <v>5</v>
      </c>
      <c r="I1208" s="2" t="s">
        <v>6</v>
      </c>
      <c r="J1208" s="2" t="s">
        <v>5</v>
      </c>
      <c r="K1208" s="2" t="s">
        <v>5</v>
      </c>
      <c r="L1208" s="2" t="s">
        <v>7</v>
      </c>
      <c r="N1208" s="1" t="s">
        <v>14868</v>
      </c>
      <c r="O1208" s="2" t="s">
        <v>91</v>
      </c>
      <c r="Q1208" s="2" t="s">
        <v>1151</v>
      </c>
      <c r="R1208" s="2" t="s">
        <v>4146</v>
      </c>
      <c r="S1208" s="1" t="s">
        <v>14869</v>
      </c>
      <c r="T1208" s="2" t="s">
        <v>13</v>
      </c>
      <c r="U1208" s="3">
        <v>1</v>
      </c>
      <c r="V1208" s="3">
        <v>1</v>
      </c>
      <c r="W1208" s="4" t="s">
        <v>10380</v>
      </c>
      <c r="X1208" s="4" t="s">
        <v>10380</v>
      </c>
      <c r="Y1208" s="4" t="s">
        <v>10381</v>
      </c>
      <c r="Z1208" s="4" t="s">
        <v>10381</v>
      </c>
      <c r="AA1208" s="3">
        <v>4</v>
      </c>
      <c r="AB1208" s="3">
        <v>4</v>
      </c>
      <c r="AC1208" s="3">
        <v>34</v>
      </c>
      <c r="AD1208" s="3">
        <v>1</v>
      </c>
      <c r="AE1208" s="9">
        <v>1</v>
      </c>
      <c r="AF1208" s="9">
        <v>0</v>
      </c>
      <c r="AG1208" s="9">
        <v>2</v>
      </c>
      <c r="AH1208" s="3">
        <v>0</v>
      </c>
      <c r="AI1208" s="3">
        <v>0</v>
      </c>
      <c r="AJ1208" s="3">
        <v>0</v>
      </c>
      <c r="AK1208" s="3">
        <v>1</v>
      </c>
      <c r="AL1208" s="3">
        <v>0</v>
      </c>
      <c r="AM1208" s="3">
        <v>1</v>
      </c>
      <c r="AN1208" s="3">
        <v>0</v>
      </c>
      <c r="AO1208" s="3">
        <v>0</v>
      </c>
      <c r="AP1208" s="3">
        <v>0</v>
      </c>
      <c r="AQ1208" s="3">
        <v>0</v>
      </c>
      <c r="AR1208" s="2" t="s">
        <v>5</v>
      </c>
      <c r="AS1208" s="2" t="s">
        <v>5</v>
      </c>
      <c r="AU1208" s="5" t="str">
        <f>HYPERLINK("https://creighton-primo.hosted.exlibrisgroup.com/primo-explore/search?tab=default_tab&amp;search_scope=EVERYTHING&amp;vid=01CRU&amp;lang=en_US&amp;offset=0&amp;query=any,contains,991003694799702656","Catalog Record")</f>
        <v>Catalog Record</v>
      </c>
      <c r="AV1208" s="5" t="str">
        <f>HYPERLINK("http://www.worldcat.org/oclc/34998197","WorldCat Record")</f>
        <v>WorldCat Record</v>
      </c>
      <c r="AW1208" s="2" t="s">
        <v>14870</v>
      </c>
      <c r="AX1208" s="2" t="s">
        <v>14871</v>
      </c>
      <c r="AY1208" s="2" t="s">
        <v>14872</v>
      </c>
      <c r="AZ1208" s="2" t="s">
        <v>14872</v>
      </c>
      <c r="BA1208" s="2" t="s">
        <v>14873</v>
      </c>
      <c r="BB1208" s="2" t="s">
        <v>20</v>
      </c>
      <c r="BE1208" s="2" t="s">
        <v>14874</v>
      </c>
      <c r="BF1208" s="2" t="s">
        <v>14875</v>
      </c>
    </row>
    <row r="1209" spans="1:58" ht="39.75" customHeight="1" x14ac:dyDescent="0.25">
      <c r="A1209" s="7" t="s">
        <v>5</v>
      </c>
      <c r="B1209" s="1" t="s">
        <v>0</v>
      </c>
      <c r="C1209" s="1" t="s">
        <v>1</v>
      </c>
      <c r="D1209" s="1" t="s">
        <v>14876</v>
      </c>
      <c r="E1209" s="1" t="s">
        <v>14877</v>
      </c>
      <c r="F1209" s="1" t="s">
        <v>14878</v>
      </c>
      <c r="H1209" s="2" t="s">
        <v>5</v>
      </c>
      <c r="I1209" s="2" t="s">
        <v>6</v>
      </c>
      <c r="J1209" s="2" t="s">
        <v>5</v>
      </c>
      <c r="K1209" s="2" t="s">
        <v>5</v>
      </c>
      <c r="L1209" s="2" t="s">
        <v>7</v>
      </c>
      <c r="M1209" s="1" t="s">
        <v>14879</v>
      </c>
      <c r="N1209" s="1" t="s">
        <v>14880</v>
      </c>
      <c r="O1209" s="2" t="s">
        <v>468</v>
      </c>
      <c r="Q1209" s="2" t="s">
        <v>1151</v>
      </c>
      <c r="R1209" s="2" t="s">
        <v>1152</v>
      </c>
      <c r="S1209" s="1" t="s">
        <v>14881</v>
      </c>
      <c r="T1209" s="2" t="s">
        <v>13</v>
      </c>
      <c r="U1209" s="3">
        <v>1</v>
      </c>
      <c r="V1209" s="3">
        <v>1</v>
      </c>
      <c r="W1209" s="4" t="s">
        <v>8667</v>
      </c>
      <c r="X1209" s="4" t="s">
        <v>8667</v>
      </c>
      <c r="Y1209" s="4" t="s">
        <v>8667</v>
      </c>
      <c r="Z1209" s="4" t="s">
        <v>8667</v>
      </c>
      <c r="AA1209" s="3">
        <v>72</v>
      </c>
      <c r="AB1209" s="3">
        <v>62</v>
      </c>
      <c r="AC1209" s="3">
        <v>64</v>
      </c>
      <c r="AD1209" s="3">
        <v>1</v>
      </c>
      <c r="AE1209" s="9">
        <v>1</v>
      </c>
      <c r="AF1209" s="9">
        <v>2</v>
      </c>
      <c r="AG1209" s="9">
        <v>2</v>
      </c>
      <c r="AH1209" s="3">
        <v>1</v>
      </c>
      <c r="AI1209" s="3">
        <v>1</v>
      </c>
      <c r="AJ1209" s="3">
        <v>1</v>
      </c>
      <c r="AK1209" s="3">
        <v>1</v>
      </c>
      <c r="AL1209" s="3">
        <v>2</v>
      </c>
      <c r="AM1209" s="3">
        <v>2</v>
      </c>
      <c r="AN1209" s="3">
        <v>0</v>
      </c>
      <c r="AO1209" s="3">
        <v>0</v>
      </c>
      <c r="AP1209" s="3">
        <v>0</v>
      </c>
      <c r="AQ1209" s="3">
        <v>0</v>
      </c>
      <c r="AR1209" s="2" t="s">
        <v>5</v>
      </c>
      <c r="AS1209" s="2" t="s">
        <v>46</v>
      </c>
      <c r="AT1209" s="5" t="str">
        <f>HYPERLINK("http://catalog.hathitrust.org/Record/001048264","HathiTrust Record")</f>
        <v>HathiTrust Record</v>
      </c>
      <c r="AU1209" s="5" t="str">
        <f>HYPERLINK("https://creighton-primo.hosted.exlibrisgroup.com/primo-explore/search?tab=default_tab&amp;search_scope=EVERYTHING&amp;vid=01CRU&amp;lang=en_US&amp;offset=0&amp;query=any,contains,991004339819702656","Catalog Record")</f>
        <v>Catalog Record</v>
      </c>
      <c r="AV1209" s="5" t="str">
        <f>HYPERLINK("http://www.worldcat.org/oclc/3911526","WorldCat Record")</f>
        <v>WorldCat Record</v>
      </c>
      <c r="AW1209" s="2" t="s">
        <v>14882</v>
      </c>
      <c r="AX1209" s="2" t="s">
        <v>14883</v>
      </c>
      <c r="AY1209" s="2" t="s">
        <v>14884</v>
      </c>
      <c r="AZ1209" s="2" t="s">
        <v>14884</v>
      </c>
      <c r="BA1209" s="2" t="s">
        <v>14885</v>
      </c>
      <c r="BB1209" s="2" t="s">
        <v>20</v>
      </c>
      <c r="BE1209" s="2" t="s">
        <v>14886</v>
      </c>
      <c r="BF1209" s="2" t="s">
        <v>14887</v>
      </c>
    </row>
    <row r="1210" spans="1:58" ht="39.75" customHeight="1" x14ac:dyDescent="0.25">
      <c r="A1210" s="7" t="s">
        <v>5</v>
      </c>
      <c r="B1210" s="1" t="s">
        <v>0</v>
      </c>
      <c r="C1210" s="1" t="s">
        <v>1</v>
      </c>
      <c r="D1210" s="1" t="s">
        <v>14888</v>
      </c>
      <c r="E1210" s="1" t="s">
        <v>14889</v>
      </c>
      <c r="F1210" s="1" t="s">
        <v>14890</v>
      </c>
      <c r="H1210" s="2" t="s">
        <v>5</v>
      </c>
      <c r="I1210" s="2" t="s">
        <v>6</v>
      </c>
      <c r="J1210" s="2" t="s">
        <v>5</v>
      </c>
      <c r="K1210" s="2" t="s">
        <v>5</v>
      </c>
      <c r="L1210" s="2" t="s">
        <v>7</v>
      </c>
      <c r="N1210" s="1" t="s">
        <v>14891</v>
      </c>
      <c r="O1210" s="2" t="s">
        <v>42</v>
      </c>
      <c r="P1210" s="1" t="s">
        <v>5373</v>
      </c>
      <c r="Q1210" s="2" t="s">
        <v>1151</v>
      </c>
      <c r="R1210" s="2" t="s">
        <v>4146</v>
      </c>
      <c r="S1210" s="1" t="s">
        <v>14892</v>
      </c>
      <c r="T1210" s="2" t="s">
        <v>13</v>
      </c>
      <c r="U1210" s="3">
        <v>1</v>
      </c>
      <c r="V1210" s="3">
        <v>1</v>
      </c>
      <c r="W1210" s="4" t="s">
        <v>8639</v>
      </c>
      <c r="X1210" s="4" t="s">
        <v>8639</v>
      </c>
      <c r="Y1210" s="4" t="s">
        <v>8639</v>
      </c>
      <c r="Z1210" s="4" t="s">
        <v>8639</v>
      </c>
      <c r="AA1210" s="3">
        <v>12</v>
      </c>
      <c r="AB1210" s="3">
        <v>11</v>
      </c>
      <c r="AC1210" s="3">
        <v>61</v>
      </c>
      <c r="AD1210" s="3">
        <v>1</v>
      </c>
      <c r="AE1210" s="9">
        <v>1</v>
      </c>
      <c r="AF1210" s="9">
        <v>0</v>
      </c>
      <c r="AG1210" s="9">
        <v>2</v>
      </c>
      <c r="AH1210" s="3">
        <v>0</v>
      </c>
      <c r="AI1210" s="3">
        <v>1</v>
      </c>
      <c r="AJ1210" s="3">
        <v>0</v>
      </c>
      <c r="AK1210" s="3">
        <v>1</v>
      </c>
      <c r="AL1210" s="3">
        <v>0</v>
      </c>
      <c r="AM1210" s="3">
        <v>2</v>
      </c>
      <c r="AN1210" s="3">
        <v>0</v>
      </c>
      <c r="AO1210" s="3">
        <v>0</v>
      </c>
      <c r="AP1210" s="3">
        <v>0</v>
      </c>
      <c r="AQ1210" s="3">
        <v>0</v>
      </c>
      <c r="AR1210" s="2" t="s">
        <v>5</v>
      </c>
      <c r="AS1210" s="2" t="s">
        <v>5</v>
      </c>
      <c r="AU1210" s="5" t="str">
        <f>HYPERLINK("https://creighton-primo.hosted.exlibrisgroup.com/primo-explore/search?tab=default_tab&amp;search_scope=EVERYTHING&amp;vid=01CRU&amp;lang=en_US&amp;offset=0&amp;query=any,contains,991004332569702656","Catalog Record")</f>
        <v>Catalog Record</v>
      </c>
      <c r="AV1210" s="5" t="str">
        <f>HYPERLINK("http://www.worldcat.org/oclc/25509458","WorldCat Record")</f>
        <v>WorldCat Record</v>
      </c>
      <c r="AW1210" s="2" t="s">
        <v>14893</v>
      </c>
      <c r="AX1210" s="2" t="s">
        <v>14894</v>
      </c>
      <c r="AY1210" s="2" t="s">
        <v>14895</v>
      </c>
      <c r="AZ1210" s="2" t="s">
        <v>14895</v>
      </c>
      <c r="BA1210" s="2" t="s">
        <v>14896</v>
      </c>
      <c r="BB1210" s="2" t="s">
        <v>20</v>
      </c>
      <c r="BD1210" s="2" t="s">
        <v>14897</v>
      </c>
      <c r="BE1210" s="2" t="s">
        <v>14898</v>
      </c>
      <c r="BF1210" s="2" t="s">
        <v>14899</v>
      </c>
    </row>
    <row r="1211" spans="1:58" ht="39.75" customHeight="1" x14ac:dyDescent="0.25">
      <c r="A1211" s="7" t="s">
        <v>5</v>
      </c>
      <c r="B1211" s="1" t="s">
        <v>0</v>
      </c>
      <c r="C1211" s="1" t="s">
        <v>1</v>
      </c>
      <c r="D1211" s="1" t="s">
        <v>14900</v>
      </c>
      <c r="E1211" s="1" t="s">
        <v>14901</v>
      </c>
      <c r="F1211" s="1" t="s">
        <v>14902</v>
      </c>
      <c r="H1211" s="2" t="s">
        <v>5</v>
      </c>
      <c r="I1211" s="2" t="s">
        <v>6</v>
      </c>
      <c r="J1211" s="2" t="s">
        <v>5</v>
      </c>
      <c r="K1211" s="2" t="s">
        <v>5</v>
      </c>
      <c r="L1211" s="2" t="s">
        <v>7</v>
      </c>
      <c r="M1211" s="1" t="s">
        <v>14903</v>
      </c>
      <c r="N1211" s="1" t="s">
        <v>14904</v>
      </c>
      <c r="O1211" s="2" t="s">
        <v>1418</v>
      </c>
      <c r="Q1211" s="2" t="s">
        <v>1151</v>
      </c>
      <c r="R1211" s="2" t="s">
        <v>14378</v>
      </c>
      <c r="S1211" s="1" t="s">
        <v>14905</v>
      </c>
      <c r="T1211" s="2" t="s">
        <v>13</v>
      </c>
      <c r="U1211" s="3">
        <v>1</v>
      </c>
      <c r="V1211" s="3">
        <v>1</v>
      </c>
      <c r="W1211" s="4" t="s">
        <v>8667</v>
      </c>
      <c r="X1211" s="4" t="s">
        <v>8667</v>
      </c>
      <c r="Y1211" s="4" t="s">
        <v>8667</v>
      </c>
      <c r="Z1211" s="4" t="s">
        <v>8667</v>
      </c>
      <c r="AA1211" s="3">
        <v>99</v>
      </c>
      <c r="AB1211" s="3">
        <v>80</v>
      </c>
      <c r="AC1211" s="3">
        <v>83</v>
      </c>
      <c r="AD1211" s="3">
        <v>2</v>
      </c>
      <c r="AE1211" s="9">
        <v>2</v>
      </c>
      <c r="AF1211" s="9">
        <v>1</v>
      </c>
      <c r="AG1211" s="9">
        <v>1</v>
      </c>
      <c r="AH1211" s="3">
        <v>0</v>
      </c>
      <c r="AI1211" s="3">
        <v>0</v>
      </c>
      <c r="AJ1211" s="3">
        <v>0</v>
      </c>
      <c r="AK1211" s="3">
        <v>0</v>
      </c>
      <c r="AL1211" s="3">
        <v>0</v>
      </c>
      <c r="AM1211" s="3">
        <v>0</v>
      </c>
      <c r="AN1211" s="3">
        <v>1</v>
      </c>
      <c r="AO1211" s="3">
        <v>1</v>
      </c>
      <c r="AP1211" s="3">
        <v>0</v>
      </c>
      <c r="AQ1211" s="3">
        <v>0</v>
      </c>
      <c r="AR1211" s="2" t="s">
        <v>5</v>
      </c>
      <c r="AS1211" s="2" t="s">
        <v>46</v>
      </c>
      <c r="AT1211" s="5" t="str">
        <f>HYPERLINK("http://catalog.hathitrust.org/Record/101389648","HathiTrust Record")</f>
        <v>HathiTrust Record</v>
      </c>
      <c r="AU1211" s="5" t="str">
        <f>HYPERLINK("https://creighton-primo.hosted.exlibrisgroup.com/primo-explore/search?tab=default_tab&amp;search_scope=EVERYTHING&amp;vid=01CRU&amp;lang=en_US&amp;offset=0&amp;query=any,contains,991004341519702656","Catalog Record")</f>
        <v>Catalog Record</v>
      </c>
      <c r="AV1211" s="5" t="str">
        <f>HYPERLINK("http://www.worldcat.org/oclc/289770","WorldCat Record")</f>
        <v>WorldCat Record</v>
      </c>
      <c r="AW1211" s="2" t="s">
        <v>14906</v>
      </c>
      <c r="AX1211" s="2" t="s">
        <v>14907</v>
      </c>
      <c r="AY1211" s="2" t="s">
        <v>14908</v>
      </c>
      <c r="AZ1211" s="2" t="s">
        <v>14908</v>
      </c>
      <c r="BA1211" s="2" t="s">
        <v>14909</v>
      </c>
      <c r="BB1211" s="2" t="s">
        <v>20</v>
      </c>
      <c r="BE1211" s="2" t="s">
        <v>14910</v>
      </c>
      <c r="BF1211" s="2" t="s">
        <v>14911</v>
      </c>
    </row>
    <row r="1212" spans="1:58" ht="39.75" customHeight="1" x14ac:dyDescent="0.25">
      <c r="A1212" s="7" t="s">
        <v>5</v>
      </c>
      <c r="B1212" s="1" t="s">
        <v>0</v>
      </c>
      <c r="C1212" s="1" t="s">
        <v>1</v>
      </c>
      <c r="D1212" s="1" t="s">
        <v>14912</v>
      </c>
      <c r="E1212" s="1" t="s">
        <v>14913</v>
      </c>
      <c r="F1212" s="1" t="s">
        <v>14914</v>
      </c>
      <c r="H1212" s="2" t="s">
        <v>5</v>
      </c>
      <c r="I1212" s="2" t="s">
        <v>6</v>
      </c>
      <c r="J1212" s="2" t="s">
        <v>5</v>
      </c>
      <c r="K1212" s="2" t="s">
        <v>5</v>
      </c>
      <c r="L1212" s="2" t="s">
        <v>7</v>
      </c>
      <c r="M1212" s="1" t="s">
        <v>14915</v>
      </c>
      <c r="N1212" s="1" t="s">
        <v>14916</v>
      </c>
      <c r="O1212" s="2" t="s">
        <v>1515</v>
      </c>
      <c r="Q1212" s="2" t="s">
        <v>1151</v>
      </c>
      <c r="R1212" s="2" t="s">
        <v>4146</v>
      </c>
      <c r="S1212" s="1" t="s">
        <v>14917</v>
      </c>
      <c r="T1212" s="2" t="s">
        <v>13</v>
      </c>
      <c r="U1212" s="3">
        <v>1</v>
      </c>
      <c r="V1212" s="3">
        <v>1</v>
      </c>
      <c r="W1212" s="4" t="s">
        <v>10532</v>
      </c>
      <c r="X1212" s="4" t="s">
        <v>10532</v>
      </c>
      <c r="Y1212" s="4" t="s">
        <v>10532</v>
      </c>
      <c r="Z1212" s="4" t="s">
        <v>10532</v>
      </c>
      <c r="AA1212" s="3">
        <v>134</v>
      </c>
      <c r="AB1212" s="3">
        <v>90</v>
      </c>
      <c r="AC1212" s="3">
        <v>116</v>
      </c>
      <c r="AD1212" s="3">
        <v>2</v>
      </c>
      <c r="AE1212" s="9">
        <v>2</v>
      </c>
      <c r="AF1212" s="9">
        <v>5</v>
      </c>
      <c r="AG1212" s="9">
        <v>6</v>
      </c>
      <c r="AH1212" s="3">
        <v>0</v>
      </c>
      <c r="AI1212" s="3">
        <v>0</v>
      </c>
      <c r="AJ1212" s="3">
        <v>3</v>
      </c>
      <c r="AK1212" s="3">
        <v>4</v>
      </c>
      <c r="AL1212" s="3">
        <v>2</v>
      </c>
      <c r="AM1212" s="3">
        <v>3</v>
      </c>
      <c r="AN1212" s="3">
        <v>1</v>
      </c>
      <c r="AO1212" s="3">
        <v>1</v>
      </c>
      <c r="AP1212" s="3">
        <v>0</v>
      </c>
      <c r="AQ1212" s="3">
        <v>0</v>
      </c>
      <c r="AR1212" s="2" t="s">
        <v>5</v>
      </c>
      <c r="AS1212" s="2" t="s">
        <v>46</v>
      </c>
      <c r="AT1212" s="5" t="str">
        <f>HYPERLINK("http://catalog.hathitrust.org/Record/000225587","HathiTrust Record")</f>
        <v>HathiTrust Record</v>
      </c>
      <c r="AU1212" s="5" t="str">
        <f>HYPERLINK("https://creighton-primo.hosted.exlibrisgroup.com/primo-explore/search?tab=default_tab&amp;search_scope=EVERYTHING&amp;vid=01CRU&amp;lang=en_US&amp;offset=0&amp;query=any,contains,991003681829702656","Catalog Record")</f>
        <v>Catalog Record</v>
      </c>
      <c r="AV1212" s="5" t="str">
        <f>HYPERLINK("http://www.worldcat.org/oclc/7944976","WorldCat Record")</f>
        <v>WorldCat Record</v>
      </c>
      <c r="AW1212" s="2" t="s">
        <v>14918</v>
      </c>
      <c r="AX1212" s="2" t="s">
        <v>14919</v>
      </c>
      <c r="AY1212" s="2" t="s">
        <v>14920</v>
      </c>
      <c r="AZ1212" s="2" t="s">
        <v>14920</v>
      </c>
      <c r="BA1212" s="2" t="s">
        <v>14921</v>
      </c>
      <c r="BB1212" s="2" t="s">
        <v>20</v>
      </c>
      <c r="BD1212" s="2" t="s">
        <v>14922</v>
      </c>
      <c r="BE1212" s="2" t="s">
        <v>14923</v>
      </c>
      <c r="BF1212" s="2" t="s">
        <v>14924</v>
      </c>
    </row>
    <row r="1213" spans="1:58" ht="39.75" customHeight="1" x14ac:dyDescent="0.25">
      <c r="A1213" s="7" t="s">
        <v>5</v>
      </c>
      <c r="B1213" s="1" t="s">
        <v>0</v>
      </c>
      <c r="C1213" s="1" t="s">
        <v>1</v>
      </c>
      <c r="D1213" s="1" t="s">
        <v>14925</v>
      </c>
      <c r="E1213" s="1" t="s">
        <v>14926</v>
      </c>
      <c r="F1213" s="1" t="s">
        <v>14927</v>
      </c>
      <c r="H1213" s="2" t="s">
        <v>5</v>
      </c>
      <c r="I1213" s="2" t="s">
        <v>6</v>
      </c>
      <c r="J1213" s="2" t="s">
        <v>5</v>
      </c>
      <c r="K1213" s="2" t="s">
        <v>5</v>
      </c>
      <c r="L1213" s="2" t="s">
        <v>7</v>
      </c>
      <c r="M1213" s="1" t="s">
        <v>14928</v>
      </c>
      <c r="N1213" s="1" t="s">
        <v>14929</v>
      </c>
      <c r="O1213" s="2" t="s">
        <v>177</v>
      </c>
      <c r="Q1213" s="2" t="s">
        <v>1151</v>
      </c>
      <c r="R1213" s="2" t="s">
        <v>4146</v>
      </c>
      <c r="S1213" s="1" t="s">
        <v>14930</v>
      </c>
      <c r="T1213" s="2" t="s">
        <v>13</v>
      </c>
      <c r="U1213" s="3">
        <v>1</v>
      </c>
      <c r="V1213" s="3">
        <v>1</v>
      </c>
      <c r="W1213" s="4" t="s">
        <v>5642</v>
      </c>
      <c r="X1213" s="4" t="s">
        <v>5642</v>
      </c>
      <c r="Y1213" s="4" t="s">
        <v>5642</v>
      </c>
      <c r="Z1213" s="4" t="s">
        <v>5642</v>
      </c>
      <c r="AA1213" s="3">
        <v>39</v>
      </c>
      <c r="AB1213" s="3">
        <v>35</v>
      </c>
      <c r="AC1213" s="3">
        <v>40</v>
      </c>
      <c r="AD1213" s="3">
        <v>1</v>
      </c>
      <c r="AE1213" s="9">
        <v>1</v>
      </c>
      <c r="AF1213" s="9">
        <v>1</v>
      </c>
      <c r="AG1213" s="9">
        <v>2</v>
      </c>
      <c r="AH1213" s="3">
        <v>0</v>
      </c>
      <c r="AI1213" s="3">
        <v>0</v>
      </c>
      <c r="AJ1213" s="3">
        <v>1</v>
      </c>
      <c r="AK1213" s="3">
        <v>2</v>
      </c>
      <c r="AL1213" s="3">
        <v>1</v>
      </c>
      <c r="AM1213" s="3">
        <v>1</v>
      </c>
      <c r="AN1213" s="3">
        <v>0</v>
      </c>
      <c r="AO1213" s="3">
        <v>0</v>
      </c>
      <c r="AP1213" s="3">
        <v>0</v>
      </c>
      <c r="AQ1213" s="3">
        <v>0</v>
      </c>
      <c r="AR1213" s="2" t="s">
        <v>5</v>
      </c>
      <c r="AS1213" s="2" t="s">
        <v>46</v>
      </c>
      <c r="AT1213" s="5" t="str">
        <f>HYPERLINK("http://catalog.hathitrust.org/Record/012390024","HathiTrust Record")</f>
        <v>HathiTrust Record</v>
      </c>
      <c r="AU1213" s="5" t="str">
        <f>HYPERLINK("https://creighton-primo.hosted.exlibrisgroup.com/primo-explore/search?tab=default_tab&amp;search_scope=EVERYTHING&amp;vid=01CRU&amp;lang=en_US&amp;offset=0&amp;query=any,contains,991003739169702656","Catalog Record")</f>
        <v>Catalog Record</v>
      </c>
      <c r="AV1213" s="5" t="str">
        <f>HYPERLINK("http://www.worldcat.org/oclc/3089322","WorldCat Record")</f>
        <v>WorldCat Record</v>
      </c>
      <c r="AW1213" s="2" t="s">
        <v>14931</v>
      </c>
      <c r="AX1213" s="2" t="s">
        <v>14932</v>
      </c>
      <c r="AY1213" s="2" t="s">
        <v>14933</v>
      </c>
      <c r="AZ1213" s="2" t="s">
        <v>14933</v>
      </c>
      <c r="BA1213" s="2" t="s">
        <v>14934</v>
      </c>
      <c r="BB1213" s="2" t="s">
        <v>20</v>
      </c>
      <c r="BE1213" s="2" t="s">
        <v>14935</v>
      </c>
      <c r="BF1213" s="2" t="s">
        <v>14936</v>
      </c>
    </row>
    <row r="1214" spans="1:58" ht="39.75" customHeight="1" x14ac:dyDescent="0.25">
      <c r="A1214" s="7" t="s">
        <v>5</v>
      </c>
      <c r="B1214" s="1" t="s">
        <v>0</v>
      </c>
      <c r="C1214" s="1" t="s">
        <v>1</v>
      </c>
      <c r="D1214" s="1" t="s">
        <v>14937</v>
      </c>
      <c r="E1214" s="1" t="s">
        <v>14938</v>
      </c>
      <c r="F1214" s="1" t="s">
        <v>14939</v>
      </c>
      <c r="H1214" s="2" t="s">
        <v>5</v>
      </c>
      <c r="I1214" s="2" t="s">
        <v>6</v>
      </c>
      <c r="J1214" s="2" t="s">
        <v>5</v>
      </c>
      <c r="K1214" s="2" t="s">
        <v>5</v>
      </c>
      <c r="L1214" s="2" t="s">
        <v>7</v>
      </c>
      <c r="M1214" s="1" t="s">
        <v>14940</v>
      </c>
      <c r="N1214" s="1" t="s">
        <v>14941</v>
      </c>
      <c r="O1214" s="2" t="s">
        <v>162</v>
      </c>
      <c r="Q1214" s="2" t="s">
        <v>1151</v>
      </c>
      <c r="R1214" s="2" t="s">
        <v>4146</v>
      </c>
      <c r="S1214" s="1" t="s">
        <v>13612</v>
      </c>
      <c r="T1214" s="2" t="s">
        <v>13</v>
      </c>
      <c r="U1214" s="3">
        <v>1</v>
      </c>
      <c r="V1214" s="3">
        <v>1</v>
      </c>
      <c r="W1214" s="4" t="s">
        <v>5642</v>
      </c>
      <c r="X1214" s="4" t="s">
        <v>5642</v>
      </c>
      <c r="Y1214" s="4" t="s">
        <v>5642</v>
      </c>
      <c r="Z1214" s="4" t="s">
        <v>5642</v>
      </c>
      <c r="AA1214" s="3">
        <v>43</v>
      </c>
      <c r="AB1214" s="3">
        <v>27</v>
      </c>
      <c r="AC1214" s="3">
        <v>28</v>
      </c>
      <c r="AD1214" s="3">
        <v>2</v>
      </c>
      <c r="AE1214" s="9">
        <v>2</v>
      </c>
      <c r="AF1214" s="9">
        <v>1</v>
      </c>
      <c r="AG1214" s="9">
        <v>1</v>
      </c>
      <c r="AH1214" s="3">
        <v>0</v>
      </c>
      <c r="AI1214" s="3">
        <v>0</v>
      </c>
      <c r="AJ1214" s="3">
        <v>0</v>
      </c>
      <c r="AK1214" s="3">
        <v>0</v>
      </c>
      <c r="AL1214" s="3">
        <v>0</v>
      </c>
      <c r="AM1214" s="3">
        <v>0</v>
      </c>
      <c r="AN1214" s="3">
        <v>1</v>
      </c>
      <c r="AO1214" s="3">
        <v>1</v>
      </c>
      <c r="AP1214" s="3">
        <v>0</v>
      </c>
      <c r="AQ1214" s="3">
        <v>0</v>
      </c>
      <c r="AR1214" s="2" t="s">
        <v>5</v>
      </c>
      <c r="AS1214" s="2" t="s">
        <v>5</v>
      </c>
      <c r="AU1214" s="5" t="str">
        <f>HYPERLINK("https://creighton-primo.hosted.exlibrisgroup.com/primo-explore/search?tab=default_tab&amp;search_scope=EVERYTHING&amp;vid=01CRU&amp;lang=en_US&amp;offset=0&amp;query=any,contains,991003739459702656","Catalog Record")</f>
        <v>Catalog Record</v>
      </c>
      <c r="AV1214" s="5" t="str">
        <f>HYPERLINK("http://www.worldcat.org/oclc/1745569","WorldCat Record")</f>
        <v>WorldCat Record</v>
      </c>
      <c r="AW1214" s="2" t="s">
        <v>14942</v>
      </c>
      <c r="AX1214" s="2" t="s">
        <v>14943</v>
      </c>
      <c r="AY1214" s="2" t="s">
        <v>14944</v>
      </c>
      <c r="AZ1214" s="2" t="s">
        <v>14944</v>
      </c>
      <c r="BA1214" s="2" t="s">
        <v>14945</v>
      </c>
      <c r="BB1214" s="2" t="s">
        <v>20</v>
      </c>
      <c r="BE1214" s="2" t="s">
        <v>14946</v>
      </c>
      <c r="BF1214" s="2" t="s">
        <v>14947</v>
      </c>
    </row>
    <row r="1215" spans="1:58" ht="39.75" customHeight="1" x14ac:dyDescent="0.25">
      <c r="A1215" s="7" t="s">
        <v>5</v>
      </c>
      <c r="B1215" s="1" t="s">
        <v>0</v>
      </c>
      <c r="C1215" s="1" t="s">
        <v>1</v>
      </c>
      <c r="D1215" s="1" t="s">
        <v>14948</v>
      </c>
      <c r="E1215" s="1" t="s">
        <v>14949</v>
      </c>
      <c r="F1215" s="1" t="s">
        <v>14950</v>
      </c>
      <c r="H1215" s="2" t="s">
        <v>5</v>
      </c>
      <c r="I1215" s="2" t="s">
        <v>6</v>
      </c>
      <c r="J1215" s="2" t="s">
        <v>5</v>
      </c>
      <c r="K1215" s="2" t="s">
        <v>5</v>
      </c>
      <c r="L1215" s="2" t="s">
        <v>7</v>
      </c>
      <c r="M1215" s="1" t="s">
        <v>14951</v>
      </c>
      <c r="N1215" s="1" t="s">
        <v>14952</v>
      </c>
      <c r="O1215" s="2" t="s">
        <v>177</v>
      </c>
      <c r="Q1215" s="2" t="s">
        <v>1151</v>
      </c>
      <c r="R1215" s="2" t="s">
        <v>4146</v>
      </c>
      <c r="S1215" s="1" t="s">
        <v>14953</v>
      </c>
      <c r="T1215" s="2" t="s">
        <v>13</v>
      </c>
      <c r="U1215" s="3">
        <v>1</v>
      </c>
      <c r="V1215" s="3">
        <v>1</v>
      </c>
      <c r="W1215" s="4" t="s">
        <v>6701</v>
      </c>
      <c r="X1215" s="4" t="s">
        <v>6701</v>
      </c>
      <c r="Y1215" s="4" t="s">
        <v>6702</v>
      </c>
      <c r="Z1215" s="4" t="s">
        <v>6702</v>
      </c>
      <c r="AA1215" s="3">
        <v>61</v>
      </c>
      <c r="AB1215" s="3">
        <v>48</v>
      </c>
      <c r="AC1215" s="3">
        <v>54</v>
      </c>
      <c r="AD1215" s="3">
        <v>1</v>
      </c>
      <c r="AE1215" s="9">
        <v>1</v>
      </c>
      <c r="AF1215" s="9">
        <v>2</v>
      </c>
      <c r="AG1215" s="9">
        <v>2</v>
      </c>
      <c r="AH1215" s="3">
        <v>0</v>
      </c>
      <c r="AI1215" s="3">
        <v>0</v>
      </c>
      <c r="AJ1215" s="3">
        <v>0</v>
      </c>
      <c r="AK1215" s="3">
        <v>0</v>
      </c>
      <c r="AL1215" s="3">
        <v>2</v>
      </c>
      <c r="AM1215" s="3">
        <v>2</v>
      </c>
      <c r="AN1215" s="3">
        <v>0</v>
      </c>
      <c r="AO1215" s="3">
        <v>0</v>
      </c>
      <c r="AP1215" s="3">
        <v>0</v>
      </c>
      <c r="AQ1215" s="3">
        <v>0</v>
      </c>
      <c r="AR1215" s="2" t="s">
        <v>5</v>
      </c>
      <c r="AS1215" s="2" t="s">
        <v>46</v>
      </c>
      <c r="AT1215" s="5" t="str">
        <f>HYPERLINK("http://catalog.hathitrust.org/Record/101163767","HathiTrust Record")</f>
        <v>HathiTrust Record</v>
      </c>
      <c r="AU1215" s="5" t="str">
        <f>HYPERLINK("https://creighton-primo.hosted.exlibrisgroup.com/primo-explore/search?tab=default_tab&amp;search_scope=EVERYTHING&amp;vid=01CRU&amp;lang=en_US&amp;offset=0&amp;query=any,contains,991003758829702656","Catalog Record")</f>
        <v>Catalog Record</v>
      </c>
      <c r="AV1215" s="5" t="str">
        <f>HYPERLINK("http://www.worldcat.org/oclc/3012027","WorldCat Record")</f>
        <v>WorldCat Record</v>
      </c>
      <c r="AW1215" s="2" t="s">
        <v>14954</v>
      </c>
      <c r="AX1215" s="2" t="s">
        <v>14955</v>
      </c>
      <c r="AY1215" s="2" t="s">
        <v>14956</v>
      </c>
      <c r="AZ1215" s="2" t="s">
        <v>14956</v>
      </c>
      <c r="BA1215" s="2" t="s">
        <v>14957</v>
      </c>
      <c r="BB1215" s="2" t="s">
        <v>20</v>
      </c>
      <c r="BE1215" s="2" t="s">
        <v>14958</v>
      </c>
      <c r="BF1215" s="2" t="s">
        <v>14959</v>
      </c>
    </row>
    <row r="1216" spans="1:58" ht="39.75" customHeight="1" x14ac:dyDescent="0.25">
      <c r="A1216" s="7" t="s">
        <v>5</v>
      </c>
      <c r="B1216" s="1" t="s">
        <v>0</v>
      </c>
      <c r="C1216" s="1" t="s">
        <v>1</v>
      </c>
      <c r="D1216" s="1" t="s">
        <v>14960</v>
      </c>
      <c r="E1216" s="1" t="s">
        <v>14961</v>
      </c>
      <c r="F1216" s="1" t="s">
        <v>14962</v>
      </c>
      <c r="H1216" s="2" t="s">
        <v>5</v>
      </c>
      <c r="I1216" s="2" t="s">
        <v>6</v>
      </c>
      <c r="J1216" s="2" t="s">
        <v>5</v>
      </c>
      <c r="K1216" s="2" t="s">
        <v>5</v>
      </c>
      <c r="L1216" s="2" t="s">
        <v>7</v>
      </c>
      <c r="M1216" s="1" t="s">
        <v>14963</v>
      </c>
      <c r="N1216" s="1" t="s">
        <v>14964</v>
      </c>
      <c r="O1216" s="2" t="s">
        <v>42</v>
      </c>
      <c r="Q1216" s="2" t="s">
        <v>1151</v>
      </c>
      <c r="R1216" s="2" t="s">
        <v>4146</v>
      </c>
      <c r="T1216" s="2" t="s">
        <v>13</v>
      </c>
      <c r="U1216" s="3">
        <v>1</v>
      </c>
      <c r="V1216" s="3">
        <v>1</v>
      </c>
      <c r="W1216" s="4" t="s">
        <v>1154</v>
      </c>
      <c r="X1216" s="4" t="s">
        <v>1154</v>
      </c>
      <c r="Y1216" s="4" t="s">
        <v>1154</v>
      </c>
      <c r="Z1216" s="4" t="s">
        <v>1154</v>
      </c>
      <c r="AA1216" s="3">
        <v>32</v>
      </c>
      <c r="AB1216" s="3">
        <v>29</v>
      </c>
      <c r="AC1216" s="3">
        <v>29</v>
      </c>
      <c r="AD1216" s="3">
        <v>1</v>
      </c>
      <c r="AE1216" s="9">
        <v>1</v>
      </c>
      <c r="AF1216" s="9">
        <v>1</v>
      </c>
      <c r="AG1216" s="9">
        <v>1</v>
      </c>
      <c r="AH1216" s="3">
        <v>0</v>
      </c>
      <c r="AI1216" s="3">
        <v>0</v>
      </c>
      <c r="AJ1216" s="3">
        <v>1</v>
      </c>
      <c r="AK1216" s="3">
        <v>1</v>
      </c>
      <c r="AL1216" s="3">
        <v>1</v>
      </c>
      <c r="AM1216" s="3">
        <v>1</v>
      </c>
      <c r="AN1216" s="3">
        <v>0</v>
      </c>
      <c r="AO1216" s="3">
        <v>0</v>
      </c>
      <c r="AP1216" s="3">
        <v>0</v>
      </c>
      <c r="AQ1216" s="3">
        <v>0</v>
      </c>
      <c r="AR1216" s="2" t="s">
        <v>5</v>
      </c>
      <c r="AS1216" s="2" t="s">
        <v>5</v>
      </c>
      <c r="AU1216" s="5" t="str">
        <f>HYPERLINK("https://creighton-primo.hosted.exlibrisgroup.com/primo-explore/search?tab=default_tab&amp;search_scope=EVERYTHING&amp;vid=01CRU&amp;lang=en_US&amp;offset=0&amp;query=any,contains,991003847239702656","Catalog Record")</f>
        <v>Catalog Record</v>
      </c>
      <c r="AV1216" s="5" t="str">
        <f>HYPERLINK("http://www.worldcat.org/oclc/24431537","WorldCat Record")</f>
        <v>WorldCat Record</v>
      </c>
      <c r="AW1216" s="2" t="s">
        <v>14965</v>
      </c>
      <c r="AX1216" s="2" t="s">
        <v>14966</v>
      </c>
      <c r="AY1216" s="2" t="s">
        <v>14967</v>
      </c>
      <c r="AZ1216" s="2" t="s">
        <v>14967</v>
      </c>
      <c r="BA1216" s="2" t="s">
        <v>14968</v>
      </c>
      <c r="BB1216" s="2" t="s">
        <v>20</v>
      </c>
      <c r="BD1216" s="2" t="s">
        <v>14969</v>
      </c>
      <c r="BE1216" s="2" t="s">
        <v>14970</v>
      </c>
      <c r="BF1216" s="2" t="s">
        <v>14971</v>
      </c>
    </row>
    <row r="1217" spans="1:58" ht="39.75" customHeight="1" x14ac:dyDescent="0.25">
      <c r="A1217" s="7" t="s">
        <v>5</v>
      </c>
      <c r="B1217" s="1" t="s">
        <v>0</v>
      </c>
      <c r="C1217" s="1" t="s">
        <v>1</v>
      </c>
      <c r="D1217" s="1" t="s">
        <v>14972</v>
      </c>
      <c r="E1217" s="1" t="s">
        <v>14973</v>
      </c>
      <c r="F1217" s="1" t="s">
        <v>14974</v>
      </c>
      <c r="H1217" s="2" t="s">
        <v>5</v>
      </c>
      <c r="I1217" s="2" t="s">
        <v>6</v>
      </c>
      <c r="J1217" s="2" t="s">
        <v>5</v>
      </c>
      <c r="K1217" s="2" t="s">
        <v>5</v>
      </c>
      <c r="L1217" s="2" t="s">
        <v>7</v>
      </c>
      <c r="M1217" s="1" t="s">
        <v>14975</v>
      </c>
      <c r="N1217" s="1" t="s">
        <v>14976</v>
      </c>
      <c r="O1217" s="2" t="s">
        <v>276</v>
      </c>
      <c r="Q1217" s="2" t="s">
        <v>1151</v>
      </c>
      <c r="R1217" s="2" t="s">
        <v>4146</v>
      </c>
      <c r="S1217" s="1" t="s">
        <v>14498</v>
      </c>
      <c r="T1217" s="2" t="s">
        <v>13</v>
      </c>
      <c r="U1217" s="3">
        <v>1</v>
      </c>
      <c r="V1217" s="3">
        <v>1</v>
      </c>
      <c r="W1217" s="4" t="s">
        <v>13088</v>
      </c>
      <c r="X1217" s="4" t="s">
        <v>13088</v>
      </c>
      <c r="Y1217" s="4" t="s">
        <v>13088</v>
      </c>
      <c r="Z1217" s="4" t="s">
        <v>13088</v>
      </c>
      <c r="AA1217" s="3">
        <v>24</v>
      </c>
      <c r="AB1217" s="3">
        <v>20</v>
      </c>
      <c r="AC1217" s="3">
        <v>22</v>
      </c>
      <c r="AD1217" s="3">
        <v>2</v>
      </c>
      <c r="AE1217" s="9">
        <v>2</v>
      </c>
      <c r="AF1217" s="9">
        <v>1</v>
      </c>
      <c r="AG1217" s="9">
        <v>1</v>
      </c>
      <c r="AH1217" s="3">
        <v>0</v>
      </c>
      <c r="AI1217" s="3">
        <v>0</v>
      </c>
      <c r="AJ1217" s="3">
        <v>0</v>
      </c>
      <c r="AK1217" s="3">
        <v>0</v>
      </c>
      <c r="AL1217" s="3">
        <v>0</v>
      </c>
      <c r="AM1217" s="3">
        <v>0</v>
      </c>
      <c r="AN1217" s="3">
        <v>1</v>
      </c>
      <c r="AO1217" s="3">
        <v>1</v>
      </c>
      <c r="AP1217" s="3">
        <v>0</v>
      </c>
      <c r="AQ1217" s="3">
        <v>0</v>
      </c>
      <c r="AR1217" s="2" t="s">
        <v>5</v>
      </c>
      <c r="AS1217" s="2" t="s">
        <v>46</v>
      </c>
      <c r="AT1217" s="5" t="str">
        <f>HYPERLINK("http://catalog.hathitrust.org/Record/101163772","HathiTrust Record")</f>
        <v>HathiTrust Record</v>
      </c>
      <c r="AU1217" s="5" t="str">
        <f>HYPERLINK("https://creighton-primo.hosted.exlibrisgroup.com/primo-explore/search?tab=default_tab&amp;search_scope=EVERYTHING&amp;vid=01CRU&amp;lang=en_US&amp;offset=0&amp;query=any,contains,991003829879702656","Catalog Record")</f>
        <v>Catalog Record</v>
      </c>
      <c r="AV1217" s="5" t="str">
        <f>HYPERLINK("http://www.worldcat.org/oclc/3733271","WorldCat Record")</f>
        <v>WorldCat Record</v>
      </c>
      <c r="AW1217" s="2" t="s">
        <v>14977</v>
      </c>
      <c r="AX1217" s="2" t="s">
        <v>14978</v>
      </c>
      <c r="AY1217" s="2" t="s">
        <v>14979</v>
      </c>
      <c r="AZ1217" s="2" t="s">
        <v>14979</v>
      </c>
      <c r="BA1217" s="2" t="s">
        <v>14980</v>
      </c>
      <c r="BB1217" s="2" t="s">
        <v>20</v>
      </c>
      <c r="BE1217" s="2" t="s">
        <v>14981</v>
      </c>
      <c r="BF1217" s="2" t="s">
        <v>14982</v>
      </c>
    </row>
    <row r="1218" spans="1:58" ht="39.75" customHeight="1" x14ac:dyDescent="0.25">
      <c r="A1218" s="7" t="s">
        <v>5</v>
      </c>
      <c r="B1218" s="1" t="s">
        <v>0</v>
      </c>
      <c r="C1218" s="1" t="s">
        <v>1</v>
      </c>
      <c r="D1218" s="1" t="s">
        <v>14983</v>
      </c>
      <c r="E1218" s="1" t="s">
        <v>14984</v>
      </c>
      <c r="F1218" s="1" t="s">
        <v>14985</v>
      </c>
      <c r="H1218" s="2" t="s">
        <v>5</v>
      </c>
      <c r="I1218" s="2" t="s">
        <v>6</v>
      </c>
      <c r="J1218" s="2" t="s">
        <v>5</v>
      </c>
      <c r="K1218" s="2" t="s">
        <v>5</v>
      </c>
      <c r="L1218" s="2" t="s">
        <v>7</v>
      </c>
      <c r="N1218" s="1" t="s">
        <v>14986</v>
      </c>
      <c r="O1218" s="2" t="s">
        <v>1390</v>
      </c>
      <c r="Q1218" s="2" t="s">
        <v>1151</v>
      </c>
      <c r="R1218" s="2" t="s">
        <v>4146</v>
      </c>
      <c r="T1218" s="2" t="s">
        <v>13</v>
      </c>
      <c r="U1218" s="3">
        <v>1</v>
      </c>
      <c r="V1218" s="3">
        <v>1</v>
      </c>
      <c r="W1218" s="4" t="s">
        <v>9871</v>
      </c>
      <c r="X1218" s="4" t="s">
        <v>9871</v>
      </c>
      <c r="Y1218" s="4" t="s">
        <v>5941</v>
      </c>
      <c r="Z1218" s="4" t="s">
        <v>5941</v>
      </c>
      <c r="AA1218" s="3">
        <v>66</v>
      </c>
      <c r="AB1218" s="3">
        <v>49</v>
      </c>
      <c r="AC1218" s="3">
        <v>52</v>
      </c>
      <c r="AD1218" s="3">
        <v>2</v>
      </c>
      <c r="AE1218" s="9">
        <v>2</v>
      </c>
      <c r="AF1218" s="9">
        <v>2</v>
      </c>
      <c r="AG1218" s="9">
        <v>2</v>
      </c>
      <c r="AH1218" s="3">
        <v>0</v>
      </c>
      <c r="AI1218" s="3">
        <v>0</v>
      </c>
      <c r="AJ1218" s="3">
        <v>1</v>
      </c>
      <c r="AK1218" s="3">
        <v>1</v>
      </c>
      <c r="AL1218" s="3">
        <v>1</v>
      </c>
      <c r="AM1218" s="3">
        <v>1</v>
      </c>
      <c r="AN1218" s="3">
        <v>1</v>
      </c>
      <c r="AO1218" s="3">
        <v>1</v>
      </c>
      <c r="AP1218" s="3">
        <v>0</v>
      </c>
      <c r="AQ1218" s="3">
        <v>0</v>
      </c>
      <c r="AR1218" s="2" t="s">
        <v>5</v>
      </c>
      <c r="AS1218" s="2" t="s">
        <v>46</v>
      </c>
      <c r="AT1218" s="5" t="str">
        <f>HYPERLINK("http://catalog.hathitrust.org/Record/006121495","HathiTrust Record")</f>
        <v>HathiTrust Record</v>
      </c>
      <c r="AU1218" s="5" t="str">
        <f>HYPERLINK("https://creighton-primo.hosted.exlibrisgroup.com/primo-explore/search?tab=default_tab&amp;search_scope=EVERYTHING&amp;vid=01CRU&amp;lang=en_US&amp;offset=0&amp;query=any,contains,991003806309702656","Catalog Record")</f>
        <v>Catalog Record</v>
      </c>
      <c r="AV1218" s="5" t="str">
        <f>HYPERLINK("http://www.worldcat.org/oclc/7836604","WorldCat Record")</f>
        <v>WorldCat Record</v>
      </c>
      <c r="AW1218" s="2" t="s">
        <v>14987</v>
      </c>
      <c r="AX1218" s="2" t="s">
        <v>14988</v>
      </c>
      <c r="AY1218" s="2" t="s">
        <v>14989</v>
      </c>
      <c r="AZ1218" s="2" t="s">
        <v>14989</v>
      </c>
      <c r="BA1218" s="2" t="s">
        <v>14990</v>
      </c>
      <c r="BB1218" s="2" t="s">
        <v>20</v>
      </c>
      <c r="BE1218" s="2" t="s">
        <v>14991</v>
      </c>
      <c r="BF1218" s="2" t="s">
        <v>14992</v>
      </c>
    </row>
    <row r="1219" spans="1:58" ht="39.75" customHeight="1" x14ac:dyDescent="0.25">
      <c r="A1219" s="7" t="s">
        <v>5</v>
      </c>
      <c r="B1219" s="1" t="s">
        <v>0</v>
      </c>
      <c r="C1219" s="1" t="s">
        <v>1</v>
      </c>
      <c r="D1219" s="1" t="s">
        <v>14993</v>
      </c>
      <c r="E1219" s="1" t="s">
        <v>14994</v>
      </c>
      <c r="F1219" s="1" t="s">
        <v>14995</v>
      </c>
      <c r="G1219" s="2" t="s">
        <v>2083</v>
      </c>
      <c r="H1219" s="2" t="s">
        <v>46</v>
      </c>
      <c r="I1219" s="2" t="s">
        <v>6</v>
      </c>
      <c r="J1219" s="2" t="s">
        <v>5</v>
      </c>
      <c r="K1219" s="2" t="s">
        <v>5</v>
      </c>
      <c r="L1219" s="2" t="s">
        <v>7</v>
      </c>
      <c r="N1219" s="1" t="s">
        <v>14996</v>
      </c>
      <c r="O1219" s="2" t="s">
        <v>1515</v>
      </c>
      <c r="Q1219" s="2" t="s">
        <v>60</v>
      </c>
      <c r="R1219" s="2" t="s">
        <v>4146</v>
      </c>
      <c r="T1219" s="2" t="s">
        <v>13</v>
      </c>
      <c r="U1219" s="3">
        <v>1</v>
      </c>
      <c r="V1219" s="3">
        <v>1</v>
      </c>
      <c r="W1219" s="4" t="s">
        <v>5389</v>
      </c>
      <c r="X1219" s="4" t="s">
        <v>5389</v>
      </c>
      <c r="Y1219" s="4" t="s">
        <v>5390</v>
      </c>
      <c r="Z1219" s="4" t="s">
        <v>5390</v>
      </c>
      <c r="AA1219" s="3">
        <v>67</v>
      </c>
      <c r="AB1219" s="3">
        <v>51</v>
      </c>
      <c r="AC1219" s="3">
        <v>53</v>
      </c>
      <c r="AD1219" s="3">
        <v>2</v>
      </c>
      <c r="AE1219" s="9">
        <v>2</v>
      </c>
      <c r="AF1219" s="9">
        <v>2</v>
      </c>
      <c r="AG1219" s="9">
        <v>2</v>
      </c>
      <c r="AH1219" s="3">
        <v>0</v>
      </c>
      <c r="AI1219" s="3">
        <v>0</v>
      </c>
      <c r="AJ1219" s="3">
        <v>0</v>
      </c>
      <c r="AK1219" s="3">
        <v>0</v>
      </c>
      <c r="AL1219" s="3">
        <v>1</v>
      </c>
      <c r="AM1219" s="3">
        <v>1</v>
      </c>
      <c r="AN1219" s="3">
        <v>1</v>
      </c>
      <c r="AO1219" s="3">
        <v>1</v>
      </c>
      <c r="AP1219" s="3">
        <v>0</v>
      </c>
      <c r="AQ1219" s="3">
        <v>0</v>
      </c>
      <c r="AR1219" s="2" t="s">
        <v>5</v>
      </c>
      <c r="AS1219" s="2" t="s">
        <v>46</v>
      </c>
      <c r="AT1219" s="5" t="str">
        <f>HYPERLINK("http://catalog.hathitrust.org/Record/101163813","HathiTrust Record")</f>
        <v>HathiTrust Record</v>
      </c>
      <c r="AU1219" s="5" t="str">
        <f>HYPERLINK("https://creighton-primo.hosted.exlibrisgroup.com/primo-explore/search?tab=default_tab&amp;search_scope=EVERYTHING&amp;vid=01CRU&amp;lang=en_US&amp;offset=0&amp;query=any,contains,991003765139702656","Catalog Record")</f>
        <v>Catalog Record</v>
      </c>
      <c r="AV1219" s="5" t="str">
        <f>HYPERLINK("http://www.worldcat.org/oclc/8728261","WorldCat Record")</f>
        <v>WorldCat Record</v>
      </c>
      <c r="AW1219" s="2" t="s">
        <v>14997</v>
      </c>
      <c r="AX1219" s="2" t="s">
        <v>14998</v>
      </c>
      <c r="AY1219" s="2" t="s">
        <v>14999</v>
      </c>
      <c r="AZ1219" s="2" t="s">
        <v>14999</v>
      </c>
      <c r="BA1219" s="2" t="s">
        <v>15000</v>
      </c>
      <c r="BB1219" s="2" t="s">
        <v>20</v>
      </c>
      <c r="BE1219" s="2" t="s">
        <v>15001</v>
      </c>
      <c r="BF1219" s="2" t="s">
        <v>15002</v>
      </c>
    </row>
    <row r="1220" spans="1:58" ht="39.75" customHeight="1" x14ac:dyDescent="0.25">
      <c r="A1220" s="7" t="s">
        <v>5</v>
      </c>
      <c r="B1220" s="1" t="s">
        <v>0</v>
      </c>
      <c r="C1220" s="1" t="s">
        <v>1</v>
      </c>
      <c r="D1220" s="1" t="s">
        <v>15003</v>
      </c>
      <c r="E1220" s="1" t="s">
        <v>15004</v>
      </c>
      <c r="F1220" s="1" t="s">
        <v>15005</v>
      </c>
      <c r="H1220" s="2" t="s">
        <v>5</v>
      </c>
      <c r="I1220" s="2" t="s">
        <v>6</v>
      </c>
      <c r="J1220" s="2" t="s">
        <v>5</v>
      </c>
      <c r="K1220" s="2" t="s">
        <v>5</v>
      </c>
      <c r="L1220" s="2" t="s">
        <v>7</v>
      </c>
      <c r="M1220" s="1" t="s">
        <v>15006</v>
      </c>
      <c r="N1220" s="1" t="s">
        <v>15007</v>
      </c>
      <c r="O1220" s="2" t="s">
        <v>494</v>
      </c>
      <c r="Q1220" s="2" t="s">
        <v>1151</v>
      </c>
      <c r="R1220" s="2" t="s">
        <v>4146</v>
      </c>
      <c r="T1220" s="2" t="s">
        <v>13</v>
      </c>
      <c r="U1220" s="3">
        <v>1</v>
      </c>
      <c r="V1220" s="3">
        <v>1</v>
      </c>
      <c r="W1220" s="4" t="s">
        <v>15008</v>
      </c>
      <c r="X1220" s="4" t="s">
        <v>15008</v>
      </c>
      <c r="Y1220" s="4" t="s">
        <v>15008</v>
      </c>
      <c r="Z1220" s="4" t="s">
        <v>15008</v>
      </c>
      <c r="AA1220" s="3">
        <v>56</v>
      </c>
      <c r="AB1220" s="3">
        <v>45</v>
      </c>
      <c r="AC1220" s="3">
        <v>57</v>
      </c>
      <c r="AD1220" s="3">
        <v>1</v>
      </c>
      <c r="AE1220" s="9">
        <v>1</v>
      </c>
      <c r="AF1220" s="9">
        <v>2</v>
      </c>
      <c r="AG1220" s="9">
        <v>2</v>
      </c>
      <c r="AH1220" s="3">
        <v>1</v>
      </c>
      <c r="AI1220" s="3">
        <v>1</v>
      </c>
      <c r="AJ1220" s="3">
        <v>0</v>
      </c>
      <c r="AK1220" s="3">
        <v>0</v>
      </c>
      <c r="AL1220" s="3">
        <v>2</v>
      </c>
      <c r="AM1220" s="3">
        <v>2</v>
      </c>
      <c r="AN1220" s="3">
        <v>0</v>
      </c>
      <c r="AO1220" s="3">
        <v>0</v>
      </c>
      <c r="AP1220" s="3">
        <v>0</v>
      </c>
      <c r="AQ1220" s="3">
        <v>0</v>
      </c>
      <c r="AR1220" s="2" t="s">
        <v>5</v>
      </c>
      <c r="AS1220" s="2" t="s">
        <v>46</v>
      </c>
      <c r="AT1220" s="5" t="str">
        <f>HYPERLINK("http://catalog.hathitrust.org/Record/006121545","HathiTrust Record")</f>
        <v>HathiTrust Record</v>
      </c>
      <c r="AU1220" s="5" t="str">
        <f>HYPERLINK("https://creighton-primo.hosted.exlibrisgroup.com/primo-explore/search?tab=default_tab&amp;search_scope=EVERYTHING&amp;vid=01CRU&amp;lang=en_US&amp;offset=0&amp;query=any,contains,991003894369702656","Catalog Record")</f>
        <v>Catalog Record</v>
      </c>
      <c r="AV1220" s="5" t="str">
        <f>HYPERLINK("http://www.worldcat.org/oclc/5829723","WorldCat Record")</f>
        <v>WorldCat Record</v>
      </c>
      <c r="AW1220" s="2" t="s">
        <v>15009</v>
      </c>
      <c r="AX1220" s="2" t="s">
        <v>15010</v>
      </c>
      <c r="AY1220" s="2" t="s">
        <v>15011</v>
      </c>
      <c r="AZ1220" s="2" t="s">
        <v>15011</v>
      </c>
      <c r="BA1220" s="2" t="s">
        <v>15012</v>
      </c>
      <c r="BB1220" s="2" t="s">
        <v>20</v>
      </c>
      <c r="BE1220" s="2" t="s">
        <v>15013</v>
      </c>
      <c r="BF1220" s="2" t="s">
        <v>15014</v>
      </c>
    </row>
    <row r="1221" spans="1:58" ht="39.75" customHeight="1" x14ac:dyDescent="0.25">
      <c r="A1221" s="7" t="s">
        <v>5</v>
      </c>
      <c r="B1221" s="1" t="s">
        <v>0</v>
      </c>
      <c r="C1221" s="1" t="s">
        <v>1</v>
      </c>
      <c r="D1221" s="1" t="s">
        <v>15015</v>
      </c>
      <c r="E1221" s="1" t="s">
        <v>15016</v>
      </c>
      <c r="F1221" s="1" t="s">
        <v>15017</v>
      </c>
      <c r="H1221" s="2" t="s">
        <v>5</v>
      </c>
      <c r="I1221" s="2" t="s">
        <v>6</v>
      </c>
      <c r="J1221" s="2" t="s">
        <v>5</v>
      </c>
      <c r="K1221" s="2" t="s">
        <v>5</v>
      </c>
      <c r="L1221" s="2" t="s">
        <v>7</v>
      </c>
      <c r="M1221" s="1" t="s">
        <v>15018</v>
      </c>
      <c r="N1221" s="1" t="s">
        <v>15019</v>
      </c>
      <c r="O1221" s="2" t="s">
        <v>392</v>
      </c>
      <c r="Q1221" s="2" t="s">
        <v>1151</v>
      </c>
      <c r="R1221" s="2" t="s">
        <v>4146</v>
      </c>
      <c r="T1221" s="2" t="s">
        <v>13</v>
      </c>
      <c r="U1221" s="3">
        <v>1</v>
      </c>
      <c r="V1221" s="3">
        <v>1</v>
      </c>
      <c r="W1221" s="4" t="s">
        <v>15008</v>
      </c>
      <c r="X1221" s="4" t="s">
        <v>15008</v>
      </c>
      <c r="Y1221" s="4" t="s">
        <v>15008</v>
      </c>
      <c r="Z1221" s="4" t="s">
        <v>15008</v>
      </c>
      <c r="AA1221" s="3">
        <v>31</v>
      </c>
      <c r="AB1221" s="3">
        <v>27</v>
      </c>
      <c r="AC1221" s="3">
        <v>31</v>
      </c>
      <c r="AD1221" s="3">
        <v>1</v>
      </c>
      <c r="AE1221" s="9">
        <v>1</v>
      </c>
      <c r="AF1221" s="9">
        <v>1</v>
      </c>
      <c r="AG1221" s="9">
        <v>1</v>
      </c>
      <c r="AH1221" s="3">
        <v>0</v>
      </c>
      <c r="AI1221" s="3">
        <v>0</v>
      </c>
      <c r="AJ1221" s="3">
        <v>1</v>
      </c>
      <c r="AK1221" s="3">
        <v>1</v>
      </c>
      <c r="AL1221" s="3">
        <v>0</v>
      </c>
      <c r="AM1221" s="3">
        <v>0</v>
      </c>
      <c r="AN1221" s="3">
        <v>0</v>
      </c>
      <c r="AO1221" s="3">
        <v>0</v>
      </c>
      <c r="AP1221" s="3">
        <v>0</v>
      </c>
      <c r="AQ1221" s="3">
        <v>0</v>
      </c>
      <c r="AR1221" s="2" t="s">
        <v>5</v>
      </c>
      <c r="AS1221" s="2" t="s">
        <v>46</v>
      </c>
      <c r="AT1221" s="5" t="str">
        <f>HYPERLINK("http://catalog.hathitrust.org/Record/006716747","HathiTrust Record")</f>
        <v>HathiTrust Record</v>
      </c>
      <c r="AU1221" s="5" t="str">
        <f>HYPERLINK("https://creighton-primo.hosted.exlibrisgroup.com/primo-explore/search?tab=default_tab&amp;search_scope=EVERYTHING&amp;vid=01CRU&amp;lang=en_US&amp;offset=0&amp;query=any,contains,991003894239702656","Catalog Record")</f>
        <v>Catalog Record</v>
      </c>
      <c r="AV1221" s="5" t="str">
        <f>HYPERLINK("http://www.worldcat.org/oclc/1984123","WorldCat Record")</f>
        <v>WorldCat Record</v>
      </c>
      <c r="AW1221" s="2" t="s">
        <v>15020</v>
      </c>
      <c r="AX1221" s="2" t="s">
        <v>15021</v>
      </c>
      <c r="AY1221" s="2" t="s">
        <v>15022</v>
      </c>
      <c r="AZ1221" s="2" t="s">
        <v>15022</v>
      </c>
      <c r="BA1221" s="2" t="s">
        <v>15023</v>
      </c>
      <c r="BB1221" s="2" t="s">
        <v>20</v>
      </c>
      <c r="BE1221" s="2" t="s">
        <v>15024</v>
      </c>
      <c r="BF1221" s="2" t="s">
        <v>15025</v>
      </c>
    </row>
    <row r="1222" spans="1:58" ht="39.75" customHeight="1" x14ac:dyDescent="0.25">
      <c r="A1222" s="7" t="s">
        <v>5</v>
      </c>
      <c r="B1222" s="1" t="s">
        <v>0</v>
      </c>
      <c r="C1222" s="1" t="s">
        <v>1</v>
      </c>
      <c r="D1222" s="1" t="s">
        <v>15026</v>
      </c>
      <c r="E1222" s="1" t="s">
        <v>15027</v>
      </c>
      <c r="F1222" s="1" t="s">
        <v>15028</v>
      </c>
      <c r="H1222" s="2" t="s">
        <v>5</v>
      </c>
      <c r="I1222" s="2" t="s">
        <v>6</v>
      </c>
      <c r="J1222" s="2" t="s">
        <v>5</v>
      </c>
      <c r="K1222" s="2" t="s">
        <v>5</v>
      </c>
      <c r="L1222" s="2" t="s">
        <v>7</v>
      </c>
      <c r="M1222" s="1" t="s">
        <v>15018</v>
      </c>
      <c r="N1222" s="1" t="s">
        <v>15019</v>
      </c>
      <c r="O1222" s="2" t="s">
        <v>392</v>
      </c>
      <c r="Q1222" s="2" t="s">
        <v>1151</v>
      </c>
      <c r="R1222" s="2" t="s">
        <v>4146</v>
      </c>
      <c r="T1222" s="2" t="s">
        <v>13</v>
      </c>
      <c r="U1222" s="3">
        <v>1</v>
      </c>
      <c r="V1222" s="3">
        <v>1</v>
      </c>
      <c r="W1222" s="4" t="s">
        <v>15008</v>
      </c>
      <c r="X1222" s="4" t="s">
        <v>15008</v>
      </c>
      <c r="Y1222" s="4" t="s">
        <v>15008</v>
      </c>
      <c r="Z1222" s="4" t="s">
        <v>15008</v>
      </c>
      <c r="AA1222" s="3">
        <v>22</v>
      </c>
      <c r="AB1222" s="3">
        <v>19</v>
      </c>
      <c r="AC1222" s="3">
        <v>20</v>
      </c>
      <c r="AD1222" s="3">
        <v>1</v>
      </c>
      <c r="AE1222" s="9">
        <v>1</v>
      </c>
      <c r="AF1222" s="9">
        <v>1</v>
      </c>
      <c r="AG1222" s="9">
        <v>1</v>
      </c>
      <c r="AH1222" s="3">
        <v>0</v>
      </c>
      <c r="AI1222" s="3">
        <v>0</v>
      </c>
      <c r="AJ1222" s="3">
        <v>1</v>
      </c>
      <c r="AK1222" s="3">
        <v>1</v>
      </c>
      <c r="AL1222" s="3">
        <v>0</v>
      </c>
      <c r="AM1222" s="3">
        <v>0</v>
      </c>
      <c r="AN1222" s="3">
        <v>0</v>
      </c>
      <c r="AO1222" s="3">
        <v>0</v>
      </c>
      <c r="AP1222" s="3">
        <v>0</v>
      </c>
      <c r="AQ1222" s="3">
        <v>0</v>
      </c>
      <c r="AR1222" s="2" t="s">
        <v>5</v>
      </c>
      <c r="AS1222" s="2" t="s">
        <v>46</v>
      </c>
      <c r="AT1222" s="5" t="str">
        <f>HYPERLINK("http://catalog.hathitrust.org/Record/101163822","HathiTrust Record")</f>
        <v>HathiTrust Record</v>
      </c>
      <c r="AU1222" s="5" t="str">
        <f>HYPERLINK("https://creighton-primo.hosted.exlibrisgroup.com/primo-explore/search?tab=default_tab&amp;search_scope=EVERYTHING&amp;vid=01CRU&amp;lang=en_US&amp;offset=0&amp;query=any,contains,991003894269702656","Catalog Record")</f>
        <v>Catalog Record</v>
      </c>
      <c r="AV1222" s="5" t="str">
        <f>HYPERLINK("http://www.worldcat.org/oclc/4323739","WorldCat Record")</f>
        <v>WorldCat Record</v>
      </c>
      <c r="AW1222" s="2" t="s">
        <v>15029</v>
      </c>
      <c r="AX1222" s="2" t="s">
        <v>15030</v>
      </c>
      <c r="AY1222" s="2" t="s">
        <v>15031</v>
      </c>
      <c r="AZ1222" s="2" t="s">
        <v>15031</v>
      </c>
      <c r="BA1222" s="2" t="s">
        <v>15032</v>
      </c>
      <c r="BB1222" s="2" t="s">
        <v>20</v>
      </c>
      <c r="BE1222" s="2" t="s">
        <v>15033</v>
      </c>
      <c r="BF1222" s="2" t="s">
        <v>15034</v>
      </c>
    </row>
    <row r="1223" spans="1:58" ht="39.75" customHeight="1" x14ac:dyDescent="0.25">
      <c r="A1223" s="7" t="s">
        <v>5</v>
      </c>
      <c r="B1223" s="1" t="s">
        <v>0</v>
      </c>
      <c r="C1223" s="1" t="s">
        <v>1</v>
      </c>
      <c r="D1223" s="1" t="s">
        <v>15035</v>
      </c>
      <c r="E1223" s="1" t="s">
        <v>15036</v>
      </c>
      <c r="F1223" s="1" t="s">
        <v>15037</v>
      </c>
      <c r="H1223" s="2" t="s">
        <v>5</v>
      </c>
      <c r="I1223" s="2" t="s">
        <v>6</v>
      </c>
      <c r="J1223" s="2" t="s">
        <v>5</v>
      </c>
      <c r="K1223" s="2" t="s">
        <v>5</v>
      </c>
      <c r="L1223" s="2" t="s">
        <v>7</v>
      </c>
      <c r="M1223" s="1" t="s">
        <v>15018</v>
      </c>
      <c r="N1223" s="1" t="s">
        <v>15038</v>
      </c>
      <c r="O1223" s="2" t="s">
        <v>708</v>
      </c>
      <c r="P1223" s="1" t="s">
        <v>5359</v>
      </c>
      <c r="Q1223" s="2" t="s">
        <v>1151</v>
      </c>
      <c r="R1223" s="2" t="s">
        <v>4146</v>
      </c>
      <c r="S1223" s="1" t="s">
        <v>15039</v>
      </c>
      <c r="T1223" s="2" t="s">
        <v>13</v>
      </c>
      <c r="U1223" s="3">
        <v>1</v>
      </c>
      <c r="V1223" s="3">
        <v>1</v>
      </c>
      <c r="W1223" s="4" t="s">
        <v>8639</v>
      </c>
      <c r="X1223" s="4" t="s">
        <v>8639</v>
      </c>
      <c r="Y1223" s="4" t="s">
        <v>8639</v>
      </c>
      <c r="Z1223" s="4" t="s">
        <v>8639</v>
      </c>
      <c r="AA1223" s="3">
        <v>34</v>
      </c>
      <c r="AB1223" s="3">
        <v>25</v>
      </c>
      <c r="AC1223" s="3">
        <v>27</v>
      </c>
      <c r="AD1223" s="3">
        <v>1</v>
      </c>
      <c r="AE1223" s="9">
        <v>1</v>
      </c>
      <c r="AF1223" s="9">
        <v>1</v>
      </c>
      <c r="AG1223" s="9">
        <v>1</v>
      </c>
      <c r="AH1223" s="3">
        <v>0</v>
      </c>
      <c r="AI1223" s="3">
        <v>0</v>
      </c>
      <c r="AJ1223" s="3">
        <v>1</v>
      </c>
      <c r="AK1223" s="3">
        <v>1</v>
      </c>
      <c r="AL1223" s="3">
        <v>1</v>
      </c>
      <c r="AM1223" s="3">
        <v>1</v>
      </c>
      <c r="AN1223" s="3">
        <v>0</v>
      </c>
      <c r="AO1223" s="3">
        <v>0</v>
      </c>
      <c r="AP1223" s="3">
        <v>0</v>
      </c>
      <c r="AQ1223" s="3">
        <v>0</v>
      </c>
      <c r="AR1223" s="2" t="s">
        <v>5</v>
      </c>
      <c r="AS1223" s="2" t="s">
        <v>46</v>
      </c>
      <c r="AT1223" s="5" t="str">
        <f>HYPERLINK("http://catalog.hathitrust.org/Record/101163821","HathiTrust Record")</f>
        <v>HathiTrust Record</v>
      </c>
      <c r="AU1223" s="5" t="str">
        <f>HYPERLINK("https://creighton-primo.hosted.exlibrisgroup.com/primo-explore/search?tab=default_tab&amp;search_scope=EVERYTHING&amp;vid=01CRU&amp;lang=en_US&amp;offset=0&amp;query=any,contains,991004332149702656","Catalog Record")</f>
        <v>Catalog Record</v>
      </c>
      <c r="AV1223" s="5" t="str">
        <f>HYPERLINK("http://www.worldcat.org/oclc/18985458","WorldCat Record")</f>
        <v>WorldCat Record</v>
      </c>
      <c r="AW1223" s="2" t="s">
        <v>15040</v>
      </c>
      <c r="AX1223" s="2" t="s">
        <v>15041</v>
      </c>
      <c r="AY1223" s="2" t="s">
        <v>15042</v>
      </c>
      <c r="AZ1223" s="2" t="s">
        <v>15042</v>
      </c>
      <c r="BA1223" s="2" t="s">
        <v>15043</v>
      </c>
      <c r="BB1223" s="2" t="s">
        <v>20</v>
      </c>
      <c r="BD1223" s="2" t="s">
        <v>15044</v>
      </c>
      <c r="BE1223" s="2" t="s">
        <v>15045</v>
      </c>
      <c r="BF1223" s="2" t="s">
        <v>15046</v>
      </c>
    </row>
    <row r="1224" spans="1:58" ht="39.75" customHeight="1" x14ac:dyDescent="0.25">
      <c r="A1224" s="7" t="s">
        <v>5</v>
      </c>
      <c r="B1224" s="1" t="s">
        <v>0</v>
      </c>
      <c r="C1224" s="1" t="s">
        <v>1</v>
      </c>
      <c r="D1224" s="1" t="s">
        <v>15047</v>
      </c>
      <c r="E1224" s="1" t="s">
        <v>15048</v>
      </c>
      <c r="F1224" s="1" t="s">
        <v>15049</v>
      </c>
      <c r="H1224" s="2" t="s">
        <v>5</v>
      </c>
      <c r="I1224" s="2" t="s">
        <v>6</v>
      </c>
      <c r="J1224" s="2" t="s">
        <v>5</v>
      </c>
      <c r="K1224" s="2" t="s">
        <v>5</v>
      </c>
      <c r="L1224" s="2" t="s">
        <v>7</v>
      </c>
      <c r="M1224" s="1" t="s">
        <v>15050</v>
      </c>
      <c r="N1224" s="1" t="s">
        <v>15007</v>
      </c>
      <c r="O1224" s="2" t="s">
        <v>494</v>
      </c>
      <c r="Q1224" s="2" t="s">
        <v>1151</v>
      </c>
      <c r="R1224" s="2" t="s">
        <v>4146</v>
      </c>
      <c r="T1224" s="2" t="s">
        <v>13</v>
      </c>
      <c r="U1224" s="3">
        <v>1</v>
      </c>
      <c r="V1224" s="3">
        <v>1</v>
      </c>
      <c r="W1224" s="4" t="s">
        <v>11306</v>
      </c>
      <c r="X1224" s="4" t="s">
        <v>11306</v>
      </c>
      <c r="Y1224" s="4" t="s">
        <v>14281</v>
      </c>
      <c r="Z1224" s="4" t="s">
        <v>14281</v>
      </c>
      <c r="AA1224" s="3">
        <v>47</v>
      </c>
      <c r="AB1224" s="3">
        <v>36</v>
      </c>
      <c r="AC1224" s="3">
        <v>48</v>
      </c>
      <c r="AD1224" s="3">
        <v>1</v>
      </c>
      <c r="AE1224" s="9">
        <v>1</v>
      </c>
      <c r="AF1224" s="9">
        <v>1</v>
      </c>
      <c r="AG1224" s="9">
        <v>1</v>
      </c>
      <c r="AH1224" s="3">
        <v>0</v>
      </c>
      <c r="AI1224" s="3">
        <v>0</v>
      </c>
      <c r="AJ1224" s="3">
        <v>0</v>
      </c>
      <c r="AK1224" s="3">
        <v>0</v>
      </c>
      <c r="AL1224" s="3">
        <v>1</v>
      </c>
      <c r="AM1224" s="3">
        <v>1</v>
      </c>
      <c r="AN1224" s="3">
        <v>0</v>
      </c>
      <c r="AO1224" s="3">
        <v>0</v>
      </c>
      <c r="AP1224" s="3">
        <v>0</v>
      </c>
      <c r="AQ1224" s="3">
        <v>0</v>
      </c>
      <c r="AR1224" s="2" t="s">
        <v>5</v>
      </c>
      <c r="AS1224" s="2" t="s">
        <v>46</v>
      </c>
      <c r="AT1224" s="5" t="str">
        <f>HYPERLINK("http://catalog.hathitrust.org/Record/101163825","HathiTrust Record")</f>
        <v>HathiTrust Record</v>
      </c>
      <c r="AU1224" s="5" t="str">
        <f>HYPERLINK("https://creighton-primo.hosted.exlibrisgroup.com/primo-explore/search?tab=default_tab&amp;search_scope=EVERYTHING&amp;vid=01CRU&amp;lang=en_US&amp;offset=0&amp;query=any,contains,991003803429702656","Catalog Record")</f>
        <v>Catalog Record</v>
      </c>
      <c r="AV1224" s="5" t="str">
        <f>HYPERLINK("http://www.worldcat.org/oclc/8518817","WorldCat Record")</f>
        <v>WorldCat Record</v>
      </c>
      <c r="AW1224" s="2" t="s">
        <v>15051</v>
      </c>
      <c r="AX1224" s="2" t="s">
        <v>15052</v>
      </c>
      <c r="AY1224" s="2" t="s">
        <v>15053</v>
      </c>
      <c r="AZ1224" s="2" t="s">
        <v>15053</v>
      </c>
      <c r="BA1224" s="2" t="s">
        <v>15054</v>
      </c>
      <c r="BB1224" s="2" t="s">
        <v>20</v>
      </c>
      <c r="BE1224" s="2" t="s">
        <v>15055</v>
      </c>
      <c r="BF1224" s="2" t="s">
        <v>15056</v>
      </c>
    </row>
    <row r="1225" spans="1:58" ht="39.75" customHeight="1" x14ac:dyDescent="0.25">
      <c r="A1225" s="7" t="s">
        <v>5</v>
      </c>
      <c r="B1225" s="1" t="s">
        <v>0</v>
      </c>
      <c r="C1225" s="1" t="s">
        <v>1</v>
      </c>
      <c r="D1225" s="1" t="s">
        <v>15057</v>
      </c>
      <c r="E1225" s="1" t="s">
        <v>15058</v>
      </c>
      <c r="F1225" s="1" t="s">
        <v>15059</v>
      </c>
      <c r="H1225" s="2" t="s">
        <v>5</v>
      </c>
      <c r="I1225" s="2" t="s">
        <v>6</v>
      </c>
      <c r="J1225" s="2" t="s">
        <v>5</v>
      </c>
      <c r="K1225" s="2" t="s">
        <v>5</v>
      </c>
      <c r="L1225" s="2" t="s">
        <v>7</v>
      </c>
      <c r="N1225" s="1" t="s">
        <v>15007</v>
      </c>
      <c r="O1225" s="2" t="s">
        <v>494</v>
      </c>
      <c r="Q1225" s="2" t="s">
        <v>1151</v>
      </c>
      <c r="R1225" s="2" t="s">
        <v>4146</v>
      </c>
      <c r="T1225" s="2" t="s">
        <v>13</v>
      </c>
      <c r="U1225" s="3">
        <v>1</v>
      </c>
      <c r="V1225" s="3">
        <v>1</v>
      </c>
      <c r="W1225" s="4" t="s">
        <v>15008</v>
      </c>
      <c r="X1225" s="4" t="s">
        <v>15008</v>
      </c>
      <c r="Y1225" s="4" t="s">
        <v>15008</v>
      </c>
      <c r="Z1225" s="4" t="s">
        <v>15008</v>
      </c>
      <c r="AA1225" s="3">
        <v>48</v>
      </c>
      <c r="AB1225" s="3">
        <v>40</v>
      </c>
      <c r="AC1225" s="3">
        <v>40</v>
      </c>
      <c r="AD1225" s="3">
        <v>1</v>
      </c>
      <c r="AE1225" s="9">
        <v>1</v>
      </c>
      <c r="AF1225" s="9">
        <v>2</v>
      </c>
      <c r="AG1225" s="9">
        <v>2</v>
      </c>
      <c r="AH1225" s="3">
        <v>1</v>
      </c>
      <c r="AI1225" s="3">
        <v>1</v>
      </c>
      <c r="AJ1225" s="3">
        <v>0</v>
      </c>
      <c r="AK1225" s="3">
        <v>0</v>
      </c>
      <c r="AL1225" s="3">
        <v>2</v>
      </c>
      <c r="AM1225" s="3">
        <v>2</v>
      </c>
      <c r="AN1225" s="3">
        <v>0</v>
      </c>
      <c r="AO1225" s="3">
        <v>0</v>
      </c>
      <c r="AP1225" s="3">
        <v>0</v>
      </c>
      <c r="AQ1225" s="3">
        <v>0</v>
      </c>
      <c r="AR1225" s="2" t="s">
        <v>5</v>
      </c>
      <c r="AS1225" s="2" t="s">
        <v>5</v>
      </c>
      <c r="AU1225" s="5" t="str">
        <f>HYPERLINK("https://creighton-primo.hosted.exlibrisgroup.com/primo-explore/search?tab=default_tab&amp;search_scope=EVERYTHING&amp;vid=01CRU&amp;lang=en_US&amp;offset=0&amp;query=any,contains,991003894399702656","Catalog Record")</f>
        <v>Catalog Record</v>
      </c>
      <c r="AV1225" s="5" t="str">
        <f>HYPERLINK("http://www.worldcat.org/oclc/5566105","WorldCat Record")</f>
        <v>WorldCat Record</v>
      </c>
      <c r="AW1225" s="2" t="s">
        <v>15060</v>
      </c>
      <c r="AX1225" s="2" t="s">
        <v>15061</v>
      </c>
      <c r="AY1225" s="2" t="s">
        <v>15062</v>
      </c>
      <c r="AZ1225" s="2" t="s">
        <v>15062</v>
      </c>
      <c r="BA1225" s="2" t="s">
        <v>15063</v>
      </c>
      <c r="BB1225" s="2" t="s">
        <v>20</v>
      </c>
      <c r="BE1225" s="2" t="s">
        <v>15064</v>
      </c>
      <c r="BF1225" s="2" t="s">
        <v>15065</v>
      </c>
    </row>
    <row r="1226" spans="1:58" ht="39.75" customHeight="1" x14ac:dyDescent="0.25">
      <c r="A1226" s="7" t="s">
        <v>5</v>
      </c>
      <c r="B1226" s="1" t="s">
        <v>0</v>
      </c>
      <c r="C1226" s="1" t="s">
        <v>1</v>
      </c>
      <c r="D1226" s="1" t="s">
        <v>15066</v>
      </c>
      <c r="E1226" s="1" t="s">
        <v>15067</v>
      </c>
      <c r="F1226" s="1" t="s">
        <v>15068</v>
      </c>
      <c r="H1226" s="2" t="s">
        <v>5</v>
      </c>
      <c r="I1226" s="2" t="s">
        <v>6</v>
      </c>
      <c r="J1226" s="2" t="s">
        <v>5</v>
      </c>
      <c r="K1226" s="2" t="s">
        <v>5</v>
      </c>
      <c r="L1226" s="2" t="s">
        <v>7</v>
      </c>
      <c r="N1226" s="1" t="s">
        <v>15069</v>
      </c>
      <c r="O1226" s="2" t="s">
        <v>1390</v>
      </c>
      <c r="Q1226" s="2" t="s">
        <v>1151</v>
      </c>
      <c r="R1226" s="2" t="s">
        <v>4146</v>
      </c>
      <c r="T1226" s="2" t="s">
        <v>13</v>
      </c>
      <c r="U1226" s="3">
        <v>1</v>
      </c>
      <c r="V1226" s="3">
        <v>1</v>
      </c>
      <c r="W1226" s="4" t="s">
        <v>6996</v>
      </c>
      <c r="X1226" s="4" t="s">
        <v>6996</v>
      </c>
      <c r="Y1226" s="4" t="s">
        <v>9871</v>
      </c>
      <c r="Z1226" s="4" t="s">
        <v>9871</v>
      </c>
      <c r="AA1226" s="3">
        <v>57</v>
      </c>
      <c r="AB1226" s="3">
        <v>44</v>
      </c>
      <c r="AC1226" s="3">
        <v>45</v>
      </c>
      <c r="AD1226" s="3">
        <v>1</v>
      </c>
      <c r="AE1226" s="9">
        <v>1</v>
      </c>
      <c r="AF1226" s="9">
        <v>2</v>
      </c>
      <c r="AG1226" s="9">
        <v>2</v>
      </c>
      <c r="AH1226" s="3">
        <v>1</v>
      </c>
      <c r="AI1226" s="3">
        <v>1</v>
      </c>
      <c r="AJ1226" s="3">
        <v>0</v>
      </c>
      <c r="AK1226" s="3">
        <v>0</v>
      </c>
      <c r="AL1226" s="3">
        <v>2</v>
      </c>
      <c r="AM1226" s="3">
        <v>2</v>
      </c>
      <c r="AN1226" s="3">
        <v>0</v>
      </c>
      <c r="AO1226" s="3">
        <v>0</v>
      </c>
      <c r="AP1226" s="3">
        <v>0</v>
      </c>
      <c r="AQ1226" s="3">
        <v>0</v>
      </c>
      <c r="AR1226" s="2" t="s">
        <v>5</v>
      </c>
      <c r="AS1226" s="2" t="s">
        <v>46</v>
      </c>
      <c r="AT1226" s="5" t="str">
        <f>HYPERLINK("http://catalog.hathitrust.org/Record/007876451","HathiTrust Record")</f>
        <v>HathiTrust Record</v>
      </c>
      <c r="AU1226" s="5" t="str">
        <f>HYPERLINK("https://creighton-primo.hosted.exlibrisgroup.com/primo-explore/search?tab=default_tab&amp;search_scope=EVERYTHING&amp;vid=01CRU&amp;lang=en_US&amp;offset=0&amp;query=any,contains,991003810759702656","Catalog Record")</f>
        <v>Catalog Record</v>
      </c>
      <c r="AV1226" s="5" t="str">
        <f>HYPERLINK("http://www.worldcat.org/oclc/5566190","WorldCat Record")</f>
        <v>WorldCat Record</v>
      </c>
      <c r="AW1226" s="2" t="s">
        <v>15070</v>
      </c>
      <c r="AX1226" s="2" t="s">
        <v>15071</v>
      </c>
      <c r="AY1226" s="2" t="s">
        <v>15072</v>
      </c>
      <c r="AZ1226" s="2" t="s">
        <v>15072</v>
      </c>
      <c r="BA1226" s="2" t="s">
        <v>15073</v>
      </c>
      <c r="BB1226" s="2" t="s">
        <v>20</v>
      </c>
      <c r="BE1226" s="2" t="s">
        <v>15074</v>
      </c>
      <c r="BF1226" s="2" t="s">
        <v>15075</v>
      </c>
    </row>
    <row r="1227" spans="1:58" ht="39.75" customHeight="1" x14ac:dyDescent="0.25">
      <c r="A1227" s="7" t="s">
        <v>5</v>
      </c>
      <c r="B1227" s="1" t="s">
        <v>0</v>
      </c>
      <c r="C1227" s="1" t="s">
        <v>1</v>
      </c>
      <c r="D1227" s="1" t="s">
        <v>15076</v>
      </c>
      <c r="E1227" s="1" t="s">
        <v>15077</v>
      </c>
      <c r="F1227" s="1" t="s">
        <v>15078</v>
      </c>
      <c r="H1227" s="2" t="s">
        <v>5</v>
      </c>
      <c r="I1227" s="2" t="s">
        <v>6</v>
      </c>
      <c r="J1227" s="2" t="s">
        <v>5</v>
      </c>
      <c r="K1227" s="2" t="s">
        <v>5</v>
      </c>
      <c r="L1227" s="2" t="s">
        <v>7</v>
      </c>
      <c r="M1227" s="1" t="s">
        <v>15079</v>
      </c>
      <c r="N1227" s="1" t="s">
        <v>15080</v>
      </c>
      <c r="O1227" s="2" t="s">
        <v>494</v>
      </c>
      <c r="Q1227" s="2" t="s">
        <v>1151</v>
      </c>
      <c r="R1227" s="2" t="s">
        <v>4146</v>
      </c>
      <c r="T1227" s="2" t="s">
        <v>13</v>
      </c>
      <c r="U1227" s="3">
        <v>1</v>
      </c>
      <c r="V1227" s="3">
        <v>1</v>
      </c>
      <c r="W1227" s="4" t="s">
        <v>15008</v>
      </c>
      <c r="X1227" s="4" t="s">
        <v>15008</v>
      </c>
      <c r="Y1227" s="4" t="s">
        <v>15008</v>
      </c>
      <c r="Z1227" s="4" t="s">
        <v>15008</v>
      </c>
      <c r="AA1227" s="3">
        <v>67</v>
      </c>
      <c r="AB1227" s="3">
        <v>52</v>
      </c>
      <c r="AC1227" s="3">
        <v>63</v>
      </c>
      <c r="AD1227" s="3">
        <v>1</v>
      </c>
      <c r="AE1227" s="9">
        <v>1</v>
      </c>
      <c r="AF1227" s="9">
        <v>2</v>
      </c>
      <c r="AG1227" s="9">
        <v>2</v>
      </c>
      <c r="AH1227" s="3">
        <v>0</v>
      </c>
      <c r="AI1227" s="3">
        <v>0</v>
      </c>
      <c r="AJ1227" s="3">
        <v>1</v>
      </c>
      <c r="AK1227" s="3">
        <v>1</v>
      </c>
      <c r="AL1227" s="3">
        <v>2</v>
      </c>
      <c r="AM1227" s="3">
        <v>2</v>
      </c>
      <c r="AN1227" s="3">
        <v>0</v>
      </c>
      <c r="AO1227" s="3">
        <v>0</v>
      </c>
      <c r="AP1227" s="3">
        <v>0</v>
      </c>
      <c r="AQ1227" s="3">
        <v>0</v>
      </c>
      <c r="AR1227" s="2" t="s">
        <v>5</v>
      </c>
      <c r="AS1227" s="2" t="s">
        <v>46</v>
      </c>
      <c r="AT1227" s="5" t="str">
        <f>HYPERLINK("http://catalog.hathitrust.org/Record/006716743","HathiTrust Record")</f>
        <v>HathiTrust Record</v>
      </c>
      <c r="AU1227" s="5" t="str">
        <f>HYPERLINK("https://creighton-primo.hosted.exlibrisgroup.com/primo-explore/search?tab=default_tab&amp;search_scope=EVERYTHING&amp;vid=01CRU&amp;lang=en_US&amp;offset=0&amp;query=any,contains,991003894299702656","Catalog Record")</f>
        <v>Catalog Record</v>
      </c>
      <c r="AV1227" s="5" t="str">
        <f>HYPERLINK("http://www.worldcat.org/oclc/5727638","WorldCat Record")</f>
        <v>WorldCat Record</v>
      </c>
      <c r="AW1227" s="2" t="s">
        <v>15081</v>
      </c>
      <c r="AX1227" s="2" t="s">
        <v>15082</v>
      </c>
      <c r="AY1227" s="2" t="s">
        <v>15083</v>
      </c>
      <c r="AZ1227" s="2" t="s">
        <v>15083</v>
      </c>
      <c r="BA1227" s="2" t="s">
        <v>15084</v>
      </c>
      <c r="BB1227" s="2" t="s">
        <v>20</v>
      </c>
      <c r="BE1227" s="2" t="s">
        <v>15085</v>
      </c>
      <c r="BF1227" s="2" t="s">
        <v>15086</v>
      </c>
    </row>
    <row r="1228" spans="1:58" ht="39.75" customHeight="1" x14ac:dyDescent="0.25">
      <c r="A1228" s="7" t="s">
        <v>5</v>
      </c>
      <c r="B1228" s="1" t="s">
        <v>0</v>
      </c>
      <c r="C1228" s="1" t="s">
        <v>1</v>
      </c>
      <c r="D1228" s="1" t="s">
        <v>15087</v>
      </c>
      <c r="E1228" s="1" t="s">
        <v>15088</v>
      </c>
      <c r="F1228" s="1" t="s">
        <v>15089</v>
      </c>
      <c r="H1228" s="2" t="s">
        <v>5</v>
      </c>
      <c r="I1228" s="2" t="s">
        <v>6</v>
      </c>
      <c r="J1228" s="2" t="s">
        <v>5</v>
      </c>
      <c r="K1228" s="2" t="s">
        <v>5</v>
      </c>
      <c r="L1228" s="2" t="s">
        <v>7</v>
      </c>
      <c r="M1228" s="1" t="s">
        <v>9798</v>
      </c>
      <c r="N1228" s="1" t="s">
        <v>13611</v>
      </c>
      <c r="O1228" s="2" t="s">
        <v>121</v>
      </c>
      <c r="Q1228" s="2" t="s">
        <v>1151</v>
      </c>
      <c r="R1228" s="2" t="s">
        <v>4146</v>
      </c>
      <c r="S1228" s="1" t="s">
        <v>9800</v>
      </c>
      <c r="T1228" s="2" t="s">
        <v>13</v>
      </c>
      <c r="U1228" s="3">
        <v>1</v>
      </c>
      <c r="V1228" s="3">
        <v>1</v>
      </c>
      <c r="W1228" s="4" t="s">
        <v>8667</v>
      </c>
      <c r="X1228" s="4" t="s">
        <v>8667</v>
      </c>
      <c r="Y1228" s="4" t="s">
        <v>8667</v>
      </c>
      <c r="Z1228" s="4" t="s">
        <v>8667</v>
      </c>
      <c r="AA1228" s="3">
        <v>217</v>
      </c>
      <c r="AB1228" s="3">
        <v>171</v>
      </c>
      <c r="AC1228" s="3">
        <v>173</v>
      </c>
      <c r="AD1228" s="3">
        <v>3</v>
      </c>
      <c r="AE1228" s="9">
        <v>3</v>
      </c>
      <c r="AF1228" s="9">
        <v>8</v>
      </c>
      <c r="AG1228" s="9">
        <v>8</v>
      </c>
      <c r="AH1228" s="3">
        <v>0</v>
      </c>
      <c r="AI1228" s="3">
        <v>0</v>
      </c>
      <c r="AJ1228" s="3">
        <v>3</v>
      </c>
      <c r="AK1228" s="3">
        <v>3</v>
      </c>
      <c r="AL1228" s="3">
        <v>4</v>
      </c>
      <c r="AM1228" s="3">
        <v>4</v>
      </c>
      <c r="AN1228" s="3">
        <v>2</v>
      </c>
      <c r="AO1228" s="3">
        <v>2</v>
      </c>
      <c r="AP1228" s="3">
        <v>0</v>
      </c>
      <c r="AQ1228" s="3">
        <v>0</v>
      </c>
      <c r="AR1228" s="2" t="s">
        <v>5</v>
      </c>
      <c r="AS1228" s="2" t="s">
        <v>46</v>
      </c>
      <c r="AT1228" s="5" t="str">
        <f>HYPERLINK("http://catalog.hathitrust.org/Record/001037182","HathiTrust Record")</f>
        <v>HathiTrust Record</v>
      </c>
      <c r="AU1228" s="5" t="str">
        <f>HYPERLINK("https://creighton-primo.hosted.exlibrisgroup.com/primo-explore/search?tab=default_tab&amp;search_scope=EVERYTHING&amp;vid=01CRU&amp;lang=en_US&amp;offset=0&amp;query=any,contains,991004339029702656","Catalog Record")</f>
        <v>Catalog Record</v>
      </c>
      <c r="AV1228" s="5" t="str">
        <f>HYPERLINK("http://www.worldcat.org/oclc/1004516","WorldCat Record")</f>
        <v>WorldCat Record</v>
      </c>
      <c r="AW1228" s="2" t="s">
        <v>15090</v>
      </c>
      <c r="AX1228" s="2" t="s">
        <v>15091</v>
      </c>
      <c r="AY1228" s="2" t="s">
        <v>15092</v>
      </c>
      <c r="AZ1228" s="2" t="s">
        <v>15092</v>
      </c>
      <c r="BA1228" s="2" t="s">
        <v>15093</v>
      </c>
      <c r="BB1228" s="2" t="s">
        <v>20</v>
      </c>
      <c r="BE1228" s="2" t="s">
        <v>15094</v>
      </c>
      <c r="BF1228" s="2" t="s">
        <v>15095</v>
      </c>
    </row>
    <row r="1229" spans="1:58" ht="39.75" customHeight="1" x14ac:dyDescent="0.25">
      <c r="A1229" s="7" t="s">
        <v>5</v>
      </c>
      <c r="B1229" s="1" t="s">
        <v>0</v>
      </c>
      <c r="C1229" s="1" t="s">
        <v>1</v>
      </c>
      <c r="D1229" s="1" t="s">
        <v>15096</v>
      </c>
      <c r="E1229" s="1" t="s">
        <v>15097</v>
      </c>
      <c r="F1229" s="1" t="s">
        <v>15098</v>
      </c>
      <c r="H1229" s="2" t="s">
        <v>5</v>
      </c>
      <c r="I1229" s="2" t="s">
        <v>6</v>
      </c>
      <c r="J1229" s="2" t="s">
        <v>5</v>
      </c>
      <c r="K1229" s="2" t="s">
        <v>5</v>
      </c>
      <c r="L1229" s="2" t="s">
        <v>7</v>
      </c>
      <c r="M1229" s="1" t="s">
        <v>15099</v>
      </c>
      <c r="N1229" s="1" t="s">
        <v>12424</v>
      </c>
      <c r="O1229" s="2" t="s">
        <v>322</v>
      </c>
      <c r="Q1229" s="2" t="s">
        <v>1151</v>
      </c>
      <c r="R1229" s="2" t="s">
        <v>4146</v>
      </c>
      <c r="S1229" s="1" t="s">
        <v>15100</v>
      </c>
      <c r="T1229" s="2" t="s">
        <v>13</v>
      </c>
      <c r="U1229" s="3">
        <v>1</v>
      </c>
      <c r="V1229" s="3">
        <v>1</v>
      </c>
      <c r="W1229" s="4" t="s">
        <v>10532</v>
      </c>
      <c r="X1229" s="4" t="s">
        <v>10532</v>
      </c>
      <c r="Y1229" s="4" t="s">
        <v>10532</v>
      </c>
      <c r="Z1229" s="4" t="s">
        <v>10532</v>
      </c>
      <c r="AA1229" s="3">
        <v>72</v>
      </c>
      <c r="AB1229" s="3">
        <v>60</v>
      </c>
      <c r="AC1229" s="3">
        <v>64</v>
      </c>
      <c r="AD1229" s="3">
        <v>1</v>
      </c>
      <c r="AE1229" s="9">
        <v>1</v>
      </c>
      <c r="AF1229" s="9">
        <v>2</v>
      </c>
      <c r="AG1229" s="9">
        <v>2</v>
      </c>
      <c r="AH1229" s="3">
        <v>0</v>
      </c>
      <c r="AI1229" s="3">
        <v>0</v>
      </c>
      <c r="AJ1229" s="3">
        <v>2</v>
      </c>
      <c r="AK1229" s="3">
        <v>2</v>
      </c>
      <c r="AL1229" s="3">
        <v>1</v>
      </c>
      <c r="AM1229" s="3">
        <v>1</v>
      </c>
      <c r="AN1229" s="3">
        <v>0</v>
      </c>
      <c r="AO1229" s="3">
        <v>0</v>
      </c>
      <c r="AP1229" s="3">
        <v>0</v>
      </c>
      <c r="AQ1229" s="3">
        <v>0</v>
      </c>
      <c r="AR1229" s="2" t="s">
        <v>5</v>
      </c>
      <c r="AS1229" s="2" t="s">
        <v>46</v>
      </c>
      <c r="AT1229" s="5" t="str">
        <f>HYPERLINK("http://catalog.hathitrust.org/Record/101163862","HathiTrust Record")</f>
        <v>HathiTrust Record</v>
      </c>
      <c r="AU1229" s="5" t="str">
        <f>HYPERLINK("https://creighton-primo.hosted.exlibrisgroup.com/primo-explore/search?tab=default_tab&amp;search_scope=EVERYTHING&amp;vid=01CRU&amp;lang=en_US&amp;offset=0&amp;query=any,contains,991003681479702656","Catalog Record")</f>
        <v>Catalog Record</v>
      </c>
      <c r="AV1229" s="5" t="str">
        <f>HYPERLINK("http://www.worldcat.org/oclc/31918463","WorldCat Record")</f>
        <v>WorldCat Record</v>
      </c>
      <c r="AW1229" s="2" t="s">
        <v>15101</v>
      </c>
      <c r="AX1229" s="2" t="s">
        <v>15102</v>
      </c>
      <c r="AY1229" s="2" t="s">
        <v>15103</v>
      </c>
      <c r="AZ1229" s="2" t="s">
        <v>15103</v>
      </c>
      <c r="BA1229" s="2" t="s">
        <v>15104</v>
      </c>
      <c r="BB1229" s="2" t="s">
        <v>20</v>
      </c>
      <c r="BD1229" s="2" t="s">
        <v>15105</v>
      </c>
      <c r="BE1229" s="2" t="s">
        <v>15106</v>
      </c>
      <c r="BF1229" s="2" t="s">
        <v>15107</v>
      </c>
    </row>
    <row r="1230" spans="1:58" ht="39.75" customHeight="1" x14ac:dyDescent="0.25">
      <c r="A1230" s="7" t="s">
        <v>5</v>
      </c>
      <c r="B1230" s="1" t="s">
        <v>0</v>
      </c>
      <c r="C1230" s="1" t="s">
        <v>1</v>
      </c>
      <c r="D1230" s="1" t="s">
        <v>15108</v>
      </c>
      <c r="E1230" s="1" t="s">
        <v>15109</v>
      </c>
      <c r="F1230" s="1" t="s">
        <v>15110</v>
      </c>
      <c r="H1230" s="2" t="s">
        <v>5</v>
      </c>
      <c r="I1230" s="2" t="s">
        <v>6</v>
      </c>
      <c r="J1230" s="2" t="s">
        <v>5</v>
      </c>
      <c r="K1230" s="2" t="s">
        <v>5</v>
      </c>
      <c r="L1230" s="2" t="s">
        <v>7</v>
      </c>
      <c r="M1230" s="1" t="s">
        <v>15111</v>
      </c>
      <c r="N1230" s="1" t="s">
        <v>15112</v>
      </c>
      <c r="O1230" s="2" t="s">
        <v>108</v>
      </c>
      <c r="Q1230" s="2" t="s">
        <v>1151</v>
      </c>
      <c r="R1230" s="2" t="s">
        <v>4146</v>
      </c>
      <c r="S1230" s="1" t="s">
        <v>15113</v>
      </c>
      <c r="T1230" s="2" t="s">
        <v>13</v>
      </c>
      <c r="U1230" s="3">
        <v>2</v>
      </c>
      <c r="V1230" s="3">
        <v>2</v>
      </c>
      <c r="W1230" s="4" t="s">
        <v>5071</v>
      </c>
      <c r="X1230" s="4" t="s">
        <v>5071</v>
      </c>
      <c r="Y1230" s="4" t="s">
        <v>5071</v>
      </c>
      <c r="Z1230" s="4" t="s">
        <v>5071</v>
      </c>
      <c r="AA1230" s="3">
        <v>23</v>
      </c>
      <c r="AB1230" s="3">
        <v>15</v>
      </c>
      <c r="AC1230" s="3">
        <v>138</v>
      </c>
      <c r="AD1230" s="3">
        <v>1</v>
      </c>
      <c r="AE1230" s="9">
        <v>2</v>
      </c>
      <c r="AF1230" s="9">
        <v>1</v>
      </c>
      <c r="AG1230" s="9">
        <v>9</v>
      </c>
      <c r="AH1230" s="3">
        <v>0</v>
      </c>
      <c r="AI1230" s="3">
        <v>1</v>
      </c>
      <c r="AJ1230" s="3">
        <v>1</v>
      </c>
      <c r="AK1230" s="3">
        <v>3</v>
      </c>
      <c r="AL1230" s="3">
        <v>0</v>
      </c>
      <c r="AM1230" s="3">
        <v>5</v>
      </c>
      <c r="AN1230" s="3">
        <v>0</v>
      </c>
      <c r="AO1230" s="3">
        <v>1</v>
      </c>
      <c r="AP1230" s="3">
        <v>0</v>
      </c>
      <c r="AQ1230" s="3">
        <v>1</v>
      </c>
      <c r="AR1230" s="2" t="s">
        <v>5</v>
      </c>
      <c r="AS1230" s="2" t="s">
        <v>5</v>
      </c>
      <c r="AU1230" s="5" t="str">
        <f>HYPERLINK("https://creighton-primo.hosted.exlibrisgroup.com/primo-explore/search?tab=default_tab&amp;search_scope=EVERYTHING&amp;vid=01CRU&amp;lang=en_US&amp;offset=0&amp;query=any,contains,991004337679702656","Catalog Record")</f>
        <v>Catalog Record</v>
      </c>
      <c r="AV1230" s="5" t="str">
        <f>HYPERLINK("http://www.worldcat.org/oclc/1849981","WorldCat Record")</f>
        <v>WorldCat Record</v>
      </c>
      <c r="AW1230" s="2" t="s">
        <v>15114</v>
      </c>
      <c r="AX1230" s="2" t="s">
        <v>15115</v>
      </c>
      <c r="AY1230" s="2" t="s">
        <v>15116</v>
      </c>
      <c r="AZ1230" s="2" t="s">
        <v>15116</v>
      </c>
      <c r="BA1230" s="2" t="s">
        <v>15117</v>
      </c>
      <c r="BB1230" s="2" t="s">
        <v>20</v>
      </c>
      <c r="BE1230" s="2" t="s">
        <v>15118</v>
      </c>
      <c r="BF1230" s="2" t="s">
        <v>15119</v>
      </c>
    </row>
    <row r="1231" spans="1:58" ht="39.75" customHeight="1" x14ac:dyDescent="0.25">
      <c r="A1231" s="7" t="s">
        <v>5</v>
      </c>
      <c r="B1231" s="1" t="s">
        <v>0</v>
      </c>
      <c r="C1231" s="1" t="s">
        <v>1</v>
      </c>
      <c r="D1231" s="1" t="s">
        <v>15120</v>
      </c>
      <c r="E1231" s="1" t="s">
        <v>15121</v>
      </c>
      <c r="F1231" s="1" t="s">
        <v>15122</v>
      </c>
      <c r="G1231" s="2" t="s">
        <v>2083</v>
      </c>
      <c r="H1231" s="2" t="s">
        <v>46</v>
      </c>
      <c r="I1231" s="2" t="s">
        <v>6</v>
      </c>
      <c r="J1231" s="2" t="s">
        <v>5</v>
      </c>
      <c r="K1231" s="2" t="s">
        <v>5</v>
      </c>
      <c r="L1231" s="2" t="s">
        <v>7</v>
      </c>
      <c r="M1231" s="1" t="s">
        <v>15123</v>
      </c>
      <c r="N1231" s="1" t="s">
        <v>15124</v>
      </c>
      <c r="O1231" s="2" t="s">
        <v>1515</v>
      </c>
      <c r="Q1231" s="2" t="s">
        <v>1151</v>
      </c>
      <c r="R1231" s="2" t="s">
        <v>4146</v>
      </c>
      <c r="T1231" s="2" t="s">
        <v>13</v>
      </c>
      <c r="U1231" s="3">
        <v>1</v>
      </c>
      <c r="V1231" s="3">
        <v>3</v>
      </c>
      <c r="W1231" s="4" t="s">
        <v>15125</v>
      </c>
      <c r="X1231" s="4" t="s">
        <v>15125</v>
      </c>
      <c r="Y1231" s="4" t="s">
        <v>15125</v>
      </c>
      <c r="Z1231" s="4" t="s">
        <v>15125</v>
      </c>
      <c r="AA1231" s="3">
        <v>30</v>
      </c>
      <c r="AB1231" s="3">
        <v>24</v>
      </c>
      <c r="AC1231" s="3">
        <v>26</v>
      </c>
      <c r="AD1231" s="3">
        <v>1</v>
      </c>
      <c r="AE1231" s="9">
        <v>1</v>
      </c>
      <c r="AF1231" s="9">
        <v>2</v>
      </c>
      <c r="AG1231" s="9">
        <v>2</v>
      </c>
      <c r="AH1231" s="3">
        <v>1</v>
      </c>
      <c r="AI1231" s="3">
        <v>1</v>
      </c>
      <c r="AJ1231" s="3">
        <v>1</v>
      </c>
      <c r="AK1231" s="3">
        <v>1</v>
      </c>
      <c r="AL1231" s="3">
        <v>1</v>
      </c>
      <c r="AM1231" s="3">
        <v>1</v>
      </c>
      <c r="AN1231" s="3">
        <v>0</v>
      </c>
      <c r="AO1231" s="3">
        <v>0</v>
      </c>
      <c r="AP1231" s="3">
        <v>0</v>
      </c>
      <c r="AQ1231" s="3">
        <v>0</v>
      </c>
      <c r="AR1231" s="2" t="s">
        <v>5</v>
      </c>
      <c r="AS1231" s="2" t="s">
        <v>46</v>
      </c>
      <c r="AT1231" s="5" t="str">
        <f>HYPERLINK("http://catalog.hathitrust.org/Record/007876545","HathiTrust Record")</f>
        <v>HathiTrust Record</v>
      </c>
      <c r="AU1231" s="5" t="str">
        <f>HYPERLINK("https://creighton-primo.hosted.exlibrisgroup.com/primo-explore/search?tab=default_tab&amp;search_scope=EVERYTHING&amp;vid=01CRU&amp;lang=en_US&amp;offset=0&amp;query=any,contains,991003802069702656","Catalog Record")</f>
        <v>Catalog Record</v>
      </c>
      <c r="AV1231" s="5" t="str">
        <f>HYPERLINK("http://www.worldcat.org/oclc/10457950","WorldCat Record")</f>
        <v>WorldCat Record</v>
      </c>
      <c r="AW1231" s="2" t="s">
        <v>15126</v>
      </c>
      <c r="AX1231" s="2" t="s">
        <v>15127</v>
      </c>
      <c r="AY1231" s="2" t="s">
        <v>15128</v>
      </c>
      <c r="AZ1231" s="2" t="s">
        <v>15128</v>
      </c>
      <c r="BA1231" s="2" t="s">
        <v>15129</v>
      </c>
      <c r="BB1231" s="2" t="s">
        <v>20</v>
      </c>
      <c r="BE1231" s="2" t="s">
        <v>15130</v>
      </c>
      <c r="BF1231" s="2" t="s">
        <v>15131</v>
      </c>
    </row>
    <row r="1232" spans="1:58" ht="39.75" customHeight="1" x14ac:dyDescent="0.25">
      <c r="A1232" s="7" t="s">
        <v>5</v>
      </c>
      <c r="B1232" s="1" t="s">
        <v>0</v>
      </c>
      <c r="C1232" s="1" t="s">
        <v>1</v>
      </c>
      <c r="D1232" s="1" t="s">
        <v>15120</v>
      </c>
      <c r="E1232" s="1" t="s">
        <v>15121</v>
      </c>
      <c r="F1232" s="1" t="s">
        <v>15122</v>
      </c>
      <c r="G1232" s="2" t="s">
        <v>2107</v>
      </c>
      <c r="H1232" s="2" t="s">
        <v>46</v>
      </c>
      <c r="I1232" s="2" t="s">
        <v>6</v>
      </c>
      <c r="J1232" s="2" t="s">
        <v>5</v>
      </c>
      <c r="K1232" s="2" t="s">
        <v>5</v>
      </c>
      <c r="L1232" s="2" t="s">
        <v>7</v>
      </c>
      <c r="M1232" s="1" t="s">
        <v>15123</v>
      </c>
      <c r="N1232" s="1" t="s">
        <v>15124</v>
      </c>
      <c r="O1232" s="2" t="s">
        <v>1515</v>
      </c>
      <c r="Q1232" s="2" t="s">
        <v>1151</v>
      </c>
      <c r="R1232" s="2" t="s">
        <v>4146</v>
      </c>
      <c r="T1232" s="2" t="s">
        <v>13</v>
      </c>
      <c r="U1232" s="3">
        <v>1</v>
      </c>
      <c r="V1232" s="3">
        <v>3</v>
      </c>
      <c r="W1232" s="4" t="s">
        <v>5941</v>
      </c>
      <c r="X1232" s="4" t="s">
        <v>15125</v>
      </c>
      <c r="Y1232" s="4" t="s">
        <v>5450</v>
      </c>
      <c r="Z1232" s="4" t="s">
        <v>15125</v>
      </c>
      <c r="AA1232" s="3">
        <v>30</v>
      </c>
      <c r="AB1232" s="3">
        <v>24</v>
      </c>
      <c r="AC1232" s="3">
        <v>26</v>
      </c>
      <c r="AD1232" s="3">
        <v>1</v>
      </c>
      <c r="AE1232" s="9">
        <v>1</v>
      </c>
      <c r="AF1232" s="9">
        <v>2</v>
      </c>
      <c r="AG1232" s="9">
        <v>2</v>
      </c>
      <c r="AH1232" s="3">
        <v>1</v>
      </c>
      <c r="AI1232" s="3">
        <v>1</v>
      </c>
      <c r="AJ1232" s="3">
        <v>1</v>
      </c>
      <c r="AK1232" s="3">
        <v>1</v>
      </c>
      <c r="AL1232" s="3">
        <v>1</v>
      </c>
      <c r="AM1232" s="3">
        <v>1</v>
      </c>
      <c r="AN1232" s="3">
        <v>0</v>
      </c>
      <c r="AO1232" s="3">
        <v>0</v>
      </c>
      <c r="AP1232" s="3">
        <v>0</v>
      </c>
      <c r="AQ1232" s="3">
        <v>0</v>
      </c>
      <c r="AR1232" s="2" t="s">
        <v>5</v>
      </c>
      <c r="AS1232" s="2" t="s">
        <v>46</v>
      </c>
      <c r="AT1232" s="5" t="str">
        <f>HYPERLINK("http://catalog.hathitrust.org/Record/007876545","HathiTrust Record")</f>
        <v>HathiTrust Record</v>
      </c>
      <c r="AU1232" s="5" t="str">
        <f>HYPERLINK("https://creighton-primo.hosted.exlibrisgroup.com/primo-explore/search?tab=default_tab&amp;search_scope=EVERYTHING&amp;vid=01CRU&amp;lang=en_US&amp;offset=0&amp;query=any,contains,991003802069702656","Catalog Record")</f>
        <v>Catalog Record</v>
      </c>
      <c r="AV1232" s="5" t="str">
        <f>HYPERLINK("http://www.worldcat.org/oclc/10457950","WorldCat Record")</f>
        <v>WorldCat Record</v>
      </c>
      <c r="AW1232" s="2" t="s">
        <v>15126</v>
      </c>
      <c r="AX1232" s="2" t="s">
        <v>15127</v>
      </c>
      <c r="AY1232" s="2" t="s">
        <v>15128</v>
      </c>
      <c r="AZ1232" s="2" t="s">
        <v>15128</v>
      </c>
      <c r="BA1232" s="2" t="s">
        <v>15129</v>
      </c>
      <c r="BB1232" s="2" t="s">
        <v>20</v>
      </c>
      <c r="BE1232" s="2" t="s">
        <v>15132</v>
      </c>
      <c r="BF1232" s="2" t="s">
        <v>15133</v>
      </c>
    </row>
    <row r="1233" spans="1:58" ht="39.75" customHeight="1" x14ac:dyDescent="0.25">
      <c r="A1233" s="7" t="s">
        <v>5</v>
      </c>
      <c r="B1233" s="1" t="s">
        <v>0</v>
      </c>
      <c r="C1233" s="1" t="s">
        <v>1</v>
      </c>
      <c r="D1233" s="1" t="s">
        <v>15120</v>
      </c>
      <c r="E1233" s="1" t="s">
        <v>15121</v>
      </c>
      <c r="F1233" s="1" t="s">
        <v>15122</v>
      </c>
      <c r="G1233" s="2" t="s">
        <v>5110</v>
      </c>
      <c r="H1233" s="2" t="s">
        <v>46</v>
      </c>
      <c r="I1233" s="2" t="s">
        <v>6</v>
      </c>
      <c r="J1233" s="2" t="s">
        <v>5</v>
      </c>
      <c r="K1233" s="2" t="s">
        <v>5</v>
      </c>
      <c r="L1233" s="2" t="s">
        <v>7</v>
      </c>
      <c r="M1233" s="1" t="s">
        <v>15123</v>
      </c>
      <c r="N1233" s="1" t="s">
        <v>15124</v>
      </c>
      <c r="O1233" s="2" t="s">
        <v>1515</v>
      </c>
      <c r="Q1233" s="2" t="s">
        <v>1151</v>
      </c>
      <c r="R1233" s="2" t="s">
        <v>4146</v>
      </c>
      <c r="T1233" s="2" t="s">
        <v>13</v>
      </c>
      <c r="U1233" s="3">
        <v>1</v>
      </c>
      <c r="V1233" s="3">
        <v>3</v>
      </c>
      <c r="W1233" s="4" t="s">
        <v>5941</v>
      </c>
      <c r="X1233" s="4" t="s">
        <v>15125</v>
      </c>
      <c r="Y1233" s="4" t="s">
        <v>5450</v>
      </c>
      <c r="Z1233" s="4" t="s">
        <v>15125</v>
      </c>
      <c r="AA1233" s="3">
        <v>30</v>
      </c>
      <c r="AB1233" s="3">
        <v>24</v>
      </c>
      <c r="AC1233" s="3">
        <v>26</v>
      </c>
      <c r="AD1233" s="3">
        <v>1</v>
      </c>
      <c r="AE1233" s="9">
        <v>1</v>
      </c>
      <c r="AF1233" s="9">
        <v>2</v>
      </c>
      <c r="AG1233" s="9">
        <v>2</v>
      </c>
      <c r="AH1233" s="3">
        <v>1</v>
      </c>
      <c r="AI1233" s="3">
        <v>1</v>
      </c>
      <c r="AJ1233" s="3">
        <v>1</v>
      </c>
      <c r="AK1233" s="3">
        <v>1</v>
      </c>
      <c r="AL1233" s="3">
        <v>1</v>
      </c>
      <c r="AM1233" s="3">
        <v>1</v>
      </c>
      <c r="AN1233" s="3">
        <v>0</v>
      </c>
      <c r="AO1233" s="3">
        <v>0</v>
      </c>
      <c r="AP1233" s="3">
        <v>0</v>
      </c>
      <c r="AQ1233" s="3">
        <v>0</v>
      </c>
      <c r="AR1233" s="2" t="s">
        <v>5</v>
      </c>
      <c r="AS1233" s="2" t="s">
        <v>46</v>
      </c>
      <c r="AT1233" s="5" t="str">
        <f>HYPERLINK("http://catalog.hathitrust.org/Record/007876545","HathiTrust Record")</f>
        <v>HathiTrust Record</v>
      </c>
      <c r="AU1233" s="5" t="str">
        <f>HYPERLINK("https://creighton-primo.hosted.exlibrisgroup.com/primo-explore/search?tab=default_tab&amp;search_scope=EVERYTHING&amp;vid=01CRU&amp;lang=en_US&amp;offset=0&amp;query=any,contains,991003802069702656","Catalog Record")</f>
        <v>Catalog Record</v>
      </c>
      <c r="AV1233" s="5" t="str">
        <f>HYPERLINK("http://www.worldcat.org/oclc/10457950","WorldCat Record")</f>
        <v>WorldCat Record</v>
      </c>
      <c r="AW1233" s="2" t="s">
        <v>15126</v>
      </c>
      <c r="AX1233" s="2" t="s">
        <v>15127</v>
      </c>
      <c r="AY1233" s="2" t="s">
        <v>15128</v>
      </c>
      <c r="AZ1233" s="2" t="s">
        <v>15128</v>
      </c>
      <c r="BA1233" s="2" t="s">
        <v>15129</v>
      </c>
      <c r="BB1233" s="2" t="s">
        <v>20</v>
      </c>
      <c r="BE1233" s="2" t="s">
        <v>15134</v>
      </c>
      <c r="BF1233" s="2" t="s">
        <v>15135</v>
      </c>
    </row>
    <row r="1234" spans="1:58" ht="39.75" customHeight="1" x14ac:dyDescent="0.25">
      <c r="A1234" s="7" t="s">
        <v>5</v>
      </c>
      <c r="B1234" s="1" t="s">
        <v>0</v>
      </c>
      <c r="C1234" s="1" t="s">
        <v>1</v>
      </c>
      <c r="D1234" s="1" t="s">
        <v>15136</v>
      </c>
      <c r="E1234" s="1" t="s">
        <v>15137</v>
      </c>
      <c r="F1234" s="1" t="s">
        <v>15138</v>
      </c>
      <c r="H1234" s="2" t="s">
        <v>5</v>
      </c>
      <c r="I1234" s="2" t="s">
        <v>6</v>
      </c>
      <c r="J1234" s="2" t="s">
        <v>5</v>
      </c>
      <c r="K1234" s="2" t="s">
        <v>5</v>
      </c>
      <c r="L1234" s="2" t="s">
        <v>7</v>
      </c>
      <c r="M1234" s="1" t="s">
        <v>15123</v>
      </c>
      <c r="N1234" s="1" t="s">
        <v>15139</v>
      </c>
      <c r="O1234" s="2" t="s">
        <v>452</v>
      </c>
      <c r="Q1234" s="2" t="s">
        <v>1151</v>
      </c>
      <c r="R1234" s="2" t="s">
        <v>4146</v>
      </c>
      <c r="S1234" s="1" t="s">
        <v>15140</v>
      </c>
      <c r="T1234" s="2" t="s">
        <v>13</v>
      </c>
      <c r="U1234" s="3">
        <v>1</v>
      </c>
      <c r="V1234" s="3">
        <v>1</v>
      </c>
      <c r="W1234" s="4" t="s">
        <v>10532</v>
      </c>
      <c r="X1234" s="4" t="s">
        <v>10532</v>
      </c>
      <c r="Y1234" s="4" t="s">
        <v>10532</v>
      </c>
      <c r="Z1234" s="4" t="s">
        <v>10532</v>
      </c>
      <c r="AA1234" s="3">
        <v>67</v>
      </c>
      <c r="AB1234" s="3">
        <v>55</v>
      </c>
      <c r="AC1234" s="3">
        <v>62</v>
      </c>
      <c r="AD1234" s="3">
        <v>1</v>
      </c>
      <c r="AE1234" s="9">
        <v>1</v>
      </c>
      <c r="AF1234" s="9">
        <v>2</v>
      </c>
      <c r="AG1234" s="9">
        <v>2</v>
      </c>
      <c r="AH1234" s="3">
        <v>0</v>
      </c>
      <c r="AI1234" s="3">
        <v>0</v>
      </c>
      <c r="AJ1234" s="3">
        <v>2</v>
      </c>
      <c r="AK1234" s="3">
        <v>2</v>
      </c>
      <c r="AL1234" s="3">
        <v>1</v>
      </c>
      <c r="AM1234" s="3">
        <v>1</v>
      </c>
      <c r="AN1234" s="3">
        <v>0</v>
      </c>
      <c r="AO1234" s="3">
        <v>0</v>
      </c>
      <c r="AP1234" s="3">
        <v>0</v>
      </c>
      <c r="AQ1234" s="3">
        <v>0</v>
      </c>
      <c r="AR1234" s="2" t="s">
        <v>5</v>
      </c>
      <c r="AS1234" s="2" t="s">
        <v>46</v>
      </c>
      <c r="AT1234" s="5" t="str">
        <f>HYPERLINK("http://catalog.hathitrust.org/Record/101163886","HathiTrust Record")</f>
        <v>HathiTrust Record</v>
      </c>
      <c r="AU1234" s="5" t="str">
        <f>HYPERLINK("https://creighton-primo.hosted.exlibrisgroup.com/primo-explore/search?tab=default_tab&amp;search_scope=EVERYTHING&amp;vid=01CRU&amp;lang=en_US&amp;offset=0&amp;query=any,contains,991003681409702656","Catalog Record")</f>
        <v>Catalog Record</v>
      </c>
      <c r="AV1234" s="5" t="str">
        <f>HYPERLINK("http://www.worldcat.org/oclc/37431505","WorldCat Record")</f>
        <v>WorldCat Record</v>
      </c>
      <c r="AW1234" s="2" t="s">
        <v>15141</v>
      </c>
      <c r="AX1234" s="2" t="s">
        <v>15142</v>
      </c>
      <c r="AY1234" s="2" t="s">
        <v>15143</v>
      </c>
      <c r="AZ1234" s="2" t="s">
        <v>15143</v>
      </c>
      <c r="BA1234" s="2" t="s">
        <v>15144</v>
      </c>
      <c r="BB1234" s="2" t="s">
        <v>20</v>
      </c>
      <c r="BD1234" s="2" t="s">
        <v>15145</v>
      </c>
      <c r="BE1234" s="2" t="s">
        <v>15146</v>
      </c>
      <c r="BF1234" s="2" t="s">
        <v>15147</v>
      </c>
    </row>
    <row r="1235" spans="1:58" ht="39.75" customHeight="1" x14ac:dyDescent="0.25">
      <c r="A1235" s="7" t="s">
        <v>5</v>
      </c>
      <c r="B1235" s="1" t="s">
        <v>0</v>
      </c>
      <c r="C1235" s="1" t="s">
        <v>1</v>
      </c>
      <c r="D1235" s="1" t="s">
        <v>15148</v>
      </c>
      <c r="E1235" s="1" t="s">
        <v>15149</v>
      </c>
      <c r="F1235" s="1" t="s">
        <v>15150</v>
      </c>
      <c r="H1235" s="2" t="s">
        <v>5</v>
      </c>
      <c r="I1235" s="2" t="s">
        <v>6</v>
      </c>
      <c r="J1235" s="2" t="s">
        <v>5</v>
      </c>
      <c r="K1235" s="2" t="s">
        <v>5</v>
      </c>
      <c r="L1235" s="2" t="s">
        <v>7</v>
      </c>
      <c r="M1235" s="1" t="s">
        <v>15123</v>
      </c>
      <c r="N1235" s="1" t="s">
        <v>15151</v>
      </c>
      <c r="O1235" s="2" t="s">
        <v>452</v>
      </c>
      <c r="Q1235" s="2" t="s">
        <v>1151</v>
      </c>
      <c r="R1235" s="2" t="s">
        <v>4146</v>
      </c>
      <c r="T1235" s="2" t="s">
        <v>13</v>
      </c>
      <c r="U1235" s="3">
        <v>1</v>
      </c>
      <c r="V1235" s="3">
        <v>1</v>
      </c>
      <c r="W1235" s="4" t="s">
        <v>15152</v>
      </c>
      <c r="X1235" s="4" t="s">
        <v>15152</v>
      </c>
      <c r="Y1235" s="4" t="s">
        <v>15152</v>
      </c>
      <c r="Z1235" s="4" t="s">
        <v>15152</v>
      </c>
      <c r="AA1235" s="3">
        <v>12</v>
      </c>
      <c r="AB1235" s="3">
        <v>11</v>
      </c>
      <c r="AC1235" s="3">
        <v>47</v>
      </c>
      <c r="AD1235" s="3">
        <v>1</v>
      </c>
      <c r="AE1235" s="9">
        <v>2</v>
      </c>
      <c r="AF1235" s="9">
        <v>0</v>
      </c>
      <c r="AG1235" s="9">
        <v>2</v>
      </c>
      <c r="AH1235" s="3">
        <v>0</v>
      </c>
      <c r="AI1235" s="3">
        <v>0</v>
      </c>
      <c r="AJ1235" s="3">
        <v>0</v>
      </c>
      <c r="AK1235" s="3">
        <v>1</v>
      </c>
      <c r="AL1235" s="3">
        <v>0</v>
      </c>
      <c r="AM1235" s="3">
        <v>0</v>
      </c>
      <c r="AN1235" s="3">
        <v>0</v>
      </c>
      <c r="AO1235" s="3">
        <v>1</v>
      </c>
      <c r="AP1235" s="3">
        <v>0</v>
      </c>
      <c r="AQ1235" s="3">
        <v>0</v>
      </c>
      <c r="AR1235" s="2" t="s">
        <v>5</v>
      </c>
      <c r="AS1235" s="2" t="s">
        <v>5</v>
      </c>
      <c r="AU1235" s="5" t="str">
        <f>HYPERLINK("https://creighton-primo.hosted.exlibrisgroup.com/primo-explore/search?tab=default_tab&amp;search_scope=EVERYTHING&amp;vid=01CRU&amp;lang=en_US&amp;offset=0&amp;query=any,contains,991003872359702656","Catalog Record")</f>
        <v>Catalog Record</v>
      </c>
      <c r="AV1235" s="5" t="str">
        <f>HYPERLINK("http://www.worldcat.org/oclc/37004641","WorldCat Record")</f>
        <v>WorldCat Record</v>
      </c>
      <c r="AW1235" s="2" t="s">
        <v>15153</v>
      </c>
      <c r="AX1235" s="2" t="s">
        <v>15154</v>
      </c>
      <c r="AY1235" s="2" t="s">
        <v>15155</v>
      </c>
      <c r="AZ1235" s="2" t="s">
        <v>15155</v>
      </c>
      <c r="BA1235" s="2" t="s">
        <v>15156</v>
      </c>
      <c r="BB1235" s="2" t="s">
        <v>20</v>
      </c>
      <c r="BD1235" s="2" t="s">
        <v>15157</v>
      </c>
      <c r="BE1235" s="2" t="s">
        <v>15158</v>
      </c>
      <c r="BF1235" s="2" t="s">
        <v>15159</v>
      </c>
    </row>
    <row r="1236" spans="1:58" ht="39.75" customHeight="1" x14ac:dyDescent="0.25">
      <c r="A1236" s="7" t="s">
        <v>5</v>
      </c>
      <c r="B1236" s="1" t="s">
        <v>0</v>
      </c>
      <c r="C1236" s="1" t="s">
        <v>1</v>
      </c>
      <c r="D1236" s="1" t="s">
        <v>15160</v>
      </c>
      <c r="E1236" s="1" t="s">
        <v>15161</v>
      </c>
      <c r="F1236" s="1" t="s">
        <v>15162</v>
      </c>
      <c r="H1236" s="2" t="s">
        <v>5</v>
      </c>
      <c r="I1236" s="2" t="s">
        <v>6</v>
      </c>
      <c r="J1236" s="2" t="s">
        <v>5</v>
      </c>
      <c r="K1236" s="2" t="s">
        <v>5</v>
      </c>
      <c r="L1236" s="2" t="s">
        <v>7</v>
      </c>
      <c r="M1236" s="1" t="s">
        <v>14846</v>
      </c>
      <c r="N1236" s="1" t="s">
        <v>15163</v>
      </c>
      <c r="O1236" s="2" t="s">
        <v>584</v>
      </c>
      <c r="P1236" s="1" t="s">
        <v>5373</v>
      </c>
      <c r="Q1236" s="2" t="s">
        <v>1151</v>
      </c>
      <c r="R1236" s="2" t="s">
        <v>4146</v>
      </c>
      <c r="S1236" s="1" t="s">
        <v>15164</v>
      </c>
      <c r="T1236" s="2" t="s">
        <v>13</v>
      </c>
      <c r="U1236" s="3">
        <v>2</v>
      </c>
      <c r="V1236" s="3">
        <v>2</v>
      </c>
      <c r="W1236" s="4" t="s">
        <v>11306</v>
      </c>
      <c r="X1236" s="4" t="s">
        <v>11306</v>
      </c>
      <c r="Y1236" s="4" t="s">
        <v>14281</v>
      </c>
      <c r="Z1236" s="4" t="s">
        <v>14281</v>
      </c>
      <c r="AA1236" s="3">
        <v>64</v>
      </c>
      <c r="AB1236" s="3">
        <v>43</v>
      </c>
      <c r="AC1236" s="3">
        <v>65</v>
      </c>
      <c r="AD1236" s="3">
        <v>2</v>
      </c>
      <c r="AE1236" s="9">
        <v>2</v>
      </c>
      <c r="AF1236" s="9">
        <v>3</v>
      </c>
      <c r="AG1236" s="9">
        <v>4</v>
      </c>
      <c r="AH1236" s="3">
        <v>1</v>
      </c>
      <c r="AI1236" s="3">
        <v>1</v>
      </c>
      <c r="AJ1236" s="3">
        <v>1</v>
      </c>
      <c r="AK1236" s="3">
        <v>1</v>
      </c>
      <c r="AL1236" s="3">
        <v>1</v>
      </c>
      <c r="AM1236" s="3">
        <v>2</v>
      </c>
      <c r="AN1236" s="3">
        <v>1</v>
      </c>
      <c r="AO1236" s="3">
        <v>1</v>
      </c>
      <c r="AP1236" s="3">
        <v>0</v>
      </c>
      <c r="AQ1236" s="3">
        <v>0</v>
      </c>
      <c r="AR1236" s="2" t="s">
        <v>5</v>
      </c>
      <c r="AS1236" s="2" t="s">
        <v>5</v>
      </c>
      <c r="AU1236" s="5" t="str">
        <f>HYPERLINK("https://creighton-primo.hosted.exlibrisgroup.com/primo-explore/search?tab=default_tab&amp;search_scope=EVERYTHING&amp;vid=01CRU&amp;lang=en_US&amp;offset=0&amp;query=any,contains,991003803459702656","Catalog Record")</f>
        <v>Catalog Record</v>
      </c>
      <c r="AV1236" s="5" t="str">
        <f>HYPERLINK("http://www.worldcat.org/oclc/3865424","WorldCat Record")</f>
        <v>WorldCat Record</v>
      </c>
      <c r="AW1236" s="2" t="s">
        <v>15165</v>
      </c>
      <c r="AX1236" s="2" t="s">
        <v>15166</v>
      </c>
      <c r="AY1236" s="2" t="s">
        <v>15167</v>
      </c>
      <c r="AZ1236" s="2" t="s">
        <v>15167</v>
      </c>
      <c r="BA1236" s="2" t="s">
        <v>15168</v>
      </c>
      <c r="BB1236" s="2" t="s">
        <v>20</v>
      </c>
      <c r="BE1236" s="2" t="s">
        <v>15169</v>
      </c>
      <c r="BF1236" s="2" t="s">
        <v>15170</v>
      </c>
    </row>
    <row r="1237" spans="1:58" ht="39.75" customHeight="1" x14ac:dyDescent="0.25">
      <c r="A1237" s="7" t="s">
        <v>5</v>
      </c>
      <c r="B1237" s="1" t="s">
        <v>0</v>
      </c>
      <c r="C1237" s="1" t="s">
        <v>1</v>
      </c>
      <c r="D1237" s="1" t="s">
        <v>15171</v>
      </c>
      <c r="E1237" s="1" t="s">
        <v>15172</v>
      </c>
      <c r="F1237" s="1" t="s">
        <v>15173</v>
      </c>
      <c r="H1237" s="2" t="s">
        <v>5</v>
      </c>
      <c r="I1237" s="2" t="s">
        <v>6</v>
      </c>
      <c r="J1237" s="2" t="s">
        <v>5</v>
      </c>
      <c r="K1237" s="2" t="s">
        <v>5</v>
      </c>
      <c r="L1237" s="2" t="s">
        <v>7</v>
      </c>
      <c r="M1237" s="1" t="s">
        <v>15174</v>
      </c>
      <c r="N1237" s="1" t="s">
        <v>15175</v>
      </c>
      <c r="O1237" s="2" t="s">
        <v>307</v>
      </c>
      <c r="Q1237" s="2" t="s">
        <v>60</v>
      </c>
      <c r="R1237" s="2" t="s">
        <v>1152</v>
      </c>
      <c r="S1237" s="1" t="s">
        <v>15176</v>
      </c>
      <c r="T1237" s="2" t="s">
        <v>13</v>
      </c>
      <c r="U1237" s="3">
        <v>1</v>
      </c>
      <c r="V1237" s="3">
        <v>1</v>
      </c>
      <c r="W1237" s="4" t="s">
        <v>8667</v>
      </c>
      <c r="X1237" s="4" t="s">
        <v>8667</v>
      </c>
      <c r="Y1237" s="4" t="s">
        <v>8667</v>
      </c>
      <c r="Z1237" s="4" t="s">
        <v>8667</v>
      </c>
      <c r="AA1237" s="3">
        <v>128</v>
      </c>
      <c r="AB1237" s="3">
        <v>109</v>
      </c>
      <c r="AC1237" s="3">
        <v>110</v>
      </c>
      <c r="AD1237" s="3">
        <v>2</v>
      </c>
      <c r="AE1237" s="9">
        <v>2</v>
      </c>
      <c r="AF1237" s="9">
        <v>4</v>
      </c>
      <c r="AG1237" s="9">
        <v>4</v>
      </c>
      <c r="AH1237" s="3">
        <v>1</v>
      </c>
      <c r="AI1237" s="3">
        <v>1</v>
      </c>
      <c r="AJ1237" s="3">
        <v>1</v>
      </c>
      <c r="AK1237" s="3">
        <v>1</v>
      </c>
      <c r="AL1237" s="3">
        <v>2</v>
      </c>
      <c r="AM1237" s="3">
        <v>2</v>
      </c>
      <c r="AN1237" s="3">
        <v>1</v>
      </c>
      <c r="AO1237" s="3">
        <v>1</v>
      </c>
      <c r="AP1237" s="3">
        <v>0</v>
      </c>
      <c r="AQ1237" s="3">
        <v>0</v>
      </c>
      <c r="AR1237" s="2" t="s">
        <v>5</v>
      </c>
      <c r="AS1237" s="2" t="s">
        <v>46</v>
      </c>
      <c r="AT1237" s="5" t="str">
        <f>HYPERLINK("http://catalog.hathitrust.org/Record/001050055","HathiTrust Record")</f>
        <v>HathiTrust Record</v>
      </c>
      <c r="AU1237" s="5" t="str">
        <f>HYPERLINK("https://creighton-primo.hosted.exlibrisgroup.com/primo-explore/search?tab=default_tab&amp;search_scope=EVERYTHING&amp;vid=01CRU&amp;lang=en_US&amp;offset=0&amp;query=any,contains,991004339849702656","Catalog Record")</f>
        <v>Catalog Record</v>
      </c>
      <c r="AV1237" s="5" t="str">
        <f>HYPERLINK("http://www.worldcat.org/oclc/1829864","WorldCat Record")</f>
        <v>WorldCat Record</v>
      </c>
      <c r="AW1237" s="2" t="s">
        <v>15177</v>
      </c>
      <c r="AX1237" s="2" t="s">
        <v>15178</v>
      </c>
      <c r="AY1237" s="2" t="s">
        <v>15179</v>
      </c>
      <c r="AZ1237" s="2" t="s">
        <v>15179</v>
      </c>
      <c r="BA1237" s="2" t="s">
        <v>15180</v>
      </c>
      <c r="BB1237" s="2" t="s">
        <v>20</v>
      </c>
      <c r="BE1237" s="2" t="s">
        <v>15181</v>
      </c>
      <c r="BF1237" s="2" t="s">
        <v>15182</v>
      </c>
    </row>
    <row r="1238" spans="1:58" ht="39.75" customHeight="1" x14ac:dyDescent="0.25">
      <c r="A1238" s="7" t="s">
        <v>5</v>
      </c>
      <c r="B1238" s="1" t="s">
        <v>0</v>
      </c>
      <c r="C1238" s="1" t="s">
        <v>1</v>
      </c>
      <c r="D1238" s="1" t="s">
        <v>15183</v>
      </c>
      <c r="E1238" s="1" t="s">
        <v>15184</v>
      </c>
      <c r="F1238" s="1" t="s">
        <v>15185</v>
      </c>
      <c r="H1238" s="2" t="s">
        <v>5</v>
      </c>
      <c r="I1238" s="2" t="s">
        <v>6</v>
      </c>
      <c r="J1238" s="2" t="s">
        <v>5</v>
      </c>
      <c r="K1238" s="2" t="s">
        <v>5</v>
      </c>
      <c r="L1238" s="2" t="s">
        <v>7</v>
      </c>
      <c r="M1238" s="1" t="s">
        <v>15186</v>
      </c>
      <c r="N1238" s="1" t="s">
        <v>15187</v>
      </c>
      <c r="O1238" s="2" t="s">
        <v>261</v>
      </c>
      <c r="Q1238" s="2" t="s">
        <v>1151</v>
      </c>
      <c r="R1238" s="2" t="s">
        <v>4146</v>
      </c>
      <c r="T1238" s="2" t="s">
        <v>13</v>
      </c>
      <c r="U1238" s="3">
        <v>1</v>
      </c>
      <c r="V1238" s="3">
        <v>1</v>
      </c>
      <c r="W1238" s="4" t="s">
        <v>15188</v>
      </c>
      <c r="X1238" s="4" t="s">
        <v>15188</v>
      </c>
      <c r="Y1238" s="4" t="s">
        <v>8244</v>
      </c>
      <c r="Z1238" s="4" t="s">
        <v>8244</v>
      </c>
      <c r="AA1238" s="3">
        <v>11</v>
      </c>
      <c r="AB1238" s="3">
        <v>10</v>
      </c>
      <c r="AC1238" s="3">
        <v>40</v>
      </c>
      <c r="AD1238" s="3">
        <v>1</v>
      </c>
      <c r="AE1238" s="9">
        <v>1</v>
      </c>
      <c r="AF1238" s="9">
        <v>1</v>
      </c>
      <c r="AG1238" s="9">
        <v>3</v>
      </c>
      <c r="AH1238" s="3">
        <v>0</v>
      </c>
      <c r="AI1238" s="3">
        <v>1</v>
      </c>
      <c r="AJ1238" s="3">
        <v>1</v>
      </c>
      <c r="AK1238" s="3">
        <v>1</v>
      </c>
      <c r="AL1238" s="3">
        <v>1</v>
      </c>
      <c r="AM1238" s="3">
        <v>2</v>
      </c>
      <c r="AN1238" s="3">
        <v>0</v>
      </c>
      <c r="AO1238" s="3">
        <v>0</v>
      </c>
      <c r="AP1238" s="3">
        <v>0</v>
      </c>
      <c r="AQ1238" s="3">
        <v>0</v>
      </c>
      <c r="AR1238" s="2" t="s">
        <v>5</v>
      </c>
      <c r="AS1238" s="2" t="s">
        <v>46</v>
      </c>
      <c r="AT1238" s="5" t="str">
        <f>HYPERLINK("http://catalog.hathitrust.org/Record/101163966","HathiTrust Record")</f>
        <v>HathiTrust Record</v>
      </c>
      <c r="AU1238" s="5" t="str">
        <f>HYPERLINK("https://creighton-primo.hosted.exlibrisgroup.com/primo-explore/search?tab=default_tab&amp;search_scope=EVERYTHING&amp;vid=01CRU&amp;lang=en_US&amp;offset=0&amp;query=any,contains,991003701579702656","Catalog Record")</f>
        <v>Catalog Record</v>
      </c>
      <c r="AV1238" s="5" t="str">
        <f>HYPERLINK("http://www.worldcat.org/oclc/10368745","WorldCat Record")</f>
        <v>WorldCat Record</v>
      </c>
      <c r="AW1238" s="2" t="s">
        <v>15189</v>
      </c>
      <c r="AX1238" s="2" t="s">
        <v>15190</v>
      </c>
      <c r="AY1238" s="2" t="s">
        <v>15191</v>
      </c>
      <c r="AZ1238" s="2" t="s">
        <v>15191</v>
      </c>
      <c r="BA1238" s="2" t="s">
        <v>15192</v>
      </c>
      <c r="BB1238" s="2" t="s">
        <v>20</v>
      </c>
      <c r="BE1238" s="2" t="s">
        <v>15193</v>
      </c>
      <c r="BF1238" s="2" t="s">
        <v>15194</v>
      </c>
    </row>
    <row r="1239" spans="1:58" ht="39.75" customHeight="1" x14ac:dyDescent="0.25">
      <c r="A1239" s="7" t="s">
        <v>5</v>
      </c>
      <c r="B1239" s="1" t="s">
        <v>0</v>
      </c>
      <c r="C1239" s="1" t="s">
        <v>1</v>
      </c>
      <c r="D1239" s="1" t="s">
        <v>15195</v>
      </c>
      <c r="E1239" s="1" t="s">
        <v>15196</v>
      </c>
      <c r="F1239" s="1" t="s">
        <v>15197</v>
      </c>
      <c r="H1239" s="2" t="s">
        <v>5</v>
      </c>
      <c r="I1239" s="2" t="s">
        <v>6</v>
      </c>
      <c r="J1239" s="2" t="s">
        <v>5</v>
      </c>
      <c r="K1239" s="2" t="s">
        <v>5</v>
      </c>
      <c r="L1239" s="2" t="s">
        <v>7</v>
      </c>
      <c r="M1239" s="1" t="s">
        <v>15198</v>
      </c>
      <c r="N1239" s="1" t="s">
        <v>15199</v>
      </c>
      <c r="O1239" s="2" t="s">
        <v>261</v>
      </c>
      <c r="Q1239" s="2" t="s">
        <v>1151</v>
      </c>
      <c r="R1239" s="2" t="s">
        <v>4146</v>
      </c>
      <c r="S1239" s="1" t="s">
        <v>15200</v>
      </c>
      <c r="T1239" s="2" t="s">
        <v>13</v>
      </c>
      <c r="U1239" s="3">
        <v>1</v>
      </c>
      <c r="V1239" s="3">
        <v>1</v>
      </c>
      <c r="W1239" s="4" t="s">
        <v>10532</v>
      </c>
      <c r="X1239" s="4" t="s">
        <v>10532</v>
      </c>
      <c r="Y1239" s="4" t="s">
        <v>10532</v>
      </c>
      <c r="Z1239" s="4" t="s">
        <v>10532</v>
      </c>
      <c r="AA1239" s="3">
        <v>163</v>
      </c>
      <c r="AB1239" s="3">
        <v>116</v>
      </c>
      <c r="AC1239" s="3">
        <v>118</v>
      </c>
      <c r="AD1239" s="3">
        <v>2</v>
      </c>
      <c r="AE1239" s="9">
        <v>2</v>
      </c>
      <c r="AF1239" s="9">
        <v>7</v>
      </c>
      <c r="AG1239" s="9">
        <v>7</v>
      </c>
      <c r="AH1239" s="3">
        <v>0</v>
      </c>
      <c r="AI1239" s="3">
        <v>0</v>
      </c>
      <c r="AJ1239" s="3">
        <v>4</v>
      </c>
      <c r="AK1239" s="3">
        <v>4</v>
      </c>
      <c r="AL1239" s="3">
        <v>4</v>
      </c>
      <c r="AM1239" s="3">
        <v>4</v>
      </c>
      <c r="AN1239" s="3">
        <v>1</v>
      </c>
      <c r="AO1239" s="3">
        <v>1</v>
      </c>
      <c r="AP1239" s="3">
        <v>0</v>
      </c>
      <c r="AQ1239" s="3">
        <v>0</v>
      </c>
      <c r="AR1239" s="2" t="s">
        <v>5</v>
      </c>
      <c r="AS1239" s="2" t="s">
        <v>46</v>
      </c>
      <c r="AT1239" s="5" t="str">
        <f>HYPERLINK("http://catalog.hathitrust.org/Record/006233853","HathiTrust Record")</f>
        <v>HathiTrust Record</v>
      </c>
      <c r="AU1239" s="5" t="str">
        <f>HYPERLINK("https://creighton-primo.hosted.exlibrisgroup.com/primo-explore/search?tab=default_tab&amp;search_scope=EVERYTHING&amp;vid=01CRU&amp;lang=en_US&amp;offset=0&amp;query=any,contains,991003681739702656","Catalog Record")</f>
        <v>Catalog Record</v>
      </c>
      <c r="AV1239" s="5" t="str">
        <f>HYPERLINK("http://www.worldcat.org/oclc/13560419","WorldCat Record")</f>
        <v>WorldCat Record</v>
      </c>
      <c r="AW1239" s="2" t="s">
        <v>15201</v>
      </c>
      <c r="AX1239" s="2" t="s">
        <v>15202</v>
      </c>
      <c r="AY1239" s="2" t="s">
        <v>15203</v>
      </c>
      <c r="AZ1239" s="2" t="s">
        <v>15203</v>
      </c>
      <c r="BA1239" s="2" t="s">
        <v>15204</v>
      </c>
      <c r="BB1239" s="2" t="s">
        <v>20</v>
      </c>
      <c r="BD1239" s="2" t="s">
        <v>15205</v>
      </c>
      <c r="BE1239" s="2" t="s">
        <v>15206</v>
      </c>
      <c r="BF1239" s="2" t="s">
        <v>15207</v>
      </c>
    </row>
    <row r="1240" spans="1:58" ht="39.75" customHeight="1" x14ac:dyDescent="0.25">
      <c r="A1240" s="7" t="s">
        <v>5</v>
      </c>
      <c r="B1240" s="1" t="s">
        <v>0</v>
      </c>
      <c r="C1240" s="1" t="s">
        <v>1</v>
      </c>
      <c r="D1240" s="1" t="s">
        <v>15208</v>
      </c>
      <c r="E1240" s="1" t="s">
        <v>15209</v>
      </c>
      <c r="F1240" s="1" t="s">
        <v>15210</v>
      </c>
      <c r="H1240" s="2" t="s">
        <v>5</v>
      </c>
      <c r="I1240" s="2" t="s">
        <v>6</v>
      </c>
      <c r="J1240" s="2" t="s">
        <v>5</v>
      </c>
      <c r="K1240" s="2" t="s">
        <v>5</v>
      </c>
      <c r="L1240" s="2" t="s">
        <v>7</v>
      </c>
      <c r="M1240" s="1" t="s">
        <v>15211</v>
      </c>
      <c r="O1240" s="2" t="s">
        <v>584</v>
      </c>
      <c r="Q1240" s="2" t="s">
        <v>1151</v>
      </c>
      <c r="R1240" s="2" t="s">
        <v>4146</v>
      </c>
      <c r="S1240" s="1" t="s">
        <v>15212</v>
      </c>
      <c r="T1240" s="2" t="s">
        <v>13</v>
      </c>
      <c r="U1240" s="3">
        <v>1</v>
      </c>
      <c r="V1240" s="3">
        <v>1</v>
      </c>
      <c r="W1240" s="4" t="s">
        <v>1154</v>
      </c>
      <c r="X1240" s="4" t="s">
        <v>1154</v>
      </c>
      <c r="Y1240" s="4" t="s">
        <v>1154</v>
      </c>
      <c r="Z1240" s="4" t="s">
        <v>1154</v>
      </c>
      <c r="AA1240" s="3">
        <v>43</v>
      </c>
      <c r="AB1240" s="3">
        <v>32</v>
      </c>
      <c r="AC1240" s="3">
        <v>34</v>
      </c>
      <c r="AD1240" s="3">
        <v>2</v>
      </c>
      <c r="AE1240" s="9">
        <v>2</v>
      </c>
      <c r="AF1240" s="9">
        <v>1</v>
      </c>
      <c r="AG1240" s="9">
        <v>1</v>
      </c>
      <c r="AH1240" s="3">
        <v>0</v>
      </c>
      <c r="AI1240" s="3">
        <v>0</v>
      </c>
      <c r="AJ1240" s="3">
        <v>0</v>
      </c>
      <c r="AK1240" s="3">
        <v>0</v>
      </c>
      <c r="AL1240" s="3">
        <v>0</v>
      </c>
      <c r="AM1240" s="3">
        <v>0</v>
      </c>
      <c r="AN1240" s="3">
        <v>1</v>
      </c>
      <c r="AO1240" s="3">
        <v>1</v>
      </c>
      <c r="AP1240" s="3">
        <v>0</v>
      </c>
      <c r="AQ1240" s="3">
        <v>0</v>
      </c>
      <c r="AR1240" s="2" t="s">
        <v>5</v>
      </c>
      <c r="AS1240" s="2" t="s">
        <v>46</v>
      </c>
      <c r="AT1240" s="5" t="str">
        <f>HYPERLINK("http://catalog.hathitrust.org/Record/101406076","HathiTrust Record")</f>
        <v>HathiTrust Record</v>
      </c>
      <c r="AU1240" s="5" t="str">
        <f>HYPERLINK("https://creighton-primo.hosted.exlibrisgroup.com/primo-explore/search?tab=default_tab&amp;search_scope=EVERYTHING&amp;vid=01CRU&amp;lang=en_US&amp;offset=0&amp;query=any,contains,991003846839702656","Catalog Record")</f>
        <v>Catalog Record</v>
      </c>
      <c r="AV1240" s="5" t="str">
        <f>HYPERLINK("http://www.worldcat.org/oclc/2660540","WorldCat Record")</f>
        <v>WorldCat Record</v>
      </c>
      <c r="AW1240" s="2" t="s">
        <v>15213</v>
      </c>
      <c r="AX1240" s="2" t="s">
        <v>15214</v>
      </c>
      <c r="AY1240" s="2" t="s">
        <v>15215</v>
      </c>
      <c r="AZ1240" s="2" t="s">
        <v>15215</v>
      </c>
      <c r="BA1240" s="2" t="s">
        <v>15216</v>
      </c>
      <c r="BB1240" s="2" t="s">
        <v>20</v>
      </c>
      <c r="BE1240" s="2" t="s">
        <v>15217</v>
      </c>
      <c r="BF1240" s="2" t="s">
        <v>15218</v>
      </c>
    </row>
    <row r="1241" spans="1:58" ht="39.75" customHeight="1" x14ac:dyDescent="0.25">
      <c r="A1241" s="7" t="s">
        <v>5</v>
      </c>
      <c r="B1241" s="1" t="s">
        <v>0</v>
      </c>
      <c r="C1241" s="1" t="s">
        <v>1</v>
      </c>
      <c r="D1241" s="1" t="s">
        <v>15219</v>
      </c>
      <c r="E1241" s="1" t="s">
        <v>15220</v>
      </c>
      <c r="F1241" s="1" t="s">
        <v>15221</v>
      </c>
      <c r="H1241" s="2" t="s">
        <v>5</v>
      </c>
      <c r="I1241" s="2" t="s">
        <v>6</v>
      </c>
      <c r="J1241" s="2" t="s">
        <v>5</v>
      </c>
      <c r="K1241" s="2" t="s">
        <v>5</v>
      </c>
      <c r="L1241" s="2" t="s">
        <v>7</v>
      </c>
      <c r="M1241" s="1" t="s">
        <v>15222</v>
      </c>
      <c r="N1241" s="1" t="s">
        <v>15223</v>
      </c>
      <c r="O1241" s="2" t="s">
        <v>995</v>
      </c>
      <c r="Q1241" s="2" t="s">
        <v>1151</v>
      </c>
      <c r="R1241" s="2" t="s">
        <v>4146</v>
      </c>
      <c r="T1241" s="2" t="s">
        <v>13</v>
      </c>
      <c r="U1241" s="3">
        <v>1</v>
      </c>
      <c r="V1241" s="3">
        <v>1</v>
      </c>
      <c r="W1241" s="4" t="s">
        <v>5417</v>
      </c>
      <c r="X1241" s="4" t="s">
        <v>5417</v>
      </c>
      <c r="Y1241" s="4" t="s">
        <v>5417</v>
      </c>
      <c r="Z1241" s="4" t="s">
        <v>5417</v>
      </c>
      <c r="AA1241" s="3">
        <v>42</v>
      </c>
      <c r="AB1241" s="3">
        <v>30</v>
      </c>
      <c r="AC1241" s="3">
        <v>64</v>
      </c>
      <c r="AD1241" s="3">
        <v>1</v>
      </c>
      <c r="AE1241" s="9">
        <v>1</v>
      </c>
      <c r="AF1241" s="9">
        <v>0</v>
      </c>
      <c r="AG1241" s="9">
        <v>2</v>
      </c>
      <c r="AH1241" s="3">
        <v>0</v>
      </c>
      <c r="AI1241" s="3">
        <v>1</v>
      </c>
      <c r="AJ1241" s="3">
        <v>0</v>
      </c>
      <c r="AK1241" s="3">
        <v>0</v>
      </c>
      <c r="AL1241" s="3">
        <v>0</v>
      </c>
      <c r="AM1241" s="3">
        <v>1</v>
      </c>
      <c r="AN1241" s="3">
        <v>0</v>
      </c>
      <c r="AO1241" s="3">
        <v>0</v>
      </c>
      <c r="AP1241" s="3">
        <v>0</v>
      </c>
      <c r="AQ1241" s="3">
        <v>0</v>
      </c>
      <c r="AR1241" s="2" t="s">
        <v>5</v>
      </c>
      <c r="AS1241" s="2" t="s">
        <v>5</v>
      </c>
      <c r="AU1241" s="5" t="str">
        <f>HYPERLINK("https://creighton-primo.hosted.exlibrisgroup.com/primo-explore/search?tab=default_tab&amp;search_scope=EVERYTHING&amp;vid=01CRU&amp;lang=en_US&amp;offset=0&amp;query=any,contains,991003816679702656","Catalog Record")</f>
        <v>Catalog Record</v>
      </c>
      <c r="AV1241" s="5" t="str">
        <f>HYPERLINK("http://www.worldcat.org/oclc/8242616","WorldCat Record")</f>
        <v>WorldCat Record</v>
      </c>
      <c r="AW1241" s="2" t="s">
        <v>15224</v>
      </c>
      <c r="AX1241" s="2" t="s">
        <v>15225</v>
      </c>
      <c r="AY1241" s="2" t="s">
        <v>15226</v>
      </c>
      <c r="AZ1241" s="2" t="s">
        <v>15226</v>
      </c>
      <c r="BA1241" s="2" t="s">
        <v>15227</v>
      </c>
      <c r="BB1241" s="2" t="s">
        <v>20</v>
      </c>
      <c r="BE1241" s="2" t="s">
        <v>15228</v>
      </c>
      <c r="BF1241" s="2" t="s">
        <v>15229</v>
      </c>
    </row>
    <row r="1242" spans="1:58" ht="39.75" customHeight="1" x14ac:dyDescent="0.25">
      <c r="A1242" s="7" t="s">
        <v>5</v>
      </c>
      <c r="B1242" s="1" t="s">
        <v>0</v>
      </c>
      <c r="C1242" s="1" t="s">
        <v>1</v>
      </c>
      <c r="D1242" s="1" t="s">
        <v>15230</v>
      </c>
      <c r="E1242" s="1" t="s">
        <v>15231</v>
      </c>
      <c r="F1242" s="1" t="s">
        <v>15232</v>
      </c>
      <c r="H1242" s="2" t="s">
        <v>5</v>
      </c>
      <c r="I1242" s="2" t="s">
        <v>6</v>
      </c>
      <c r="J1242" s="2" t="s">
        <v>5</v>
      </c>
      <c r="K1242" s="2" t="s">
        <v>5</v>
      </c>
      <c r="L1242" s="2" t="s">
        <v>7</v>
      </c>
      <c r="M1242" s="1" t="s">
        <v>15222</v>
      </c>
      <c r="N1242" s="1" t="s">
        <v>15233</v>
      </c>
      <c r="O1242" s="2" t="s">
        <v>1390</v>
      </c>
      <c r="P1242" s="1" t="s">
        <v>2908</v>
      </c>
      <c r="Q1242" s="2" t="s">
        <v>1151</v>
      </c>
      <c r="R1242" s="2" t="s">
        <v>1152</v>
      </c>
      <c r="S1242" s="1" t="s">
        <v>15234</v>
      </c>
      <c r="T1242" s="2" t="s">
        <v>13</v>
      </c>
      <c r="U1242" s="3">
        <v>1</v>
      </c>
      <c r="V1242" s="3">
        <v>1</v>
      </c>
      <c r="W1242" s="4" t="s">
        <v>8639</v>
      </c>
      <c r="X1242" s="4" t="s">
        <v>8639</v>
      </c>
      <c r="Y1242" s="4" t="s">
        <v>8639</v>
      </c>
      <c r="Z1242" s="4" t="s">
        <v>8639</v>
      </c>
      <c r="AA1242" s="3">
        <v>6</v>
      </c>
      <c r="AB1242" s="3">
        <v>5</v>
      </c>
      <c r="AC1242" s="3">
        <v>147</v>
      </c>
      <c r="AD1242" s="3">
        <v>1</v>
      </c>
      <c r="AE1242" s="9">
        <v>3</v>
      </c>
      <c r="AF1242" s="9">
        <v>0</v>
      </c>
      <c r="AG1242" s="9">
        <v>6</v>
      </c>
      <c r="AH1242" s="3">
        <v>0</v>
      </c>
      <c r="AI1242" s="3">
        <v>1</v>
      </c>
      <c r="AJ1242" s="3">
        <v>0</v>
      </c>
      <c r="AK1242" s="3">
        <v>2</v>
      </c>
      <c r="AL1242" s="3">
        <v>0</v>
      </c>
      <c r="AM1242" s="3">
        <v>2</v>
      </c>
      <c r="AN1242" s="3">
        <v>0</v>
      </c>
      <c r="AO1242" s="3">
        <v>2</v>
      </c>
      <c r="AP1242" s="3">
        <v>0</v>
      </c>
      <c r="AQ1242" s="3">
        <v>0</v>
      </c>
      <c r="AR1242" s="2" t="s">
        <v>5</v>
      </c>
      <c r="AS1242" s="2" t="s">
        <v>5</v>
      </c>
      <c r="AU1242" s="5" t="str">
        <f>HYPERLINK("https://creighton-primo.hosted.exlibrisgroup.com/primo-explore/search?tab=default_tab&amp;search_scope=EVERYTHING&amp;vid=01CRU&amp;lang=en_US&amp;offset=0&amp;query=any,contains,991004333919702656","Catalog Record")</f>
        <v>Catalog Record</v>
      </c>
      <c r="AV1242" s="5" t="str">
        <f>HYPERLINK("http://www.worldcat.org/oclc/14269503","WorldCat Record")</f>
        <v>WorldCat Record</v>
      </c>
      <c r="AW1242" s="2" t="s">
        <v>15235</v>
      </c>
      <c r="AX1242" s="2" t="s">
        <v>15236</v>
      </c>
      <c r="AY1242" s="2" t="s">
        <v>15237</v>
      </c>
      <c r="AZ1242" s="2" t="s">
        <v>15237</v>
      </c>
      <c r="BA1242" s="2" t="s">
        <v>15238</v>
      </c>
      <c r="BB1242" s="2" t="s">
        <v>20</v>
      </c>
      <c r="BD1242" s="2" t="s">
        <v>15239</v>
      </c>
      <c r="BE1242" s="2" t="s">
        <v>15240</v>
      </c>
      <c r="BF1242" s="2" t="s">
        <v>15241</v>
      </c>
    </row>
    <row r="1243" spans="1:58" ht="39.75" customHeight="1" x14ac:dyDescent="0.25">
      <c r="A1243" s="7" t="s">
        <v>5</v>
      </c>
      <c r="B1243" s="1" t="s">
        <v>0</v>
      </c>
      <c r="C1243" s="1" t="s">
        <v>1</v>
      </c>
      <c r="D1243" s="1" t="s">
        <v>15242</v>
      </c>
      <c r="E1243" s="1" t="s">
        <v>15243</v>
      </c>
      <c r="F1243" s="1" t="s">
        <v>15244</v>
      </c>
      <c r="H1243" s="2" t="s">
        <v>5</v>
      </c>
      <c r="I1243" s="2" t="s">
        <v>6</v>
      </c>
      <c r="J1243" s="2" t="s">
        <v>5</v>
      </c>
      <c r="K1243" s="2" t="s">
        <v>5</v>
      </c>
      <c r="L1243" s="2" t="s">
        <v>7</v>
      </c>
      <c r="M1243" s="1" t="s">
        <v>5414</v>
      </c>
      <c r="N1243" s="1" t="s">
        <v>15245</v>
      </c>
      <c r="O1243" s="2" t="s">
        <v>480</v>
      </c>
      <c r="Q1243" s="2" t="s">
        <v>1151</v>
      </c>
      <c r="R1243" s="2" t="s">
        <v>5403</v>
      </c>
      <c r="T1243" s="2" t="s">
        <v>13</v>
      </c>
      <c r="U1243" s="3">
        <v>1</v>
      </c>
      <c r="V1243" s="3">
        <v>1</v>
      </c>
      <c r="W1243" s="4" t="s">
        <v>8639</v>
      </c>
      <c r="X1243" s="4" t="s">
        <v>8639</v>
      </c>
      <c r="Y1243" s="4" t="s">
        <v>8639</v>
      </c>
      <c r="Z1243" s="4" t="s">
        <v>8639</v>
      </c>
      <c r="AA1243" s="3">
        <v>104</v>
      </c>
      <c r="AB1243" s="3">
        <v>86</v>
      </c>
      <c r="AC1243" s="3">
        <v>133</v>
      </c>
      <c r="AD1243" s="3">
        <v>2</v>
      </c>
      <c r="AE1243" s="9">
        <v>2</v>
      </c>
      <c r="AF1243" s="9">
        <v>7</v>
      </c>
      <c r="AG1243" s="9">
        <v>7</v>
      </c>
      <c r="AH1243" s="3">
        <v>2</v>
      </c>
      <c r="AI1243" s="3">
        <v>2</v>
      </c>
      <c r="AJ1243" s="3">
        <v>2</v>
      </c>
      <c r="AK1243" s="3">
        <v>2</v>
      </c>
      <c r="AL1243" s="3">
        <v>3</v>
      </c>
      <c r="AM1243" s="3">
        <v>3</v>
      </c>
      <c r="AN1243" s="3">
        <v>1</v>
      </c>
      <c r="AO1243" s="3">
        <v>1</v>
      </c>
      <c r="AP1243" s="3">
        <v>0</v>
      </c>
      <c r="AQ1243" s="3">
        <v>0</v>
      </c>
      <c r="AR1243" s="2" t="s">
        <v>5</v>
      </c>
      <c r="AS1243" s="2" t="s">
        <v>46</v>
      </c>
      <c r="AT1243" s="5" t="str">
        <f>HYPERLINK("http://catalog.hathitrust.org/Record/001051336","HathiTrust Record")</f>
        <v>HathiTrust Record</v>
      </c>
      <c r="AU1243" s="5" t="str">
        <f>HYPERLINK("https://creighton-primo.hosted.exlibrisgroup.com/primo-explore/search?tab=default_tab&amp;search_scope=EVERYTHING&amp;vid=01CRU&amp;lang=en_US&amp;offset=0&amp;query=any,contains,991004333719702656","Catalog Record")</f>
        <v>Catalog Record</v>
      </c>
      <c r="AV1243" s="5" t="str">
        <f>HYPERLINK("http://www.worldcat.org/oclc/1704976","WorldCat Record")</f>
        <v>WorldCat Record</v>
      </c>
      <c r="AW1243" s="2" t="s">
        <v>15246</v>
      </c>
      <c r="AX1243" s="2" t="s">
        <v>15247</v>
      </c>
      <c r="AY1243" s="2" t="s">
        <v>15248</v>
      </c>
      <c r="AZ1243" s="2" t="s">
        <v>15248</v>
      </c>
      <c r="BA1243" s="2" t="s">
        <v>15249</v>
      </c>
      <c r="BB1243" s="2" t="s">
        <v>20</v>
      </c>
      <c r="BE1243" s="2" t="s">
        <v>15250</v>
      </c>
      <c r="BF1243" s="2" t="s">
        <v>15251</v>
      </c>
    </row>
    <row r="1244" spans="1:58" ht="39.75" customHeight="1" x14ac:dyDescent="0.25">
      <c r="A1244" s="7" t="s">
        <v>5</v>
      </c>
      <c r="B1244" s="1" t="s">
        <v>0</v>
      </c>
      <c r="C1244" s="1" t="s">
        <v>1</v>
      </c>
      <c r="D1244" s="1" t="s">
        <v>15252</v>
      </c>
      <c r="E1244" s="1" t="s">
        <v>15253</v>
      </c>
      <c r="F1244" s="1" t="s">
        <v>15254</v>
      </c>
      <c r="H1244" s="2" t="s">
        <v>5</v>
      </c>
      <c r="I1244" s="2" t="s">
        <v>6</v>
      </c>
      <c r="J1244" s="2" t="s">
        <v>5</v>
      </c>
      <c r="K1244" s="2" t="s">
        <v>5</v>
      </c>
      <c r="L1244" s="2" t="s">
        <v>7</v>
      </c>
      <c r="M1244" s="1" t="s">
        <v>15255</v>
      </c>
      <c r="N1244" s="1" t="s">
        <v>15256</v>
      </c>
      <c r="O1244" s="2" t="s">
        <v>10</v>
      </c>
      <c r="Q1244" s="2" t="s">
        <v>1151</v>
      </c>
      <c r="R1244" s="2" t="s">
        <v>4146</v>
      </c>
      <c r="S1244" s="1" t="s">
        <v>15257</v>
      </c>
      <c r="T1244" s="2" t="s">
        <v>13</v>
      </c>
      <c r="U1244" s="3">
        <v>1</v>
      </c>
      <c r="V1244" s="3">
        <v>1</v>
      </c>
      <c r="W1244" s="4" t="s">
        <v>8639</v>
      </c>
      <c r="X1244" s="4" t="s">
        <v>8639</v>
      </c>
      <c r="Y1244" s="4" t="s">
        <v>8639</v>
      </c>
      <c r="Z1244" s="4" t="s">
        <v>8639</v>
      </c>
      <c r="AA1244" s="3">
        <v>17</v>
      </c>
      <c r="AB1244" s="3">
        <v>12</v>
      </c>
      <c r="AC1244" s="3">
        <v>64</v>
      </c>
      <c r="AD1244" s="3">
        <v>1</v>
      </c>
      <c r="AE1244" s="9">
        <v>1</v>
      </c>
      <c r="AF1244" s="9">
        <v>2</v>
      </c>
      <c r="AG1244" s="9">
        <v>4</v>
      </c>
      <c r="AH1244" s="3">
        <v>1</v>
      </c>
      <c r="AI1244" s="3">
        <v>1</v>
      </c>
      <c r="AJ1244" s="3">
        <v>1</v>
      </c>
      <c r="AK1244" s="3">
        <v>1</v>
      </c>
      <c r="AL1244" s="3">
        <v>0</v>
      </c>
      <c r="AM1244" s="3">
        <v>2</v>
      </c>
      <c r="AN1244" s="3">
        <v>0</v>
      </c>
      <c r="AO1244" s="3">
        <v>0</v>
      </c>
      <c r="AP1244" s="3">
        <v>0</v>
      </c>
      <c r="AQ1244" s="3">
        <v>0</v>
      </c>
      <c r="AR1244" s="2" t="s">
        <v>5</v>
      </c>
      <c r="AS1244" s="2" t="s">
        <v>5</v>
      </c>
      <c r="AU1244" s="5" t="str">
        <f>HYPERLINK("https://creighton-primo.hosted.exlibrisgroup.com/primo-explore/search?tab=default_tab&amp;search_scope=EVERYTHING&amp;vid=01CRU&amp;lang=en_US&amp;offset=0&amp;query=any,contains,991004333859702656","Catalog Record")</f>
        <v>Catalog Record</v>
      </c>
      <c r="AV1244" s="5" t="str">
        <f>HYPERLINK("http://www.worldcat.org/oclc/3912083","WorldCat Record")</f>
        <v>WorldCat Record</v>
      </c>
      <c r="AW1244" s="2" t="s">
        <v>15258</v>
      </c>
      <c r="AX1244" s="2" t="s">
        <v>15259</v>
      </c>
      <c r="AY1244" s="2" t="s">
        <v>15260</v>
      </c>
      <c r="AZ1244" s="2" t="s">
        <v>15260</v>
      </c>
      <c r="BA1244" s="2" t="s">
        <v>15261</v>
      </c>
      <c r="BB1244" s="2" t="s">
        <v>20</v>
      </c>
      <c r="BE1244" s="2" t="s">
        <v>15262</v>
      </c>
      <c r="BF1244" s="2" t="s">
        <v>15263</v>
      </c>
    </row>
    <row r="1245" spans="1:58" ht="39.75" customHeight="1" x14ac:dyDescent="0.25">
      <c r="A1245" s="7" t="s">
        <v>5</v>
      </c>
      <c r="B1245" s="1" t="s">
        <v>0</v>
      </c>
      <c r="C1245" s="1" t="s">
        <v>1</v>
      </c>
      <c r="D1245" s="1" t="s">
        <v>15264</v>
      </c>
      <c r="E1245" s="1" t="s">
        <v>15265</v>
      </c>
      <c r="F1245" s="1" t="s">
        <v>15266</v>
      </c>
      <c r="H1245" s="2" t="s">
        <v>5</v>
      </c>
      <c r="I1245" s="2" t="s">
        <v>6</v>
      </c>
      <c r="J1245" s="2" t="s">
        <v>5</v>
      </c>
      <c r="K1245" s="2" t="s">
        <v>5</v>
      </c>
      <c r="L1245" s="2" t="s">
        <v>7</v>
      </c>
      <c r="M1245" s="1" t="s">
        <v>15267</v>
      </c>
      <c r="N1245" s="1" t="s">
        <v>9573</v>
      </c>
      <c r="O1245" s="2" t="s">
        <v>554</v>
      </c>
      <c r="Q1245" s="2" t="s">
        <v>1151</v>
      </c>
      <c r="R1245" s="2" t="s">
        <v>4146</v>
      </c>
      <c r="S1245" s="1" t="s">
        <v>15268</v>
      </c>
      <c r="T1245" s="2" t="s">
        <v>13</v>
      </c>
      <c r="U1245" s="3">
        <v>1</v>
      </c>
      <c r="V1245" s="3">
        <v>1</v>
      </c>
      <c r="W1245" s="4" t="s">
        <v>5071</v>
      </c>
      <c r="X1245" s="4" t="s">
        <v>5071</v>
      </c>
      <c r="Y1245" s="4" t="s">
        <v>5071</v>
      </c>
      <c r="Z1245" s="4" t="s">
        <v>5071</v>
      </c>
      <c r="AA1245" s="3">
        <v>65</v>
      </c>
      <c r="AB1245" s="3">
        <v>41</v>
      </c>
      <c r="AC1245" s="3">
        <v>43</v>
      </c>
      <c r="AD1245" s="3">
        <v>1</v>
      </c>
      <c r="AE1245" s="9">
        <v>1</v>
      </c>
      <c r="AF1245" s="9">
        <v>2</v>
      </c>
      <c r="AG1245" s="9">
        <v>2</v>
      </c>
      <c r="AH1245" s="3">
        <v>0</v>
      </c>
      <c r="AI1245" s="3">
        <v>0</v>
      </c>
      <c r="AJ1245" s="3">
        <v>2</v>
      </c>
      <c r="AK1245" s="3">
        <v>2</v>
      </c>
      <c r="AL1245" s="3">
        <v>1</v>
      </c>
      <c r="AM1245" s="3">
        <v>1</v>
      </c>
      <c r="AN1245" s="3">
        <v>0</v>
      </c>
      <c r="AO1245" s="3">
        <v>0</v>
      </c>
      <c r="AP1245" s="3">
        <v>0</v>
      </c>
      <c r="AQ1245" s="3">
        <v>0</v>
      </c>
      <c r="AR1245" s="2" t="s">
        <v>5</v>
      </c>
      <c r="AS1245" s="2" t="s">
        <v>46</v>
      </c>
      <c r="AT1245" s="5" t="str">
        <f>HYPERLINK("http://catalog.hathitrust.org/Record/101164108","HathiTrust Record")</f>
        <v>HathiTrust Record</v>
      </c>
      <c r="AU1245" s="5" t="str">
        <f>HYPERLINK("https://creighton-primo.hosted.exlibrisgroup.com/primo-explore/search?tab=default_tab&amp;search_scope=EVERYTHING&amp;vid=01CRU&amp;lang=en_US&amp;offset=0&amp;query=any,contains,991004335669702656","Catalog Record")</f>
        <v>Catalog Record</v>
      </c>
      <c r="AV1245" s="5" t="str">
        <f>HYPERLINK("http://www.worldcat.org/oclc/13549047","WorldCat Record")</f>
        <v>WorldCat Record</v>
      </c>
      <c r="AW1245" s="2" t="s">
        <v>15269</v>
      </c>
      <c r="AX1245" s="2" t="s">
        <v>15270</v>
      </c>
      <c r="AY1245" s="2" t="s">
        <v>15271</v>
      </c>
      <c r="AZ1245" s="2" t="s">
        <v>15271</v>
      </c>
      <c r="BA1245" s="2" t="s">
        <v>15272</v>
      </c>
      <c r="BB1245" s="2" t="s">
        <v>20</v>
      </c>
      <c r="BD1245" s="2" t="s">
        <v>15273</v>
      </c>
      <c r="BE1245" s="2" t="s">
        <v>15274</v>
      </c>
      <c r="BF1245" s="2" t="s">
        <v>15275</v>
      </c>
    </row>
    <row r="1246" spans="1:58" ht="39.75" customHeight="1" x14ac:dyDescent="0.25">
      <c r="A1246" s="7" t="s">
        <v>5</v>
      </c>
      <c r="B1246" s="1" t="s">
        <v>0</v>
      </c>
      <c r="C1246" s="1" t="s">
        <v>1</v>
      </c>
      <c r="D1246" s="1" t="s">
        <v>15276</v>
      </c>
      <c r="E1246" s="1" t="s">
        <v>15277</v>
      </c>
      <c r="F1246" s="1" t="s">
        <v>15278</v>
      </c>
      <c r="H1246" s="2" t="s">
        <v>5</v>
      </c>
      <c r="I1246" s="2" t="s">
        <v>6</v>
      </c>
      <c r="J1246" s="2" t="s">
        <v>5</v>
      </c>
      <c r="K1246" s="2" t="s">
        <v>5</v>
      </c>
      <c r="L1246" s="2" t="s">
        <v>7</v>
      </c>
      <c r="M1246" s="1" t="s">
        <v>15279</v>
      </c>
      <c r="N1246" s="1" t="s">
        <v>15280</v>
      </c>
      <c r="O1246" s="2" t="s">
        <v>468</v>
      </c>
      <c r="Q1246" s="2" t="s">
        <v>1151</v>
      </c>
      <c r="R1246" s="2" t="s">
        <v>4146</v>
      </c>
      <c r="T1246" s="2" t="s">
        <v>13</v>
      </c>
      <c r="U1246" s="3">
        <v>1</v>
      </c>
      <c r="V1246" s="3">
        <v>1</v>
      </c>
      <c r="W1246" s="4" t="s">
        <v>8639</v>
      </c>
      <c r="X1246" s="4" t="s">
        <v>8639</v>
      </c>
      <c r="Y1246" s="4" t="s">
        <v>8639</v>
      </c>
      <c r="Z1246" s="4" t="s">
        <v>8639</v>
      </c>
      <c r="AA1246" s="3">
        <v>98</v>
      </c>
      <c r="AB1246" s="3">
        <v>73</v>
      </c>
      <c r="AC1246" s="3">
        <v>75</v>
      </c>
      <c r="AD1246" s="3">
        <v>2</v>
      </c>
      <c r="AE1246" s="9">
        <v>2</v>
      </c>
      <c r="AF1246" s="9">
        <v>5</v>
      </c>
      <c r="AG1246" s="9">
        <v>5</v>
      </c>
      <c r="AH1246" s="3">
        <v>1</v>
      </c>
      <c r="AI1246" s="3">
        <v>1</v>
      </c>
      <c r="AJ1246" s="3">
        <v>1</v>
      </c>
      <c r="AK1246" s="3">
        <v>1</v>
      </c>
      <c r="AL1246" s="3">
        <v>2</v>
      </c>
      <c r="AM1246" s="3">
        <v>2</v>
      </c>
      <c r="AN1246" s="3">
        <v>1</v>
      </c>
      <c r="AO1246" s="3">
        <v>1</v>
      </c>
      <c r="AP1246" s="3">
        <v>0</v>
      </c>
      <c r="AQ1246" s="3">
        <v>0</v>
      </c>
      <c r="AR1246" s="2" t="s">
        <v>5</v>
      </c>
      <c r="AS1246" s="2" t="s">
        <v>46</v>
      </c>
      <c r="AT1246" s="5" t="str">
        <f>HYPERLINK("http://catalog.hathitrust.org/Record/007336412","HathiTrust Record")</f>
        <v>HathiTrust Record</v>
      </c>
      <c r="AU1246" s="5" t="str">
        <f>HYPERLINK("https://creighton-primo.hosted.exlibrisgroup.com/primo-explore/search?tab=default_tab&amp;search_scope=EVERYTHING&amp;vid=01CRU&amp;lang=en_US&amp;offset=0&amp;query=any,contains,991004333579702656","Catalog Record")</f>
        <v>Catalog Record</v>
      </c>
      <c r="AV1246" s="5" t="str">
        <f>HYPERLINK("http://www.worldcat.org/oclc/574827","WorldCat Record")</f>
        <v>WorldCat Record</v>
      </c>
      <c r="AW1246" s="2" t="s">
        <v>15281</v>
      </c>
      <c r="AX1246" s="2" t="s">
        <v>15282</v>
      </c>
      <c r="AY1246" s="2" t="s">
        <v>15283</v>
      </c>
      <c r="AZ1246" s="2" t="s">
        <v>15283</v>
      </c>
      <c r="BA1246" s="2" t="s">
        <v>15284</v>
      </c>
      <c r="BB1246" s="2" t="s">
        <v>20</v>
      </c>
      <c r="BE1246" s="2" t="s">
        <v>15285</v>
      </c>
      <c r="BF1246" s="2" t="s">
        <v>15286</v>
      </c>
    </row>
    <row r="1247" spans="1:58" ht="39.75" customHeight="1" x14ac:dyDescent="0.25">
      <c r="A1247" s="7" t="s">
        <v>5</v>
      </c>
      <c r="B1247" s="1" t="s">
        <v>0</v>
      </c>
      <c r="C1247" s="1" t="s">
        <v>1</v>
      </c>
      <c r="D1247" s="1" t="s">
        <v>15287</v>
      </c>
      <c r="E1247" s="1" t="s">
        <v>15288</v>
      </c>
      <c r="F1247" s="1" t="s">
        <v>15289</v>
      </c>
      <c r="H1247" s="2" t="s">
        <v>5</v>
      </c>
      <c r="I1247" s="2" t="s">
        <v>6</v>
      </c>
      <c r="J1247" s="2" t="s">
        <v>5</v>
      </c>
      <c r="K1247" s="2" t="s">
        <v>5</v>
      </c>
      <c r="L1247" s="2" t="s">
        <v>7</v>
      </c>
      <c r="M1247" s="1" t="s">
        <v>5750</v>
      </c>
      <c r="N1247" s="1" t="s">
        <v>15290</v>
      </c>
      <c r="O1247" s="2" t="s">
        <v>2859</v>
      </c>
      <c r="Q1247" s="2" t="s">
        <v>1151</v>
      </c>
      <c r="R1247" s="2" t="s">
        <v>4146</v>
      </c>
      <c r="S1247" s="1" t="s">
        <v>15291</v>
      </c>
      <c r="T1247" s="2" t="s">
        <v>13</v>
      </c>
      <c r="U1247" s="3">
        <v>1</v>
      </c>
      <c r="V1247" s="3">
        <v>1</v>
      </c>
      <c r="W1247" s="4" t="s">
        <v>8667</v>
      </c>
      <c r="X1247" s="4" t="s">
        <v>8667</v>
      </c>
      <c r="Y1247" s="4" t="s">
        <v>8667</v>
      </c>
      <c r="Z1247" s="4" t="s">
        <v>8667</v>
      </c>
      <c r="AA1247" s="3">
        <v>62</v>
      </c>
      <c r="AB1247" s="3">
        <v>45</v>
      </c>
      <c r="AC1247" s="3">
        <v>46</v>
      </c>
      <c r="AD1247" s="3">
        <v>1</v>
      </c>
      <c r="AE1247" s="9">
        <v>1</v>
      </c>
      <c r="AF1247" s="9">
        <v>2</v>
      </c>
      <c r="AG1247" s="9">
        <v>2</v>
      </c>
      <c r="AH1247" s="3">
        <v>0</v>
      </c>
      <c r="AI1247" s="3">
        <v>0</v>
      </c>
      <c r="AJ1247" s="3">
        <v>2</v>
      </c>
      <c r="AK1247" s="3">
        <v>2</v>
      </c>
      <c r="AL1247" s="3">
        <v>1</v>
      </c>
      <c r="AM1247" s="3">
        <v>1</v>
      </c>
      <c r="AN1247" s="3">
        <v>0</v>
      </c>
      <c r="AO1247" s="3">
        <v>0</v>
      </c>
      <c r="AP1247" s="3">
        <v>0</v>
      </c>
      <c r="AQ1247" s="3">
        <v>0</v>
      </c>
      <c r="AR1247" s="2" t="s">
        <v>5</v>
      </c>
      <c r="AS1247" s="2" t="s">
        <v>46</v>
      </c>
      <c r="AT1247" s="5" t="str">
        <f>HYPERLINK("http://catalog.hathitrust.org/Record/006716988","HathiTrust Record")</f>
        <v>HathiTrust Record</v>
      </c>
      <c r="AU1247" s="5" t="str">
        <f>HYPERLINK("https://creighton-primo.hosted.exlibrisgroup.com/primo-explore/search?tab=default_tab&amp;search_scope=EVERYTHING&amp;vid=01CRU&amp;lang=en_US&amp;offset=0&amp;query=any,contains,991004340459702656","Catalog Record")</f>
        <v>Catalog Record</v>
      </c>
      <c r="AV1247" s="5" t="str">
        <f>HYPERLINK("http://www.worldcat.org/oclc/12616621","WorldCat Record")</f>
        <v>WorldCat Record</v>
      </c>
      <c r="AW1247" s="2" t="s">
        <v>15292</v>
      </c>
      <c r="AX1247" s="2" t="s">
        <v>15293</v>
      </c>
      <c r="AY1247" s="2" t="s">
        <v>15294</v>
      </c>
      <c r="AZ1247" s="2" t="s">
        <v>15294</v>
      </c>
      <c r="BA1247" s="2" t="s">
        <v>15295</v>
      </c>
      <c r="BB1247" s="2" t="s">
        <v>20</v>
      </c>
      <c r="BE1247" s="2" t="s">
        <v>15296</v>
      </c>
      <c r="BF1247" s="2" t="s">
        <v>15297</v>
      </c>
    </row>
    <row r="1248" spans="1:58" ht="39.75" customHeight="1" x14ac:dyDescent="0.25">
      <c r="A1248" s="7" t="s">
        <v>5</v>
      </c>
      <c r="B1248" s="1" t="s">
        <v>0</v>
      </c>
      <c r="C1248" s="1" t="s">
        <v>1</v>
      </c>
      <c r="D1248" s="1" t="s">
        <v>15298</v>
      </c>
      <c r="E1248" s="1" t="s">
        <v>15299</v>
      </c>
      <c r="F1248" s="1" t="s">
        <v>15300</v>
      </c>
      <c r="H1248" s="2" t="s">
        <v>5</v>
      </c>
      <c r="I1248" s="2" t="s">
        <v>6</v>
      </c>
      <c r="J1248" s="2" t="s">
        <v>5</v>
      </c>
      <c r="K1248" s="2" t="s">
        <v>5</v>
      </c>
      <c r="L1248" s="2" t="s">
        <v>7</v>
      </c>
      <c r="M1248" s="1" t="s">
        <v>15301</v>
      </c>
      <c r="N1248" s="1" t="s">
        <v>15302</v>
      </c>
      <c r="O1248" s="2" t="s">
        <v>6611</v>
      </c>
      <c r="Q1248" s="2" t="s">
        <v>1151</v>
      </c>
      <c r="R1248" s="2" t="s">
        <v>4146</v>
      </c>
      <c r="S1248" s="1" t="s">
        <v>15303</v>
      </c>
      <c r="T1248" s="2" t="s">
        <v>13</v>
      </c>
      <c r="U1248" s="3">
        <v>3</v>
      </c>
      <c r="V1248" s="3">
        <v>3</v>
      </c>
      <c r="W1248" s="4" t="s">
        <v>15304</v>
      </c>
      <c r="X1248" s="4" t="s">
        <v>15304</v>
      </c>
      <c r="Y1248" s="4" t="s">
        <v>5071</v>
      </c>
      <c r="Z1248" s="4" t="s">
        <v>5071</v>
      </c>
      <c r="AA1248" s="3">
        <v>53</v>
      </c>
      <c r="AB1248" s="3">
        <v>49</v>
      </c>
      <c r="AC1248" s="3">
        <v>57</v>
      </c>
      <c r="AD1248" s="3">
        <v>1</v>
      </c>
      <c r="AE1248" s="9">
        <v>1</v>
      </c>
      <c r="AF1248" s="9">
        <v>4</v>
      </c>
      <c r="AG1248" s="9">
        <v>4</v>
      </c>
      <c r="AH1248" s="3">
        <v>2</v>
      </c>
      <c r="AI1248" s="3">
        <v>2</v>
      </c>
      <c r="AJ1248" s="3">
        <v>2</v>
      </c>
      <c r="AK1248" s="3">
        <v>2</v>
      </c>
      <c r="AL1248" s="3">
        <v>3</v>
      </c>
      <c r="AM1248" s="3">
        <v>3</v>
      </c>
      <c r="AN1248" s="3">
        <v>0</v>
      </c>
      <c r="AO1248" s="3">
        <v>0</v>
      </c>
      <c r="AP1248" s="3">
        <v>0</v>
      </c>
      <c r="AQ1248" s="3">
        <v>0</v>
      </c>
      <c r="AR1248" s="2" t="s">
        <v>5</v>
      </c>
      <c r="AS1248" s="2" t="s">
        <v>46</v>
      </c>
      <c r="AT1248" s="5" t="str">
        <f>HYPERLINK("http://catalog.hathitrust.org/Record/101164149","HathiTrust Record")</f>
        <v>HathiTrust Record</v>
      </c>
      <c r="AU1248" s="5" t="str">
        <f>HYPERLINK("https://creighton-primo.hosted.exlibrisgroup.com/primo-explore/search?tab=default_tab&amp;search_scope=EVERYTHING&amp;vid=01CRU&amp;lang=en_US&amp;offset=0&amp;query=any,contains,991004335829702656","Catalog Record")</f>
        <v>Catalog Record</v>
      </c>
      <c r="AV1248" s="5" t="str">
        <f>HYPERLINK("http://www.worldcat.org/oclc/36582215","WorldCat Record")</f>
        <v>WorldCat Record</v>
      </c>
      <c r="AW1248" s="2" t="s">
        <v>15305</v>
      </c>
      <c r="AX1248" s="2" t="s">
        <v>15306</v>
      </c>
      <c r="AY1248" s="2" t="s">
        <v>15307</v>
      </c>
      <c r="AZ1248" s="2" t="s">
        <v>15307</v>
      </c>
      <c r="BA1248" s="2" t="s">
        <v>15308</v>
      </c>
      <c r="BB1248" s="2" t="s">
        <v>20</v>
      </c>
      <c r="BD1248" s="2" t="s">
        <v>15309</v>
      </c>
      <c r="BE1248" s="2" t="s">
        <v>15310</v>
      </c>
      <c r="BF1248" s="2" t="s">
        <v>15311</v>
      </c>
    </row>
    <row r="1249" spans="1:58" ht="39.75" customHeight="1" x14ac:dyDescent="0.25">
      <c r="A1249" s="7" t="s">
        <v>5</v>
      </c>
      <c r="B1249" s="1" t="s">
        <v>0</v>
      </c>
      <c r="C1249" s="1" t="s">
        <v>1</v>
      </c>
      <c r="D1249" s="1" t="s">
        <v>15312</v>
      </c>
      <c r="E1249" s="1" t="s">
        <v>15313</v>
      </c>
      <c r="F1249" s="1" t="s">
        <v>15314</v>
      </c>
      <c r="H1249" s="2" t="s">
        <v>5</v>
      </c>
      <c r="I1249" s="2" t="s">
        <v>6</v>
      </c>
      <c r="J1249" s="2" t="s">
        <v>5</v>
      </c>
      <c r="K1249" s="2" t="s">
        <v>5</v>
      </c>
      <c r="L1249" s="2" t="s">
        <v>7</v>
      </c>
      <c r="M1249" s="1" t="s">
        <v>15301</v>
      </c>
      <c r="N1249" s="1" t="s">
        <v>15315</v>
      </c>
      <c r="O1249" s="2" t="s">
        <v>392</v>
      </c>
      <c r="Q1249" s="2" t="s">
        <v>1151</v>
      </c>
      <c r="R1249" s="2" t="s">
        <v>1152</v>
      </c>
      <c r="T1249" s="2" t="s">
        <v>13</v>
      </c>
      <c r="U1249" s="3">
        <v>1</v>
      </c>
      <c r="V1249" s="3">
        <v>1</v>
      </c>
      <c r="W1249" s="4" t="s">
        <v>15316</v>
      </c>
      <c r="X1249" s="4" t="s">
        <v>15316</v>
      </c>
      <c r="Y1249" s="4" t="s">
        <v>15317</v>
      </c>
      <c r="Z1249" s="4" t="s">
        <v>15317</v>
      </c>
      <c r="AA1249" s="3">
        <v>1</v>
      </c>
      <c r="AB1249" s="3">
        <v>1</v>
      </c>
      <c r="AC1249" s="3">
        <v>173</v>
      </c>
      <c r="AD1249" s="3">
        <v>1</v>
      </c>
      <c r="AE1249" s="9">
        <v>2</v>
      </c>
      <c r="AF1249" s="9">
        <v>0</v>
      </c>
      <c r="AG1249" s="9">
        <v>5</v>
      </c>
      <c r="AH1249" s="3">
        <v>0</v>
      </c>
      <c r="AI1249" s="3">
        <v>0</v>
      </c>
      <c r="AJ1249" s="3">
        <v>0</v>
      </c>
      <c r="AK1249" s="3">
        <v>3</v>
      </c>
      <c r="AL1249" s="3">
        <v>0</v>
      </c>
      <c r="AM1249" s="3">
        <v>2</v>
      </c>
      <c r="AN1249" s="3">
        <v>0</v>
      </c>
      <c r="AO1249" s="3">
        <v>1</v>
      </c>
      <c r="AP1249" s="3">
        <v>0</v>
      </c>
      <c r="AQ1249" s="3">
        <v>0</v>
      </c>
      <c r="AR1249" s="2" t="s">
        <v>5</v>
      </c>
      <c r="AS1249" s="2" t="s">
        <v>5</v>
      </c>
      <c r="AU1249" s="5" t="str">
        <f>HYPERLINK("https://creighton-primo.hosted.exlibrisgroup.com/primo-explore/search?tab=default_tab&amp;search_scope=EVERYTHING&amp;vid=01CRU&amp;lang=en_US&amp;offset=0&amp;query=any,contains,991003953679702656","Catalog Record")</f>
        <v>Catalog Record</v>
      </c>
      <c r="AV1249" s="5" t="str">
        <f>HYPERLINK("http://www.worldcat.org/oclc/51063449","WorldCat Record")</f>
        <v>WorldCat Record</v>
      </c>
      <c r="AW1249" s="2" t="s">
        <v>15318</v>
      </c>
      <c r="AX1249" s="2" t="s">
        <v>15319</v>
      </c>
      <c r="AY1249" s="2" t="s">
        <v>15320</v>
      </c>
      <c r="AZ1249" s="2" t="s">
        <v>15320</v>
      </c>
      <c r="BA1249" s="2" t="s">
        <v>15321</v>
      </c>
      <c r="BB1249" s="2" t="s">
        <v>20</v>
      </c>
      <c r="BD1249" s="2" t="s">
        <v>15322</v>
      </c>
      <c r="BE1249" s="2" t="s">
        <v>15323</v>
      </c>
      <c r="BF1249" s="2" t="s">
        <v>15324</v>
      </c>
    </row>
    <row r="1250" spans="1:58" ht="39.75" customHeight="1" x14ac:dyDescent="0.25">
      <c r="A1250" s="7" t="s">
        <v>5</v>
      </c>
      <c r="B1250" s="1" t="s">
        <v>0</v>
      </c>
      <c r="C1250" s="1" t="s">
        <v>1</v>
      </c>
      <c r="D1250" s="1" t="s">
        <v>15325</v>
      </c>
      <c r="E1250" s="1" t="s">
        <v>15326</v>
      </c>
      <c r="F1250" s="1" t="s">
        <v>15327</v>
      </c>
      <c r="H1250" s="2" t="s">
        <v>5</v>
      </c>
      <c r="I1250" s="2" t="s">
        <v>6</v>
      </c>
      <c r="J1250" s="2" t="s">
        <v>5</v>
      </c>
      <c r="K1250" s="2" t="s">
        <v>46</v>
      </c>
      <c r="L1250" s="2" t="s">
        <v>7</v>
      </c>
      <c r="M1250" s="1" t="s">
        <v>15301</v>
      </c>
      <c r="N1250" s="1" t="s">
        <v>15328</v>
      </c>
      <c r="O1250" s="2" t="s">
        <v>886</v>
      </c>
      <c r="P1250" s="1" t="s">
        <v>5291</v>
      </c>
      <c r="Q1250" s="2" t="s">
        <v>1151</v>
      </c>
      <c r="R1250" s="2" t="s">
        <v>1152</v>
      </c>
      <c r="S1250" s="1" t="s">
        <v>15329</v>
      </c>
      <c r="T1250" s="2" t="s">
        <v>13</v>
      </c>
      <c r="U1250" s="3">
        <v>1</v>
      </c>
      <c r="V1250" s="3">
        <v>1</v>
      </c>
      <c r="W1250" s="4" t="s">
        <v>5642</v>
      </c>
      <c r="X1250" s="4" t="s">
        <v>5642</v>
      </c>
      <c r="Y1250" s="4" t="s">
        <v>5642</v>
      </c>
      <c r="Z1250" s="4" t="s">
        <v>5642</v>
      </c>
      <c r="AA1250" s="3">
        <v>128</v>
      </c>
      <c r="AB1250" s="3">
        <v>106</v>
      </c>
      <c r="AC1250" s="3">
        <v>206</v>
      </c>
      <c r="AD1250" s="3">
        <v>2</v>
      </c>
      <c r="AE1250" s="9">
        <v>2</v>
      </c>
      <c r="AF1250" s="9">
        <v>2</v>
      </c>
      <c r="AG1250" s="9">
        <v>5</v>
      </c>
      <c r="AH1250" s="3">
        <v>0</v>
      </c>
      <c r="AI1250" s="3">
        <v>3</v>
      </c>
      <c r="AJ1250" s="3">
        <v>1</v>
      </c>
      <c r="AK1250" s="3">
        <v>2</v>
      </c>
      <c r="AL1250" s="3">
        <v>1</v>
      </c>
      <c r="AM1250" s="3">
        <v>3</v>
      </c>
      <c r="AN1250" s="3">
        <v>1</v>
      </c>
      <c r="AO1250" s="3">
        <v>1</v>
      </c>
      <c r="AP1250" s="3">
        <v>0</v>
      </c>
      <c r="AQ1250" s="3">
        <v>0</v>
      </c>
      <c r="AR1250" s="2" t="s">
        <v>5</v>
      </c>
      <c r="AS1250" s="2" t="s">
        <v>46</v>
      </c>
      <c r="AT1250" s="5" t="str">
        <f>HYPERLINK("http://catalog.hathitrust.org/Record/001051497","HathiTrust Record")</f>
        <v>HathiTrust Record</v>
      </c>
      <c r="AU1250" s="5" t="str">
        <f>HYPERLINK("https://creighton-primo.hosted.exlibrisgroup.com/primo-explore/search?tab=default_tab&amp;search_scope=EVERYTHING&amp;vid=01CRU&amp;lang=en_US&amp;offset=0&amp;query=any,contains,991003740219702656","Catalog Record")</f>
        <v>Catalog Record</v>
      </c>
      <c r="AV1250" s="5" t="str">
        <f>HYPERLINK("http://www.worldcat.org/oclc/1168787","WorldCat Record")</f>
        <v>WorldCat Record</v>
      </c>
      <c r="AW1250" s="2" t="s">
        <v>15330</v>
      </c>
      <c r="AX1250" s="2" t="s">
        <v>15331</v>
      </c>
      <c r="AY1250" s="2" t="s">
        <v>15332</v>
      </c>
      <c r="AZ1250" s="2" t="s">
        <v>15332</v>
      </c>
      <c r="BA1250" s="2" t="s">
        <v>15333</v>
      </c>
      <c r="BB1250" s="2" t="s">
        <v>20</v>
      </c>
      <c r="BD1250" s="2" t="s">
        <v>15334</v>
      </c>
      <c r="BE1250" s="2" t="s">
        <v>15335</v>
      </c>
      <c r="BF1250" s="2" t="s">
        <v>15336</v>
      </c>
    </row>
    <row r="1251" spans="1:58" ht="39.75" customHeight="1" x14ac:dyDescent="0.25">
      <c r="A1251" s="7" t="s">
        <v>5</v>
      </c>
      <c r="B1251" s="1" t="s">
        <v>0</v>
      </c>
      <c r="C1251" s="1" t="s">
        <v>1</v>
      </c>
      <c r="D1251" s="1" t="s">
        <v>15337</v>
      </c>
      <c r="E1251" s="1" t="s">
        <v>15338</v>
      </c>
      <c r="F1251" s="1" t="s">
        <v>15339</v>
      </c>
      <c r="H1251" s="2" t="s">
        <v>5</v>
      </c>
      <c r="I1251" s="2" t="s">
        <v>6</v>
      </c>
      <c r="J1251" s="2" t="s">
        <v>5</v>
      </c>
      <c r="K1251" s="2" t="s">
        <v>5</v>
      </c>
      <c r="L1251" s="2" t="s">
        <v>7</v>
      </c>
      <c r="M1251" s="1" t="s">
        <v>15301</v>
      </c>
      <c r="N1251" s="1" t="s">
        <v>14401</v>
      </c>
      <c r="O1251" s="2" t="s">
        <v>291</v>
      </c>
      <c r="Q1251" s="2" t="s">
        <v>1151</v>
      </c>
      <c r="R1251" s="2" t="s">
        <v>4146</v>
      </c>
      <c r="S1251" s="1" t="s">
        <v>15340</v>
      </c>
      <c r="T1251" s="2" t="s">
        <v>13</v>
      </c>
      <c r="U1251" s="3">
        <v>1</v>
      </c>
      <c r="V1251" s="3">
        <v>1</v>
      </c>
      <c r="W1251" s="4" t="s">
        <v>5642</v>
      </c>
      <c r="X1251" s="4" t="s">
        <v>5642</v>
      </c>
      <c r="Y1251" s="4" t="s">
        <v>5642</v>
      </c>
      <c r="Z1251" s="4" t="s">
        <v>5642</v>
      </c>
      <c r="AA1251" s="3">
        <v>51</v>
      </c>
      <c r="AB1251" s="3">
        <v>34</v>
      </c>
      <c r="AC1251" s="3">
        <v>50</v>
      </c>
      <c r="AD1251" s="3">
        <v>1</v>
      </c>
      <c r="AE1251" s="9">
        <v>1</v>
      </c>
      <c r="AF1251" s="9">
        <v>1</v>
      </c>
      <c r="AG1251" s="9">
        <v>3</v>
      </c>
      <c r="AH1251" s="3">
        <v>0</v>
      </c>
      <c r="AI1251" s="3">
        <v>0</v>
      </c>
      <c r="AJ1251" s="3">
        <v>1</v>
      </c>
      <c r="AK1251" s="3">
        <v>2</v>
      </c>
      <c r="AL1251" s="3">
        <v>0</v>
      </c>
      <c r="AM1251" s="3">
        <v>2</v>
      </c>
      <c r="AN1251" s="3">
        <v>0</v>
      </c>
      <c r="AO1251" s="3">
        <v>0</v>
      </c>
      <c r="AP1251" s="3">
        <v>0</v>
      </c>
      <c r="AQ1251" s="3">
        <v>0</v>
      </c>
      <c r="AR1251" s="2" t="s">
        <v>5</v>
      </c>
      <c r="AS1251" s="2" t="s">
        <v>46</v>
      </c>
      <c r="AT1251" s="5" t="str">
        <f>HYPERLINK("http://catalog.hathitrust.org/Record/007490296","HathiTrust Record")</f>
        <v>HathiTrust Record</v>
      </c>
      <c r="AU1251" s="5" t="str">
        <f>HYPERLINK("https://creighton-primo.hosted.exlibrisgroup.com/primo-explore/search?tab=default_tab&amp;search_scope=EVERYTHING&amp;vid=01CRU&amp;lang=en_US&amp;offset=0&amp;query=any,contains,991003739589702656","Catalog Record")</f>
        <v>Catalog Record</v>
      </c>
      <c r="AV1251" s="5" t="str">
        <f>HYPERLINK("http://www.worldcat.org/oclc/5616049","WorldCat Record")</f>
        <v>WorldCat Record</v>
      </c>
      <c r="AW1251" s="2" t="s">
        <v>15341</v>
      </c>
      <c r="AX1251" s="2" t="s">
        <v>15342</v>
      </c>
      <c r="AY1251" s="2" t="s">
        <v>15343</v>
      </c>
      <c r="AZ1251" s="2" t="s">
        <v>15343</v>
      </c>
      <c r="BA1251" s="2" t="s">
        <v>15344</v>
      </c>
      <c r="BB1251" s="2" t="s">
        <v>20</v>
      </c>
      <c r="BD1251" s="2" t="s">
        <v>15345</v>
      </c>
      <c r="BE1251" s="2" t="s">
        <v>15346</v>
      </c>
      <c r="BF1251" s="2" t="s">
        <v>15347</v>
      </c>
    </row>
    <row r="1252" spans="1:58" ht="39.75" customHeight="1" x14ac:dyDescent="0.25">
      <c r="A1252" s="7" t="s">
        <v>5</v>
      </c>
      <c r="B1252" s="1" t="s">
        <v>0</v>
      </c>
      <c r="C1252" s="1" t="s">
        <v>1</v>
      </c>
      <c r="D1252" s="1" t="s">
        <v>15348</v>
      </c>
      <c r="E1252" s="1" t="s">
        <v>15349</v>
      </c>
      <c r="F1252" s="1" t="s">
        <v>15350</v>
      </c>
      <c r="H1252" s="2" t="s">
        <v>5</v>
      </c>
      <c r="I1252" s="2" t="s">
        <v>6</v>
      </c>
      <c r="J1252" s="2" t="s">
        <v>5</v>
      </c>
      <c r="K1252" s="2" t="s">
        <v>5</v>
      </c>
      <c r="L1252" s="2" t="s">
        <v>7</v>
      </c>
      <c r="M1252" s="1" t="s">
        <v>15351</v>
      </c>
      <c r="N1252" s="1" t="s">
        <v>15352</v>
      </c>
      <c r="O1252" s="2" t="s">
        <v>162</v>
      </c>
      <c r="Q1252" s="2" t="s">
        <v>1151</v>
      </c>
      <c r="R1252" s="2" t="s">
        <v>4146</v>
      </c>
      <c r="S1252" s="1" t="s">
        <v>15353</v>
      </c>
      <c r="T1252" s="2" t="s">
        <v>13</v>
      </c>
      <c r="U1252" s="3">
        <v>1</v>
      </c>
      <c r="V1252" s="3">
        <v>1</v>
      </c>
      <c r="W1252" s="4" t="s">
        <v>11744</v>
      </c>
      <c r="X1252" s="4" t="s">
        <v>11744</v>
      </c>
      <c r="Y1252" s="4" t="s">
        <v>11744</v>
      </c>
      <c r="Z1252" s="4" t="s">
        <v>11744</v>
      </c>
      <c r="AA1252" s="3">
        <v>18</v>
      </c>
      <c r="AB1252" s="3">
        <v>15</v>
      </c>
      <c r="AC1252" s="3">
        <v>16</v>
      </c>
      <c r="AD1252" s="3">
        <v>2</v>
      </c>
      <c r="AE1252" s="9">
        <v>2</v>
      </c>
      <c r="AF1252" s="9">
        <v>1</v>
      </c>
      <c r="AG1252" s="9">
        <v>1</v>
      </c>
      <c r="AH1252" s="3">
        <v>0</v>
      </c>
      <c r="AI1252" s="3">
        <v>0</v>
      </c>
      <c r="AJ1252" s="3">
        <v>0</v>
      </c>
      <c r="AK1252" s="3">
        <v>0</v>
      </c>
      <c r="AL1252" s="3">
        <v>0</v>
      </c>
      <c r="AM1252" s="3">
        <v>0</v>
      </c>
      <c r="AN1252" s="3">
        <v>1</v>
      </c>
      <c r="AO1252" s="3">
        <v>1</v>
      </c>
      <c r="AP1252" s="3">
        <v>0</v>
      </c>
      <c r="AQ1252" s="3">
        <v>0</v>
      </c>
      <c r="AR1252" s="2" t="s">
        <v>5</v>
      </c>
      <c r="AS1252" s="2" t="s">
        <v>5</v>
      </c>
      <c r="AU1252" s="5" t="str">
        <f>HYPERLINK("https://creighton-primo.hosted.exlibrisgroup.com/primo-explore/search?tab=default_tab&amp;search_scope=EVERYTHING&amp;vid=01CRU&amp;lang=en_US&amp;offset=0&amp;query=any,contains,991003818469702656","Catalog Record")</f>
        <v>Catalog Record</v>
      </c>
      <c r="AV1252" s="5" t="str">
        <f>HYPERLINK("http://www.worldcat.org/oclc/1191990","WorldCat Record")</f>
        <v>WorldCat Record</v>
      </c>
      <c r="AW1252" s="2" t="s">
        <v>15354</v>
      </c>
      <c r="AX1252" s="2" t="s">
        <v>15355</v>
      </c>
      <c r="AY1252" s="2" t="s">
        <v>15356</v>
      </c>
      <c r="AZ1252" s="2" t="s">
        <v>15356</v>
      </c>
      <c r="BA1252" s="2" t="s">
        <v>15357</v>
      </c>
      <c r="BB1252" s="2" t="s">
        <v>20</v>
      </c>
      <c r="BE1252" s="2" t="s">
        <v>15358</v>
      </c>
      <c r="BF1252" s="2" t="s">
        <v>15359</v>
      </c>
    </row>
    <row r="1253" spans="1:58" ht="39.75" customHeight="1" x14ac:dyDescent="0.25">
      <c r="A1253" s="7" t="s">
        <v>5</v>
      </c>
      <c r="B1253" s="1" t="s">
        <v>0</v>
      </c>
      <c r="C1253" s="1" t="s">
        <v>1</v>
      </c>
      <c r="D1253" s="1" t="s">
        <v>15360</v>
      </c>
      <c r="E1253" s="1" t="s">
        <v>15361</v>
      </c>
      <c r="F1253" s="1" t="s">
        <v>15362</v>
      </c>
      <c r="H1253" s="2" t="s">
        <v>5</v>
      </c>
      <c r="I1253" s="2" t="s">
        <v>6</v>
      </c>
      <c r="J1253" s="2" t="s">
        <v>5</v>
      </c>
      <c r="K1253" s="2" t="s">
        <v>5</v>
      </c>
      <c r="L1253" s="2" t="s">
        <v>7</v>
      </c>
      <c r="M1253" s="1" t="s">
        <v>15351</v>
      </c>
      <c r="N1253" s="1" t="s">
        <v>15363</v>
      </c>
      <c r="O1253" s="2" t="s">
        <v>554</v>
      </c>
      <c r="Q1253" s="2" t="s">
        <v>1151</v>
      </c>
      <c r="R1253" s="2" t="s">
        <v>4146</v>
      </c>
      <c r="S1253" s="1" t="s">
        <v>15364</v>
      </c>
      <c r="T1253" s="2" t="s">
        <v>13</v>
      </c>
      <c r="U1253" s="3">
        <v>1</v>
      </c>
      <c r="V1253" s="3">
        <v>1</v>
      </c>
      <c r="W1253" s="4" t="s">
        <v>3997</v>
      </c>
      <c r="X1253" s="4" t="s">
        <v>3997</v>
      </c>
      <c r="Y1253" s="4" t="s">
        <v>10520</v>
      </c>
      <c r="Z1253" s="4" t="s">
        <v>10520</v>
      </c>
      <c r="AA1253" s="3">
        <v>12</v>
      </c>
      <c r="AB1253" s="3">
        <v>9</v>
      </c>
      <c r="AC1253" s="3">
        <v>37</v>
      </c>
      <c r="AD1253" s="3">
        <v>1</v>
      </c>
      <c r="AE1253" s="9">
        <v>1</v>
      </c>
      <c r="AF1253" s="9">
        <v>0</v>
      </c>
      <c r="AG1253" s="9">
        <v>2</v>
      </c>
      <c r="AH1253" s="3">
        <v>0</v>
      </c>
      <c r="AI1253" s="3">
        <v>1</v>
      </c>
      <c r="AJ1253" s="3">
        <v>0</v>
      </c>
      <c r="AK1253" s="3">
        <v>0</v>
      </c>
      <c r="AL1253" s="3">
        <v>0</v>
      </c>
      <c r="AM1253" s="3">
        <v>1</v>
      </c>
      <c r="AN1253" s="3">
        <v>0</v>
      </c>
      <c r="AO1253" s="3">
        <v>0</v>
      </c>
      <c r="AP1253" s="3">
        <v>0</v>
      </c>
      <c r="AQ1253" s="3">
        <v>0</v>
      </c>
      <c r="AR1253" s="2" t="s">
        <v>5</v>
      </c>
      <c r="AS1253" s="2" t="s">
        <v>46</v>
      </c>
      <c r="AT1253" s="5" t="str">
        <f>HYPERLINK("http://catalog.hathitrust.org/Record/101164191","HathiTrust Record")</f>
        <v>HathiTrust Record</v>
      </c>
      <c r="AU1253" s="5" t="str">
        <f>HYPERLINK("https://creighton-primo.hosted.exlibrisgroup.com/primo-explore/search?tab=default_tab&amp;search_scope=EVERYTHING&amp;vid=01CRU&amp;lang=en_US&amp;offset=0&amp;query=any,contains,991003813729702656","Catalog Record")</f>
        <v>Catalog Record</v>
      </c>
      <c r="AV1253" s="5" t="str">
        <f>HYPERLINK("http://www.worldcat.org/oclc/14173906","WorldCat Record")</f>
        <v>WorldCat Record</v>
      </c>
      <c r="AW1253" s="2" t="s">
        <v>15365</v>
      </c>
      <c r="AX1253" s="2" t="s">
        <v>15366</v>
      </c>
      <c r="AY1253" s="2" t="s">
        <v>15367</v>
      </c>
      <c r="AZ1253" s="2" t="s">
        <v>15367</v>
      </c>
      <c r="BA1253" s="2" t="s">
        <v>15368</v>
      </c>
      <c r="BB1253" s="2" t="s">
        <v>20</v>
      </c>
      <c r="BE1253" s="2" t="s">
        <v>15369</v>
      </c>
      <c r="BF1253" s="2" t="s">
        <v>15370</v>
      </c>
    </row>
    <row r="1254" spans="1:58" ht="39.75" customHeight="1" x14ac:dyDescent="0.25">
      <c r="A1254" s="7" t="s">
        <v>5</v>
      </c>
      <c r="B1254" s="1" t="s">
        <v>0</v>
      </c>
      <c r="C1254" s="1" t="s">
        <v>1</v>
      </c>
      <c r="D1254" s="1" t="s">
        <v>15371</v>
      </c>
      <c r="E1254" s="1" t="s">
        <v>15372</v>
      </c>
      <c r="F1254" s="1" t="s">
        <v>15373</v>
      </c>
      <c r="H1254" s="2" t="s">
        <v>5</v>
      </c>
      <c r="I1254" s="2" t="s">
        <v>6</v>
      </c>
      <c r="J1254" s="2" t="s">
        <v>5</v>
      </c>
      <c r="K1254" s="2" t="s">
        <v>5</v>
      </c>
      <c r="L1254" s="2" t="s">
        <v>7</v>
      </c>
      <c r="M1254" s="1" t="s">
        <v>15351</v>
      </c>
      <c r="N1254" s="1" t="s">
        <v>15374</v>
      </c>
      <c r="O1254" s="2" t="s">
        <v>108</v>
      </c>
      <c r="Q1254" s="2" t="s">
        <v>1151</v>
      </c>
      <c r="R1254" s="2" t="s">
        <v>234</v>
      </c>
      <c r="T1254" s="2" t="s">
        <v>13</v>
      </c>
      <c r="U1254" s="3">
        <v>1</v>
      </c>
      <c r="V1254" s="3">
        <v>1</v>
      </c>
      <c r="W1254" s="4" t="s">
        <v>3997</v>
      </c>
      <c r="X1254" s="4" t="s">
        <v>3997</v>
      </c>
      <c r="Y1254" s="4" t="s">
        <v>10520</v>
      </c>
      <c r="Z1254" s="4" t="s">
        <v>10520</v>
      </c>
      <c r="AA1254" s="3">
        <v>6</v>
      </c>
      <c r="AB1254" s="3">
        <v>5</v>
      </c>
      <c r="AC1254" s="3">
        <v>35</v>
      </c>
      <c r="AD1254" s="3">
        <v>1</v>
      </c>
      <c r="AE1254" s="9">
        <v>1</v>
      </c>
      <c r="AF1254" s="9">
        <v>0</v>
      </c>
      <c r="AG1254" s="9">
        <v>2</v>
      </c>
      <c r="AH1254" s="3">
        <v>0</v>
      </c>
      <c r="AI1254" s="3">
        <v>1</v>
      </c>
      <c r="AJ1254" s="3">
        <v>0</v>
      </c>
      <c r="AK1254" s="3">
        <v>0</v>
      </c>
      <c r="AL1254" s="3">
        <v>0</v>
      </c>
      <c r="AM1254" s="3">
        <v>1</v>
      </c>
      <c r="AN1254" s="3">
        <v>0</v>
      </c>
      <c r="AO1254" s="3">
        <v>0</v>
      </c>
      <c r="AP1254" s="3">
        <v>0</v>
      </c>
      <c r="AQ1254" s="3">
        <v>0</v>
      </c>
      <c r="AR1254" s="2" t="s">
        <v>5</v>
      </c>
      <c r="AS1254" s="2" t="s">
        <v>5</v>
      </c>
      <c r="AU1254" s="5" t="str">
        <f>HYPERLINK("https://creighton-primo.hosted.exlibrisgroup.com/primo-explore/search?tab=default_tab&amp;search_scope=EVERYTHING&amp;vid=01CRU&amp;lang=en_US&amp;offset=0&amp;query=any,contains,991003813969702656","Catalog Record")</f>
        <v>Catalog Record</v>
      </c>
      <c r="AV1254" s="5" t="str">
        <f>HYPERLINK("http://www.worldcat.org/oclc/2836112","WorldCat Record")</f>
        <v>WorldCat Record</v>
      </c>
      <c r="AW1254" s="2" t="s">
        <v>15375</v>
      </c>
      <c r="AX1254" s="2" t="s">
        <v>15376</v>
      </c>
      <c r="AY1254" s="2" t="s">
        <v>15377</v>
      </c>
      <c r="AZ1254" s="2" t="s">
        <v>15377</v>
      </c>
      <c r="BA1254" s="2" t="s">
        <v>15378</v>
      </c>
      <c r="BB1254" s="2" t="s">
        <v>20</v>
      </c>
      <c r="BE1254" s="2" t="s">
        <v>15379</v>
      </c>
      <c r="BF1254" s="2" t="s">
        <v>15380</v>
      </c>
    </row>
    <row r="1255" spans="1:58" ht="39.75" customHeight="1" x14ac:dyDescent="0.25">
      <c r="A1255" s="7" t="s">
        <v>5</v>
      </c>
      <c r="B1255" s="1" t="s">
        <v>0</v>
      </c>
      <c r="C1255" s="1" t="s">
        <v>1</v>
      </c>
      <c r="D1255" s="1" t="s">
        <v>15381</v>
      </c>
      <c r="E1255" s="1" t="s">
        <v>15382</v>
      </c>
      <c r="F1255" s="1" t="s">
        <v>15383</v>
      </c>
      <c r="H1255" s="2" t="s">
        <v>5</v>
      </c>
      <c r="I1255" s="2" t="s">
        <v>6</v>
      </c>
      <c r="J1255" s="2" t="s">
        <v>5</v>
      </c>
      <c r="K1255" s="2" t="s">
        <v>5</v>
      </c>
      <c r="L1255" s="2" t="s">
        <v>7</v>
      </c>
      <c r="M1255" s="1" t="s">
        <v>15384</v>
      </c>
      <c r="N1255" s="1" t="s">
        <v>15385</v>
      </c>
      <c r="O1255" s="2" t="s">
        <v>76</v>
      </c>
      <c r="Q1255" s="2" t="s">
        <v>1151</v>
      </c>
      <c r="R1255" s="2" t="s">
        <v>4146</v>
      </c>
      <c r="S1255" s="1" t="s">
        <v>15386</v>
      </c>
      <c r="T1255" s="2" t="s">
        <v>13</v>
      </c>
      <c r="U1255" s="3">
        <v>1</v>
      </c>
      <c r="V1255" s="3">
        <v>1</v>
      </c>
      <c r="W1255" s="4" t="s">
        <v>1154</v>
      </c>
      <c r="X1255" s="4" t="s">
        <v>1154</v>
      </c>
      <c r="Y1255" s="4" t="s">
        <v>1154</v>
      </c>
      <c r="Z1255" s="4" t="s">
        <v>1154</v>
      </c>
      <c r="AA1255" s="3">
        <v>28</v>
      </c>
      <c r="AB1255" s="3">
        <v>23</v>
      </c>
      <c r="AC1255" s="3">
        <v>25</v>
      </c>
      <c r="AD1255" s="3">
        <v>2</v>
      </c>
      <c r="AE1255" s="9">
        <v>2</v>
      </c>
      <c r="AF1255" s="9">
        <v>1</v>
      </c>
      <c r="AG1255" s="9">
        <v>1</v>
      </c>
      <c r="AH1255" s="3">
        <v>0</v>
      </c>
      <c r="AI1255" s="3">
        <v>0</v>
      </c>
      <c r="AJ1255" s="3">
        <v>0</v>
      </c>
      <c r="AK1255" s="3">
        <v>0</v>
      </c>
      <c r="AL1255" s="3">
        <v>0</v>
      </c>
      <c r="AM1255" s="3">
        <v>0</v>
      </c>
      <c r="AN1255" s="3">
        <v>1</v>
      </c>
      <c r="AO1255" s="3">
        <v>1</v>
      </c>
      <c r="AP1255" s="3">
        <v>0</v>
      </c>
      <c r="AQ1255" s="3">
        <v>0</v>
      </c>
      <c r="AR1255" s="2" t="s">
        <v>5</v>
      </c>
      <c r="AS1255" s="2" t="s">
        <v>46</v>
      </c>
      <c r="AT1255" s="5" t="str">
        <f>HYPERLINK("http://catalog.hathitrust.org/Record/008551883","HathiTrust Record")</f>
        <v>HathiTrust Record</v>
      </c>
      <c r="AU1255" s="5" t="str">
        <f>HYPERLINK("https://creighton-primo.hosted.exlibrisgroup.com/primo-explore/search?tab=default_tab&amp;search_scope=EVERYTHING&amp;vid=01CRU&amp;lang=en_US&amp;offset=0&amp;query=any,contains,991003846909702656","Catalog Record")</f>
        <v>Catalog Record</v>
      </c>
      <c r="AV1255" s="5" t="str">
        <f>HYPERLINK("http://www.worldcat.org/oclc/2757058","WorldCat Record")</f>
        <v>WorldCat Record</v>
      </c>
      <c r="AW1255" s="2" t="s">
        <v>15387</v>
      </c>
      <c r="AX1255" s="2" t="s">
        <v>15388</v>
      </c>
      <c r="AY1255" s="2" t="s">
        <v>15389</v>
      </c>
      <c r="AZ1255" s="2" t="s">
        <v>15389</v>
      </c>
      <c r="BA1255" s="2" t="s">
        <v>15390</v>
      </c>
      <c r="BB1255" s="2" t="s">
        <v>20</v>
      </c>
      <c r="BE1255" s="2" t="s">
        <v>15391</v>
      </c>
      <c r="BF1255" s="2" t="s">
        <v>15392</v>
      </c>
    </row>
    <row r="1256" spans="1:58" ht="39.75" customHeight="1" x14ac:dyDescent="0.25">
      <c r="A1256" s="7" t="s">
        <v>5</v>
      </c>
      <c r="B1256" s="1" t="s">
        <v>0</v>
      </c>
      <c r="C1256" s="1" t="s">
        <v>1</v>
      </c>
      <c r="D1256" s="1" t="s">
        <v>15393</v>
      </c>
      <c r="E1256" s="1" t="s">
        <v>15394</v>
      </c>
      <c r="F1256" s="1" t="s">
        <v>15395</v>
      </c>
      <c r="H1256" s="2" t="s">
        <v>5</v>
      </c>
      <c r="I1256" s="2" t="s">
        <v>6</v>
      </c>
      <c r="J1256" s="2" t="s">
        <v>5</v>
      </c>
      <c r="K1256" s="2" t="s">
        <v>5</v>
      </c>
      <c r="L1256" s="2" t="s">
        <v>7</v>
      </c>
      <c r="M1256" s="1" t="s">
        <v>15396</v>
      </c>
      <c r="N1256" s="1" t="s">
        <v>9772</v>
      </c>
      <c r="O1256" s="2" t="s">
        <v>322</v>
      </c>
      <c r="P1256" s="1" t="s">
        <v>5359</v>
      </c>
      <c r="Q1256" s="2" t="s">
        <v>1151</v>
      </c>
      <c r="R1256" s="2" t="s">
        <v>4146</v>
      </c>
      <c r="S1256" s="1" t="s">
        <v>15397</v>
      </c>
      <c r="T1256" s="2" t="s">
        <v>13</v>
      </c>
      <c r="U1256" s="3">
        <v>1</v>
      </c>
      <c r="V1256" s="3">
        <v>1</v>
      </c>
      <c r="W1256" s="4" t="s">
        <v>15398</v>
      </c>
      <c r="X1256" s="4" t="s">
        <v>15398</v>
      </c>
      <c r="Y1256" s="4" t="s">
        <v>15398</v>
      </c>
      <c r="Z1256" s="4" t="s">
        <v>15398</v>
      </c>
      <c r="AA1256" s="3">
        <v>75</v>
      </c>
      <c r="AB1256" s="3">
        <v>55</v>
      </c>
      <c r="AC1256" s="3">
        <v>57</v>
      </c>
      <c r="AD1256" s="3">
        <v>1</v>
      </c>
      <c r="AE1256" s="9">
        <v>1</v>
      </c>
      <c r="AF1256" s="9">
        <v>3</v>
      </c>
      <c r="AG1256" s="9">
        <v>3</v>
      </c>
      <c r="AH1256" s="3">
        <v>1</v>
      </c>
      <c r="AI1256" s="3">
        <v>1</v>
      </c>
      <c r="AJ1256" s="3">
        <v>2</v>
      </c>
      <c r="AK1256" s="3">
        <v>2</v>
      </c>
      <c r="AL1256" s="3">
        <v>1</v>
      </c>
      <c r="AM1256" s="3">
        <v>1</v>
      </c>
      <c r="AN1256" s="3">
        <v>0</v>
      </c>
      <c r="AO1256" s="3">
        <v>0</v>
      </c>
      <c r="AP1256" s="3">
        <v>0</v>
      </c>
      <c r="AQ1256" s="3">
        <v>0</v>
      </c>
      <c r="AR1256" s="2" t="s">
        <v>5</v>
      </c>
      <c r="AS1256" s="2" t="s">
        <v>46</v>
      </c>
      <c r="AT1256" s="5" t="str">
        <f>HYPERLINK("http://catalog.hathitrust.org/Record/101164228","HathiTrust Record")</f>
        <v>HathiTrust Record</v>
      </c>
      <c r="AU1256" s="5" t="str">
        <f>HYPERLINK("https://creighton-primo.hosted.exlibrisgroup.com/primo-explore/search?tab=default_tab&amp;search_scope=EVERYTHING&amp;vid=01CRU&amp;lang=en_US&amp;offset=0&amp;query=any,contains,991003713719702656","Catalog Record")</f>
        <v>Catalog Record</v>
      </c>
      <c r="AV1256" s="5" t="str">
        <f>HYPERLINK("http://www.worldcat.org/oclc/32166313","WorldCat Record")</f>
        <v>WorldCat Record</v>
      </c>
      <c r="AW1256" s="2" t="s">
        <v>15399</v>
      </c>
      <c r="AX1256" s="2" t="s">
        <v>15400</v>
      </c>
      <c r="AY1256" s="2" t="s">
        <v>15401</v>
      </c>
      <c r="AZ1256" s="2" t="s">
        <v>15401</v>
      </c>
      <c r="BA1256" s="2" t="s">
        <v>15402</v>
      </c>
      <c r="BB1256" s="2" t="s">
        <v>20</v>
      </c>
      <c r="BD1256" s="2" t="s">
        <v>15403</v>
      </c>
      <c r="BE1256" s="2" t="s">
        <v>15404</v>
      </c>
      <c r="BF1256" s="2" t="s">
        <v>15405</v>
      </c>
    </row>
    <row r="1257" spans="1:58" ht="39.75" customHeight="1" x14ac:dyDescent="0.25">
      <c r="A1257" s="7" t="s">
        <v>5</v>
      </c>
      <c r="B1257" s="1" t="s">
        <v>0</v>
      </c>
      <c r="C1257" s="1" t="s">
        <v>1</v>
      </c>
      <c r="D1257" s="1" t="s">
        <v>15406</v>
      </c>
      <c r="E1257" s="1" t="s">
        <v>15407</v>
      </c>
      <c r="F1257" s="1" t="s">
        <v>15408</v>
      </c>
      <c r="H1257" s="2" t="s">
        <v>5</v>
      </c>
      <c r="I1257" s="2" t="s">
        <v>6</v>
      </c>
      <c r="J1257" s="2" t="s">
        <v>5</v>
      </c>
      <c r="K1257" s="2" t="s">
        <v>5</v>
      </c>
      <c r="L1257" s="2" t="s">
        <v>7</v>
      </c>
      <c r="M1257" s="1" t="s">
        <v>15396</v>
      </c>
      <c r="N1257" s="1" t="s">
        <v>9799</v>
      </c>
      <c r="O1257" s="2" t="s">
        <v>1418</v>
      </c>
      <c r="Q1257" s="2" t="s">
        <v>1151</v>
      </c>
      <c r="R1257" s="2" t="s">
        <v>4146</v>
      </c>
      <c r="S1257" s="1" t="s">
        <v>14498</v>
      </c>
      <c r="T1257" s="2" t="s">
        <v>13</v>
      </c>
      <c r="U1257" s="3">
        <v>2</v>
      </c>
      <c r="V1257" s="3">
        <v>2</v>
      </c>
      <c r="W1257" s="4" t="s">
        <v>5071</v>
      </c>
      <c r="X1257" s="4" t="s">
        <v>5071</v>
      </c>
      <c r="Y1257" s="4" t="s">
        <v>5071</v>
      </c>
      <c r="Z1257" s="4" t="s">
        <v>5071</v>
      </c>
      <c r="AA1257" s="3">
        <v>73</v>
      </c>
      <c r="AB1257" s="3">
        <v>55</v>
      </c>
      <c r="AC1257" s="3">
        <v>63</v>
      </c>
      <c r="AD1257" s="3">
        <v>2</v>
      </c>
      <c r="AE1257" s="9">
        <v>2</v>
      </c>
      <c r="AF1257" s="9">
        <v>1</v>
      </c>
      <c r="AG1257" s="9">
        <v>1</v>
      </c>
      <c r="AH1257" s="3">
        <v>0</v>
      </c>
      <c r="AI1257" s="3">
        <v>0</v>
      </c>
      <c r="AJ1257" s="3">
        <v>0</v>
      </c>
      <c r="AK1257" s="3">
        <v>0</v>
      </c>
      <c r="AL1257" s="3">
        <v>0</v>
      </c>
      <c r="AM1257" s="3">
        <v>0</v>
      </c>
      <c r="AN1257" s="3">
        <v>1</v>
      </c>
      <c r="AO1257" s="3">
        <v>1</v>
      </c>
      <c r="AP1257" s="3">
        <v>0</v>
      </c>
      <c r="AQ1257" s="3">
        <v>0</v>
      </c>
      <c r="AR1257" s="2" t="s">
        <v>5</v>
      </c>
      <c r="AS1257" s="2" t="s">
        <v>46</v>
      </c>
      <c r="AT1257" s="5" t="str">
        <f>HYPERLINK("http://catalog.hathitrust.org/Record/001052240","HathiTrust Record")</f>
        <v>HathiTrust Record</v>
      </c>
      <c r="AU1257" s="5" t="str">
        <f>HYPERLINK("https://creighton-primo.hosted.exlibrisgroup.com/primo-explore/search?tab=default_tab&amp;search_scope=EVERYTHING&amp;vid=01CRU&amp;lang=en_US&amp;offset=0&amp;query=any,contains,991004336749702656","Catalog Record")</f>
        <v>Catalog Record</v>
      </c>
      <c r="AV1257" s="5" t="str">
        <f>HYPERLINK("http://www.worldcat.org/oclc/1440531","WorldCat Record")</f>
        <v>WorldCat Record</v>
      </c>
      <c r="AW1257" s="2" t="s">
        <v>15409</v>
      </c>
      <c r="AX1257" s="2" t="s">
        <v>15410</v>
      </c>
      <c r="AY1257" s="2" t="s">
        <v>15411</v>
      </c>
      <c r="AZ1257" s="2" t="s">
        <v>15411</v>
      </c>
      <c r="BA1257" s="2" t="s">
        <v>15412</v>
      </c>
      <c r="BB1257" s="2" t="s">
        <v>20</v>
      </c>
      <c r="BE1257" s="2" t="s">
        <v>15413</v>
      </c>
      <c r="BF1257" s="2" t="s">
        <v>15414</v>
      </c>
    </row>
    <row r="1258" spans="1:58" ht="39.75" customHeight="1" x14ac:dyDescent="0.25">
      <c r="A1258" s="7" t="s">
        <v>5</v>
      </c>
      <c r="B1258" s="1" t="s">
        <v>0</v>
      </c>
      <c r="C1258" s="1" t="s">
        <v>1</v>
      </c>
      <c r="D1258" s="1" t="s">
        <v>15415</v>
      </c>
      <c r="E1258" s="1" t="s">
        <v>15416</v>
      </c>
      <c r="F1258" s="1" t="s">
        <v>15417</v>
      </c>
      <c r="H1258" s="2" t="s">
        <v>5</v>
      </c>
      <c r="I1258" s="2" t="s">
        <v>6</v>
      </c>
      <c r="J1258" s="2" t="s">
        <v>5</v>
      </c>
      <c r="K1258" s="2" t="s">
        <v>5</v>
      </c>
      <c r="L1258" s="2" t="s">
        <v>7</v>
      </c>
      <c r="M1258" s="1" t="s">
        <v>15418</v>
      </c>
      <c r="N1258" s="1" t="s">
        <v>15419</v>
      </c>
      <c r="O1258" s="2" t="s">
        <v>162</v>
      </c>
      <c r="Q1258" s="2" t="s">
        <v>1151</v>
      </c>
      <c r="R1258" s="2" t="s">
        <v>4146</v>
      </c>
      <c r="S1258" s="1" t="s">
        <v>13612</v>
      </c>
      <c r="T1258" s="2" t="s">
        <v>13</v>
      </c>
      <c r="U1258" s="3">
        <v>1</v>
      </c>
      <c r="V1258" s="3">
        <v>1</v>
      </c>
      <c r="W1258" s="4" t="s">
        <v>1154</v>
      </c>
      <c r="X1258" s="4" t="s">
        <v>1154</v>
      </c>
      <c r="Y1258" s="4" t="s">
        <v>1154</v>
      </c>
      <c r="Z1258" s="4" t="s">
        <v>1154</v>
      </c>
      <c r="AA1258" s="3">
        <v>52</v>
      </c>
      <c r="AB1258" s="3">
        <v>39</v>
      </c>
      <c r="AC1258" s="3">
        <v>40</v>
      </c>
      <c r="AD1258" s="3">
        <v>2</v>
      </c>
      <c r="AE1258" s="9">
        <v>2</v>
      </c>
      <c r="AF1258" s="9">
        <v>1</v>
      </c>
      <c r="AG1258" s="9">
        <v>1</v>
      </c>
      <c r="AH1258" s="3">
        <v>0</v>
      </c>
      <c r="AI1258" s="3">
        <v>0</v>
      </c>
      <c r="AJ1258" s="3">
        <v>0</v>
      </c>
      <c r="AK1258" s="3">
        <v>0</v>
      </c>
      <c r="AL1258" s="3">
        <v>0</v>
      </c>
      <c r="AM1258" s="3">
        <v>0</v>
      </c>
      <c r="AN1258" s="3">
        <v>1</v>
      </c>
      <c r="AO1258" s="3">
        <v>1</v>
      </c>
      <c r="AP1258" s="3">
        <v>0</v>
      </c>
      <c r="AQ1258" s="3">
        <v>0</v>
      </c>
      <c r="AR1258" s="2" t="s">
        <v>5</v>
      </c>
      <c r="AS1258" s="2" t="s">
        <v>5</v>
      </c>
      <c r="AU1258" s="5" t="str">
        <f>HYPERLINK("https://creighton-primo.hosted.exlibrisgroup.com/primo-explore/search?tab=default_tab&amp;search_scope=EVERYTHING&amp;vid=01CRU&amp;lang=en_US&amp;offset=0&amp;query=any,contains,991003846769702656","Catalog Record")</f>
        <v>Catalog Record</v>
      </c>
      <c r="AV1258" s="5" t="str">
        <f>HYPERLINK("http://www.worldcat.org/oclc/604660","WorldCat Record")</f>
        <v>WorldCat Record</v>
      </c>
      <c r="AW1258" s="2" t="s">
        <v>15420</v>
      </c>
      <c r="AX1258" s="2" t="s">
        <v>15421</v>
      </c>
      <c r="AY1258" s="2" t="s">
        <v>15422</v>
      </c>
      <c r="AZ1258" s="2" t="s">
        <v>15422</v>
      </c>
      <c r="BA1258" s="2" t="s">
        <v>15423</v>
      </c>
      <c r="BB1258" s="2" t="s">
        <v>20</v>
      </c>
      <c r="BE1258" s="2" t="s">
        <v>15424</v>
      </c>
      <c r="BF1258" s="2" t="s">
        <v>15425</v>
      </c>
    </row>
    <row r="1259" spans="1:58" ht="39.75" customHeight="1" x14ac:dyDescent="0.25">
      <c r="A1259" s="7" t="s">
        <v>5</v>
      </c>
      <c r="B1259" s="1" t="s">
        <v>0</v>
      </c>
      <c r="C1259" s="1" t="s">
        <v>1</v>
      </c>
      <c r="D1259" s="1" t="s">
        <v>15426</v>
      </c>
      <c r="E1259" s="1" t="s">
        <v>15427</v>
      </c>
      <c r="F1259" s="1" t="s">
        <v>15428</v>
      </c>
      <c r="H1259" s="2" t="s">
        <v>5</v>
      </c>
      <c r="I1259" s="2" t="s">
        <v>6</v>
      </c>
      <c r="J1259" s="2" t="s">
        <v>5</v>
      </c>
      <c r="K1259" s="2" t="s">
        <v>5</v>
      </c>
      <c r="L1259" s="2" t="s">
        <v>7</v>
      </c>
      <c r="M1259" s="1" t="s">
        <v>15429</v>
      </c>
      <c r="N1259" s="1" t="s">
        <v>15430</v>
      </c>
      <c r="O1259" s="2" t="s">
        <v>995</v>
      </c>
      <c r="Q1259" s="2" t="s">
        <v>1151</v>
      </c>
      <c r="R1259" s="2" t="s">
        <v>4146</v>
      </c>
      <c r="S1259" s="1" t="s">
        <v>15431</v>
      </c>
      <c r="T1259" s="2" t="s">
        <v>13</v>
      </c>
      <c r="U1259" s="3">
        <v>1</v>
      </c>
      <c r="V1259" s="3">
        <v>1</v>
      </c>
      <c r="W1259" s="4" t="s">
        <v>10532</v>
      </c>
      <c r="X1259" s="4" t="s">
        <v>10532</v>
      </c>
      <c r="Y1259" s="4" t="s">
        <v>10532</v>
      </c>
      <c r="Z1259" s="4" t="s">
        <v>10532</v>
      </c>
      <c r="AA1259" s="3">
        <v>153</v>
      </c>
      <c r="AB1259" s="3">
        <v>108</v>
      </c>
      <c r="AC1259" s="3">
        <v>111</v>
      </c>
      <c r="AD1259" s="3">
        <v>2</v>
      </c>
      <c r="AE1259" s="9">
        <v>2</v>
      </c>
      <c r="AF1259" s="9">
        <v>6</v>
      </c>
      <c r="AG1259" s="9">
        <v>6</v>
      </c>
      <c r="AH1259" s="3">
        <v>0</v>
      </c>
      <c r="AI1259" s="3">
        <v>0</v>
      </c>
      <c r="AJ1259" s="3">
        <v>4</v>
      </c>
      <c r="AK1259" s="3">
        <v>4</v>
      </c>
      <c r="AL1259" s="3">
        <v>3</v>
      </c>
      <c r="AM1259" s="3">
        <v>3</v>
      </c>
      <c r="AN1259" s="3">
        <v>1</v>
      </c>
      <c r="AO1259" s="3">
        <v>1</v>
      </c>
      <c r="AP1259" s="3">
        <v>0</v>
      </c>
      <c r="AQ1259" s="3">
        <v>0</v>
      </c>
      <c r="AR1259" s="2" t="s">
        <v>5</v>
      </c>
      <c r="AS1259" s="2" t="s">
        <v>46</v>
      </c>
      <c r="AT1259" s="5" t="str">
        <f>HYPERLINK("http://catalog.hathitrust.org/Record/006717100","HathiTrust Record")</f>
        <v>HathiTrust Record</v>
      </c>
      <c r="AU1259" s="5" t="str">
        <f>HYPERLINK("https://creighton-primo.hosted.exlibrisgroup.com/primo-explore/search?tab=default_tab&amp;search_scope=EVERYTHING&amp;vid=01CRU&amp;lang=en_US&amp;offset=0&amp;query=any,contains,991003681799702656","Catalog Record")</f>
        <v>Catalog Record</v>
      </c>
      <c r="AV1259" s="5" t="str">
        <f>HYPERLINK("http://www.worldcat.org/oclc/9149637","WorldCat Record")</f>
        <v>WorldCat Record</v>
      </c>
      <c r="AW1259" s="2" t="s">
        <v>15432</v>
      </c>
      <c r="AX1259" s="2" t="s">
        <v>15433</v>
      </c>
      <c r="AY1259" s="2" t="s">
        <v>15434</v>
      </c>
      <c r="AZ1259" s="2" t="s">
        <v>15434</v>
      </c>
      <c r="BA1259" s="2" t="s">
        <v>15435</v>
      </c>
      <c r="BB1259" s="2" t="s">
        <v>20</v>
      </c>
      <c r="BD1259" s="2" t="s">
        <v>15436</v>
      </c>
      <c r="BE1259" s="2" t="s">
        <v>15437</v>
      </c>
      <c r="BF1259" s="2" t="s">
        <v>15438</v>
      </c>
    </row>
    <row r="1260" spans="1:58" ht="39.75" customHeight="1" x14ac:dyDescent="0.25">
      <c r="A1260" s="7" t="s">
        <v>5</v>
      </c>
      <c r="B1260" s="1" t="s">
        <v>0</v>
      </c>
      <c r="C1260" s="1" t="s">
        <v>1</v>
      </c>
      <c r="D1260" s="1" t="s">
        <v>15439</v>
      </c>
      <c r="E1260" s="1" t="s">
        <v>15440</v>
      </c>
      <c r="F1260" s="1" t="s">
        <v>15441</v>
      </c>
      <c r="H1260" s="2" t="s">
        <v>5</v>
      </c>
      <c r="I1260" s="2" t="s">
        <v>6</v>
      </c>
      <c r="J1260" s="2" t="s">
        <v>5</v>
      </c>
      <c r="K1260" s="2" t="s">
        <v>5</v>
      </c>
      <c r="L1260" s="2" t="s">
        <v>7</v>
      </c>
      <c r="M1260" s="1" t="s">
        <v>15442</v>
      </c>
      <c r="N1260" s="1" t="s">
        <v>15443</v>
      </c>
      <c r="O1260" s="2" t="s">
        <v>708</v>
      </c>
      <c r="Q1260" s="2" t="s">
        <v>1151</v>
      </c>
      <c r="R1260" s="2" t="s">
        <v>4146</v>
      </c>
      <c r="S1260" s="1" t="s">
        <v>15444</v>
      </c>
      <c r="T1260" s="2" t="s">
        <v>13</v>
      </c>
      <c r="U1260" s="3">
        <v>1</v>
      </c>
      <c r="V1260" s="3">
        <v>1</v>
      </c>
      <c r="W1260" s="4" t="s">
        <v>10532</v>
      </c>
      <c r="X1260" s="4" t="s">
        <v>10532</v>
      </c>
      <c r="Y1260" s="4" t="s">
        <v>10532</v>
      </c>
      <c r="Z1260" s="4" t="s">
        <v>10532</v>
      </c>
      <c r="AA1260" s="3">
        <v>119</v>
      </c>
      <c r="AB1260" s="3">
        <v>86</v>
      </c>
      <c r="AC1260" s="3">
        <v>88</v>
      </c>
      <c r="AD1260" s="3">
        <v>2</v>
      </c>
      <c r="AE1260" s="9">
        <v>2</v>
      </c>
      <c r="AF1260" s="9">
        <v>5</v>
      </c>
      <c r="AG1260" s="9">
        <v>5</v>
      </c>
      <c r="AH1260" s="3">
        <v>0</v>
      </c>
      <c r="AI1260" s="3">
        <v>0</v>
      </c>
      <c r="AJ1260" s="3">
        <v>3</v>
      </c>
      <c r="AK1260" s="3">
        <v>3</v>
      </c>
      <c r="AL1260" s="3">
        <v>3</v>
      </c>
      <c r="AM1260" s="3">
        <v>3</v>
      </c>
      <c r="AN1260" s="3">
        <v>1</v>
      </c>
      <c r="AO1260" s="3">
        <v>1</v>
      </c>
      <c r="AP1260" s="3">
        <v>0</v>
      </c>
      <c r="AQ1260" s="3">
        <v>0</v>
      </c>
      <c r="AR1260" s="2" t="s">
        <v>5</v>
      </c>
      <c r="AS1260" s="2" t="s">
        <v>46</v>
      </c>
      <c r="AT1260" s="5" t="str">
        <f>HYPERLINK("http://catalog.hathitrust.org/Record/002879858","HathiTrust Record")</f>
        <v>HathiTrust Record</v>
      </c>
      <c r="AU1260" s="5" t="str">
        <f>HYPERLINK("https://creighton-primo.hosted.exlibrisgroup.com/primo-explore/search?tab=default_tab&amp;search_scope=EVERYTHING&amp;vid=01CRU&amp;lang=en_US&amp;offset=0&amp;query=any,contains,991003681589702656","Catalog Record")</f>
        <v>Catalog Record</v>
      </c>
      <c r="AV1260" s="5" t="str">
        <f>HYPERLINK("http://www.worldcat.org/oclc/17297284","WorldCat Record")</f>
        <v>WorldCat Record</v>
      </c>
      <c r="AW1260" s="2" t="s">
        <v>15445</v>
      </c>
      <c r="AX1260" s="2" t="s">
        <v>15446</v>
      </c>
      <c r="AY1260" s="2" t="s">
        <v>15447</v>
      </c>
      <c r="AZ1260" s="2" t="s">
        <v>15447</v>
      </c>
      <c r="BA1260" s="2" t="s">
        <v>15448</v>
      </c>
      <c r="BB1260" s="2" t="s">
        <v>20</v>
      </c>
      <c r="BD1260" s="2" t="s">
        <v>15449</v>
      </c>
      <c r="BE1260" s="2" t="s">
        <v>15450</v>
      </c>
      <c r="BF1260" s="2" t="s">
        <v>15451</v>
      </c>
    </row>
    <row r="1261" spans="1:58" ht="39.75" customHeight="1" x14ac:dyDescent="0.25">
      <c r="A1261" s="7" t="s">
        <v>5</v>
      </c>
      <c r="B1261" s="1" t="s">
        <v>0</v>
      </c>
      <c r="C1261" s="1" t="s">
        <v>1</v>
      </c>
      <c r="D1261" s="1" t="s">
        <v>15452</v>
      </c>
      <c r="E1261" s="1" t="s">
        <v>15453</v>
      </c>
      <c r="F1261" s="1" t="s">
        <v>15454</v>
      </c>
      <c r="H1261" s="2" t="s">
        <v>5</v>
      </c>
      <c r="I1261" s="2" t="s">
        <v>6</v>
      </c>
      <c r="J1261" s="2" t="s">
        <v>5</v>
      </c>
      <c r="K1261" s="2" t="s">
        <v>5</v>
      </c>
      <c r="L1261" s="2" t="s">
        <v>7</v>
      </c>
      <c r="M1261" s="1" t="s">
        <v>15455</v>
      </c>
      <c r="N1261" s="1" t="s">
        <v>15456</v>
      </c>
      <c r="O1261" s="2" t="s">
        <v>569</v>
      </c>
      <c r="Q1261" s="2" t="s">
        <v>1151</v>
      </c>
      <c r="R1261" s="2" t="s">
        <v>4146</v>
      </c>
      <c r="S1261" s="1" t="s">
        <v>15457</v>
      </c>
      <c r="T1261" s="2" t="s">
        <v>13</v>
      </c>
      <c r="U1261" s="3">
        <v>1</v>
      </c>
      <c r="V1261" s="3">
        <v>1</v>
      </c>
      <c r="W1261" s="4" t="s">
        <v>10422</v>
      </c>
      <c r="X1261" s="4" t="s">
        <v>10422</v>
      </c>
      <c r="Y1261" s="4" t="s">
        <v>10422</v>
      </c>
      <c r="Z1261" s="4" t="s">
        <v>10422</v>
      </c>
      <c r="AA1261" s="3">
        <v>31</v>
      </c>
      <c r="AB1261" s="3">
        <v>28</v>
      </c>
      <c r="AC1261" s="3">
        <v>30</v>
      </c>
      <c r="AD1261" s="3">
        <v>1</v>
      </c>
      <c r="AE1261" s="9">
        <v>1</v>
      </c>
      <c r="AF1261" s="9">
        <v>1</v>
      </c>
      <c r="AG1261" s="9">
        <v>1</v>
      </c>
      <c r="AH1261" s="3">
        <v>0</v>
      </c>
      <c r="AI1261" s="3">
        <v>0</v>
      </c>
      <c r="AJ1261" s="3">
        <v>1</v>
      </c>
      <c r="AK1261" s="3">
        <v>1</v>
      </c>
      <c r="AL1261" s="3">
        <v>1</v>
      </c>
      <c r="AM1261" s="3">
        <v>1</v>
      </c>
      <c r="AN1261" s="3">
        <v>0</v>
      </c>
      <c r="AO1261" s="3">
        <v>0</v>
      </c>
      <c r="AP1261" s="3">
        <v>0</v>
      </c>
      <c r="AQ1261" s="3">
        <v>0</v>
      </c>
      <c r="AR1261" s="2" t="s">
        <v>5</v>
      </c>
      <c r="AS1261" s="2" t="s">
        <v>46</v>
      </c>
      <c r="AT1261" s="5" t="str">
        <f>HYPERLINK("http://catalog.hathitrust.org/Record/003998853","HathiTrust Record")</f>
        <v>HathiTrust Record</v>
      </c>
      <c r="AU1261" s="5" t="str">
        <f>HYPERLINK("https://creighton-primo.hosted.exlibrisgroup.com/primo-explore/search?tab=default_tab&amp;search_scope=EVERYTHING&amp;vid=01CRU&amp;lang=en_US&amp;offset=0&amp;query=any,contains,991003252219702656","Catalog Record")</f>
        <v>Catalog Record</v>
      </c>
      <c r="AV1261" s="5" t="str">
        <f>HYPERLINK("http://www.worldcat.org/oclc/40414506","WorldCat Record")</f>
        <v>WorldCat Record</v>
      </c>
      <c r="AW1261" s="2" t="s">
        <v>15458</v>
      </c>
      <c r="AX1261" s="2" t="s">
        <v>15459</v>
      </c>
      <c r="AY1261" s="2" t="s">
        <v>15460</v>
      </c>
      <c r="AZ1261" s="2" t="s">
        <v>15460</v>
      </c>
      <c r="BA1261" s="2" t="s">
        <v>15461</v>
      </c>
      <c r="BB1261" s="2" t="s">
        <v>20</v>
      </c>
      <c r="BE1261" s="2" t="s">
        <v>15462</v>
      </c>
      <c r="BF1261" s="2" t="s">
        <v>15463</v>
      </c>
    </row>
    <row r="1262" spans="1:58" ht="39.75" customHeight="1" x14ac:dyDescent="0.25">
      <c r="A1262" s="7" t="s">
        <v>5</v>
      </c>
      <c r="B1262" s="1" t="s">
        <v>0</v>
      </c>
      <c r="C1262" s="1" t="s">
        <v>1</v>
      </c>
      <c r="D1262" s="1" t="s">
        <v>15464</v>
      </c>
      <c r="E1262" s="1" t="s">
        <v>15465</v>
      </c>
      <c r="F1262" s="1" t="s">
        <v>15466</v>
      </c>
      <c r="H1262" s="2" t="s">
        <v>5</v>
      </c>
      <c r="I1262" s="2" t="s">
        <v>6</v>
      </c>
      <c r="J1262" s="2" t="s">
        <v>5</v>
      </c>
      <c r="K1262" s="2" t="s">
        <v>5</v>
      </c>
      <c r="L1262" s="2" t="s">
        <v>7</v>
      </c>
      <c r="M1262" s="1" t="s">
        <v>15455</v>
      </c>
      <c r="N1262" s="1" t="s">
        <v>15467</v>
      </c>
      <c r="O1262" s="2" t="s">
        <v>392</v>
      </c>
      <c r="Q1262" s="2" t="s">
        <v>1151</v>
      </c>
      <c r="R1262" s="2" t="s">
        <v>1152</v>
      </c>
      <c r="T1262" s="2" t="s">
        <v>13</v>
      </c>
      <c r="U1262" s="3">
        <v>1</v>
      </c>
      <c r="V1262" s="3">
        <v>1</v>
      </c>
      <c r="W1262" s="4" t="s">
        <v>8639</v>
      </c>
      <c r="X1262" s="4" t="s">
        <v>8639</v>
      </c>
      <c r="Y1262" s="4" t="s">
        <v>8639</v>
      </c>
      <c r="Z1262" s="4" t="s">
        <v>8639</v>
      </c>
      <c r="AA1262" s="3">
        <v>6</v>
      </c>
      <c r="AB1262" s="3">
        <v>6</v>
      </c>
      <c r="AC1262" s="3">
        <v>248</v>
      </c>
      <c r="AD1262" s="3">
        <v>1</v>
      </c>
      <c r="AE1262" s="9">
        <v>3</v>
      </c>
      <c r="AF1262" s="9">
        <v>0</v>
      </c>
      <c r="AG1262" s="9">
        <v>7</v>
      </c>
      <c r="AH1262" s="3">
        <v>0</v>
      </c>
      <c r="AI1262" s="3">
        <v>0</v>
      </c>
      <c r="AJ1262" s="3">
        <v>0</v>
      </c>
      <c r="AK1262" s="3">
        <v>3</v>
      </c>
      <c r="AL1262" s="3">
        <v>0</v>
      </c>
      <c r="AM1262" s="3">
        <v>4</v>
      </c>
      <c r="AN1262" s="3">
        <v>0</v>
      </c>
      <c r="AO1262" s="3">
        <v>2</v>
      </c>
      <c r="AP1262" s="3">
        <v>0</v>
      </c>
      <c r="AQ1262" s="3">
        <v>0</v>
      </c>
      <c r="AR1262" s="2" t="s">
        <v>5</v>
      </c>
      <c r="AS1262" s="2" t="s">
        <v>5</v>
      </c>
      <c r="AU1262" s="5" t="str">
        <f>HYPERLINK("https://creighton-primo.hosted.exlibrisgroup.com/primo-explore/search?tab=default_tab&amp;search_scope=EVERYTHING&amp;vid=01CRU&amp;lang=en_US&amp;offset=0&amp;query=any,contains,991004333629702656","Catalog Record")</f>
        <v>Catalog Record</v>
      </c>
      <c r="AV1262" s="5" t="str">
        <f>HYPERLINK("http://www.worldcat.org/oclc/10630805","WorldCat Record")</f>
        <v>WorldCat Record</v>
      </c>
      <c r="AW1262" s="2" t="s">
        <v>15468</v>
      </c>
      <c r="AX1262" s="2" t="s">
        <v>15469</v>
      </c>
      <c r="AY1262" s="2" t="s">
        <v>15470</v>
      </c>
      <c r="AZ1262" s="2" t="s">
        <v>15470</v>
      </c>
      <c r="BA1262" s="2" t="s">
        <v>15471</v>
      </c>
      <c r="BB1262" s="2" t="s">
        <v>20</v>
      </c>
      <c r="BD1262" s="2" t="s">
        <v>15472</v>
      </c>
      <c r="BE1262" s="2" t="s">
        <v>15473</v>
      </c>
      <c r="BF1262" s="2" t="s">
        <v>15474</v>
      </c>
    </row>
    <row r="1263" spans="1:58" ht="39.75" customHeight="1" x14ac:dyDescent="0.25">
      <c r="A1263" s="7" t="s">
        <v>5</v>
      </c>
      <c r="B1263" s="1" t="s">
        <v>0</v>
      </c>
      <c r="C1263" s="1" t="s">
        <v>1</v>
      </c>
      <c r="D1263" s="1" t="s">
        <v>15475</v>
      </c>
      <c r="E1263" s="1" t="s">
        <v>15476</v>
      </c>
      <c r="F1263" s="1" t="s">
        <v>15477</v>
      </c>
      <c r="H1263" s="2" t="s">
        <v>5</v>
      </c>
      <c r="I1263" s="2" t="s">
        <v>6</v>
      </c>
      <c r="J1263" s="2" t="s">
        <v>5</v>
      </c>
      <c r="K1263" s="2" t="s">
        <v>5</v>
      </c>
      <c r="L1263" s="2" t="s">
        <v>7</v>
      </c>
      <c r="M1263" s="1" t="s">
        <v>15455</v>
      </c>
      <c r="N1263" s="1" t="s">
        <v>15478</v>
      </c>
      <c r="O1263" s="2" t="s">
        <v>1390</v>
      </c>
      <c r="P1263" s="1" t="s">
        <v>2908</v>
      </c>
      <c r="Q1263" s="2" t="s">
        <v>1151</v>
      </c>
      <c r="R1263" s="2" t="s">
        <v>1152</v>
      </c>
      <c r="S1263" s="1" t="s">
        <v>8086</v>
      </c>
      <c r="T1263" s="2" t="s">
        <v>13</v>
      </c>
      <c r="U1263" s="3">
        <v>1</v>
      </c>
      <c r="V1263" s="3">
        <v>1</v>
      </c>
      <c r="W1263" s="4" t="s">
        <v>8639</v>
      </c>
      <c r="X1263" s="4" t="s">
        <v>8639</v>
      </c>
      <c r="Y1263" s="4" t="s">
        <v>8639</v>
      </c>
      <c r="Z1263" s="4" t="s">
        <v>8639</v>
      </c>
      <c r="AA1263" s="3">
        <v>147</v>
      </c>
      <c r="AB1263" s="3">
        <v>113</v>
      </c>
      <c r="AC1263" s="3">
        <v>164</v>
      </c>
      <c r="AD1263" s="3">
        <v>1</v>
      </c>
      <c r="AE1263" s="9">
        <v>1</v>
      </c>
      <c r="AF1263" s="9">
        <v>4</v>
      </c>
      <c r="AG1263" s="9">
        <v>5</v>
      </c>
      <c r="AH1263" s="3">
        <v>0</v>
      </c>
      <c r="AI1263" s="3">
        <v>0</v>
      </c>
      <c r="AJ1263" s="3">
        <v>3</v>
      </c>
      <c r="AK1263" s="3">
        <v>3</v>
      </c>
      <c r="AL1263" s="3">
        <v>2</v>
      </c>
      <c r="AM1263" s="3">
        <v>3</v>
      </c>
      <c r="AN1263" s="3">
        <v>0</v>
      </c>
      <c r="AO1263" s="3">
        <v>0</v>
      </c>
      <c r="AP1263" s="3">
        <v>0</v>
      </c>
      <c r="AQ1263" s="3">
        <v>0</v>
      </c>
      <c r="AR1263" s="2" t="s">
        <v>5</v>
      </c>
      <c r="AS1263" s="2" t="s">
        <v>46</v>
      </c>
      <c r="AT1263" s="5" t="str">
        <f>HYPERLINK("http://catalog.hathitrust.org/Record/000697553","HathiTrust Record")</f>
        <v>HathiTrust Record</v>
      </c>
      <c r="AU1263" s="5" t="str">
        <f>HYPERLINK("https://creighton-primo.hosted.exlibrisgroup.com/primo-explore/search?tab=default_tab&amp;search_scope=EVERYTHING&amp;vid=01CRU&amp;lang=en_US&amp;offset=0&amp;query=any,contains,991004333339702656","Catalog Record")</f>
        <v>Catalog Record</v>
      </c>
      <c r="AV1263" s="5" t="str">
        <f>HYPERLINK("http://www.worldcat.org/oclc/5708300","WorldCat Record")</f>
        <v>WorldCat Record</v>
      </c>
      <c r="AW1263" s="2" t="s">
        <v>15479</v>
      </c>
      <c r="AX1263" s="2" t="s">
        <v>15480</v>
      </c>
      <c r="AY1263" s="2" t="s">
        <v>15481</v>
      </c>
      <c r="AZ1263" s="2" t="s">
        <v>15481</v>
      </c>
      <c r="BA1263" s="2" t="s">
        <v>15482</v>
      </c>
      <c r="BB1263" s="2" t="s">
        <v>20</v>
      </c>
      <c r="BD1263" s="2" t="s">
        <v>15483</v>
      </c>
      <c r="BE1263" s="2" t="s">
        <v>15484</v>
      </c>
      <c r="BF1263" s="2" t="s">
        <v>15485</v>
      </c>
    </row>
    <row r="1264" spans="1:58" ht="39.75" customHeight="1" x14ac:dyDescent="0.25">
      <c r="A1264" s="7" t="s">
        <v>5</v>
      </c>
      <c r="B1264" s="1" t="s">
        <v>0</v>
      </c>
      <c r="C1264" s="1" t="s">
        <v>1</v>
      </c>
      <c r="D1264" s="1" t="s">
        <v>15486</v>
      </c>
      <c r="E1264" s="1" t="s">
        <v>15487</v>
      </c>
      <c r="F1264" s="1" t="s">
        <v>15488</v>
      </c>
      <c r="H1264" s="2" t="s">
        <v>5</v>
      </c>
      <c r="I1264" s="2" t="s">
        <v>6</v>
      </c>
      <c r="J1264" s="2" t="s">
        <v>5</v>
      </c>
      <c r="K1264" s="2" t="s">
        <v>5</v>
      </c>
      <c r="L1264" s="2" t="s">
        <v>7</v>
      </c>
      <c r="M1264" s="1" t="s">
        <v>15455</v>
      </c>
      <c r="N1264" s="1" t="s">
        <v>15489</v>
      </c>
      <c r="O1264" s="2" t="s">
        <v>276</v>
      </c>
      <c r="P1264" s="1" t="s">
        <v>15490</v>
      </c>
      <c r="Q1264" s="2" t="s">
        <v>1151</v>
      </c>
      <c r="R1264" s="2" t="s">
        <v>1152</v>
      </c>
      <c r="S1264" s="1" t="s">
        <v>9092</v>
      </c>
      <c r="T1264" s="2" t="s">
        <v>13</v>
      </c>
      <c r="U1264" s="3">
        <v>1</v>
      </c>
      <c r="V1264" s="3">
        <v>1</v>
      </c>
      <c r="W1264" s="4" t="s">
        <v>8284</v>
      </c>
      <c r="X1264" s="4" t="s">
        <v>8284</v>
      </c>
      <c r="Y1264" s="4" t="s">
        <v>8284</v>
      </c>
      <c r="Z1264" s="4" t="s">
        <v>8284</v>
      </c>
      <c r="AA1264" s="3">
        <v>10</v>
      </c>
      <c r="AB1264" s="3">
        <v>5</v>
      </c>
      <c r="AC1264" s="3">
        <v>98</v>
      </c>
      <c r="AD1264" s="3">
        <v>1</v>
      </c>
      <c r="AE1264" s="9">
        <v>1</v>
      </c>
      <c r="AF1264" s="9">
        <v>0</v>
      </c>
      <c r="AG1264" s="9">
        <v>3</v>
      </c>
      <c r="AH1264" s="3">
        <v>0</v>
      </c>
      <c r="AI1264" s="3">
        <v>1</v>
      </c>
      <c r="AJ1264" s="3">
        <v>0</v>
      </c>
      <c r="AK1264" s="3">
        <v>1</v>
      </c>
      <c r="AL1264" s="3">
        <v>0</v>
      </c>
      <c r="AM1264" s="3">
        <v>1</v>
      </c>
      <c r="AN1264" s="3">
        <v>0</v>
      </c>
      <c r="AO1264" s="3">
        <v>0</v>
      </c>
      <c r="AP1264" s="3">
        <v>0</v>
      </c>
      <c r="AQ1264" s="3">
        <v>0</v>
      </c>
      <c r="AR1264" s="2" t="s">
        <v>5</v>
      </c>
      <c r="AS1264" s="2" t="s">
        <v>46</v>
      </c>
      <c r="AT1264" s="5" t="str">
        <f>HYPERLINK("http://catalog.hathitrust.org/Record/000252633","HathiTrust Record")</f>
        <v>HathiTrust Record</v>
      </c>
      <c r="AU1264" s="5" t="str">
        <f>HYPERLINK("https://creighton-primo.hosted.exlibrisgroup.com/primo-explore/search?tab=default_tab&amp;search_scope=EVERYTHING&amp;vid=01CRU&amp;lang=en_US&amp;offset=0&amp;query=any,contains,991003750269702656","Catalog Record")</f>
        <v>Catalog Record</v>
      </c>
      <c r="AV1264" s="5" t="str">
        <f>HYPERLINK("http://www.worldcat.org/oclc/3038953","WorldCat Record")</f>
        <v>WorldCat Record</v>
      </c>
      <c r="AW1264" s="2" t="s">
        <v>15491</v>
      </c>
      <c r="AX1264" s="2" t="s">
        <v>15492</v>
      </c>
      <c r="AY1264" s="2" t="s">
        <v>15493</v>
      </c>
      <c r="AZ1264" s="2" t="s">
        <v>15493</v>
      </c>
      <c r="BA1264" s="2" t="s">
        <v>15494</v>
      </c>
      <c r="BB1264" s="2" t="s">
        <v>20</v>
      </c>
      <c r="BD1264" s="2" t="s">
        <v>15495</v>
      </c>
      <c r="BE1264" s="2" t="s">
        <v>15496</v>
      </c>
      <c r="BF1264" s="2" t="s">
        <v>15497</v>
      </c>
    </row>
    <row r="1265" spans="1:58" ht="39.75" customHeight="1" x14ac:dyDescent="0.25">
      <c r="A1265" s="7" t="s">
        <v>5</v>
      </c>
      <c r="B1265" s="1" t="s">
        <v>0</v>
      </c>
      <c r="C1265" s="1" t="s">
        <v>1</v>
      </c>
      <c r="D1265" s="1" t="s">
        <v>15498</v>
      </c>
      <c r="E1265" s="1" t="s">
        <v>15499</v>
      </c>
      <c r="F1265" s="1" t="s">
        <v>15500</v>
      </c>
      <c r="H1265" s="2" t="s">
        <v>5</v>
      </c>
      <c r="I1265" s="2" t="s">
        <v>6</v>
      </c>
      <c r="J1265" s="2" t="s">
        <v>5</v>
      </c>
      <c r="K1265" s="2" t="s">
        <v>5</v>
      </c>
      <c r="L1265" s="2" t="s">
        <v>7</v>
      </c>
      <c r="M1265" s="1" t="s">
        <v>15455</v>
      </c>
      <c r="N1265" s="1" t="s">
        <v>9822</v>
      </c>
      <c r="O1265" s="2" t="s">
        <v>421</v>
      </c>
      <c r="Q1265" s="2" t="s">
        <v>1151</v>
      </c>
      <c r="R1265" s="2" t="s">
        <v>4146</v>
      </c>
      <c r="S1265" s="1" t="s">
        <v>15501</v>
      </c>
      <c r="T1265" s="2" t="s">
        <v>13</v>
      </c>
      <c r="U1265" s="3">
        <v>1</v>
      </c>
      <c r="V1265" s="3">
        <v>1</v>
      </c>
      <c r="W1265" s="4" t="s">
        <v>15398</v>
      </c>
      <c r="X1265" s="4" t="s">
        <v>15398</v>
      </c>
      <c r="Y1265" s="4" t="s">
        <v>15398</v>
      </c>
      <c r="Z1265" s="4" t="s">
        <v>15398</v>
      </c>
      <c r="AA1265" s="3">
        <v>33</v>
      </c>
      <c r="AB1265" s="3">
        <v>28</v>
      </c>
      <c r="AC1265" s="3">
        <v>28</v>
      </c>
      <c r="AD1265" s="3">
        <v>1</v>
      </c>
      <c r="AE1265" s="9">
        <v>1</v>
      </c>
      <c r="AF1265" s="9">
        <v>2</v>
      </c>
      <c r="AG1265" s="9">
        <v>2</v>
      </c>
      <c r="AH1265" s="3">
        <v>0</v>
      </c>
      <c r="AI1265" s="3">
        <v>0</v>
      </c>
      <c r="AJ1265" s="3">
        <v>2</v>
      </c>
      <c r="AK1265" s="3">
        <v>2</v>
      </c>
      <c r="AL1265" s="3">
        <v>1</v>
      </c>
      <c r="AM1265" s="3">
        <v>1</v>
      </c>
      <c r="AN1265" s="3">
        <v>0</v>
      </c>
      <c r="AO1265" s="3">
        <v>0</v>
      </c>
      <c r="AP1265" s="3">
        <v>0</v>
      </c>
      <c r="AQ1265" s="3">
        <v>0</v>
      </c>
      <c r="AR1265" s="2" t="s">
        <v>5</v>
      </c>
      <c r="AS1265" s="2" t="s">
        <v>5</v>
      </c>
      <c r="AU1265" s="5" t="str">
        <f>HYPERLINK("https://creighton-primo.hosted.exlibrisgroup.com/primo-explore/search?tab=default_tab&amp;search_scope=EVERYTHING&amp;vid=01CRU&amp;lang=en_US&amp;offset=0&amp;query=any,contains,991003714719702656","Catalog Record")</f>
        <v>Catalog Record</v>
      </c>
      <c r="AV1265" s="5" t="str">
        <f>HYPERLINK("http://www.worldcat.org/oclc/10841682","WorldCat Record")</f>
        <v>WorldCat Record</v>
      </c>
      <c r="AW1265" s="2" t="s">
        <v>15502</v>
      </c>
      <c r="AX1265" s="2" t="s">
        <v>15503</v>
      </c>
      <c r="AY1265" s="2" t="s">
        <v>15504</v>
      </c>
      <c r="AZ1265" s="2" t="s">
        <v>15504</v>
      </c>
      <c r="BA1265" s="2" t="s">
        <v>15505</v>
      </c>
      <c r="BB1265" s="2" t="s">
        <v>20</v>
      </c>
      <c r="BE1265" s="2" t="s">
        <v>15506</v>
      </c>
      <c r="BF1265" s="2" t="s">
        <v>15507</v>
      </c>
    </row>
    <row r="1266" spans="1:58" ht="39.75" customHeight="1" x14ac:dyDescent="0.25">
      <c r="A1266" s="7" t="s">
        <v>5</v>
      </c>
      <c r="B1266" s="1" t="s">
        <v>0</v>
      </c>
      <c r="C1266" s="1" t="s">
        <v>1</v>
      </c>
      <c r="D1266" s="1" t="s">
        <v>15508</v>
      </c>
      <c r="E1266" s="1" t="s">
        <v>15509</v>
      </c>
      <c r="F1266" s="1" t="s">
        <v>15510</v>
      </c>
      <c r="H1266" s="2" t="s">
        <v>5</v>
      </c>
      <c r="I1266" s="2" t="s">
        <v>6</v>
      </c>
      <c r="J1266" s="2" t="s">
        <v>5</v>
      </c>
      <c r="K1266" s="2" t="s">
        <v>5</v>
      </c>
      <c r="L1266" s="2" t="s">
        <v>7</v>
      </c>
      <c r="M1266" s="1" t="s">
        <v>15511</v>
      </c>
      <c r="N1266" s="1" t="s">
        <v>15512</v>
      </c>
      <c r="O1266" s="2" t="s">
        <v>791</v>
      </c>
      <c r="Q1266" s="2" t="s">
        <v>1151</v>
      </c>
      <c r="R1266" s="2" t="s">
        <v>4146</v>
      </c>
      <c r="S1266" s="1" t="s">
        <v>15513</v>
      </c>
      <c r="T1266" s="2" t="s">
        <v>13</v>
      </c>
      <c r="U1266" s="3">
        <v>1</v>
      </c>
      <c r="V1266" s="3">
        <v>1</v>
      </c>
      <c r="W1266" s="4" t="s">
        <v>9786</v>
      </c>
      <c r="X1266" s="4" t="s">
        <v>9786</v>
      </c>
      <c r="Y1266" s="4" t="s">
        <v>9787</v>
      </c>
      <c r="Z1266" s="4" t="s">
        <v>9787</v>
      </c>
      <c r="AA1266" s="3">
        <v>40</v>
      </c>
      <c r="AB1266" s="3">
        <v>27</v>
      </c>
      <c r="AC1266" s="3">
        <v>29</v>
      </c>
      <c r="AD1266" s="3">
        <v>1</v>
      </c>
      <c r="AE1266" s="9">
        <v>1</v>
      </c>
      <c r="AF1266" s="9">
        <v>1</v>
      </c>
      <c r="AG1266" s="9">
        <v>1</v>
      </c>
      <c r="AH1266" s="3">
        <v>0</v>
      </c>
      <c r="AI1266" s="3">
        <v>0</v>
      </c>
      <c r="AJ1266" s="3">
        <v>1</v>
      </c>
      <c r="AK1266" s="3">
        <v>1</v>
      </c>
      <c r="AL1266" s="3">
        <v>0</v>
      </c>
      <c r="AM1266" s="3">
        <v>0</v>
      </c>
      <c r="AN1266" s="3">
        <v>0</v>
      </c>
      <c r="AO1266" s="3">
        <v>0</v>
      </c>
      <c r="AP1266" s="3">
        <v>0</v>
      </c>
      <c r="AQ1266" s="3">
        <v>0</v>
      </c>
      <c r="AR1266" s="2" t="s">
        <v>5</v>
      </c>
      <c r="AS1266" s="2" t="s">
        <v>46</v>
      </c>
      <c r="AT1266" s="5" t="str">
        <f>HYPERLINK("http://catalog.hathitrust.org/Record/101164339","HathiTrust Record")</f>
        <v>HathiTrust Record</v>
      </c>
      <c r="AU1266" s="5" t="str">
        <f>HYPERLINK("https://creighton-primo.hosted.exlibrisgroup.com/primo-explore/search?tab=default_tab&amp;search_scope=EVERYTHING&amp;vid=01CRU&amp;lang=en_US&amp;offset=0&amp;query=any,contains,991003834419702656","Catalog Record")</f>
        <v>Catalog Record</v>
      </c>
      <c r="AV1266" s="5" t="str">
        <f>HYPERLINK("http://www.worldcat.org/oclc/2137925","WorldCat Record")</f>
        <v>WorldCat Record</v>
      </c>
      <c r="AW1266" s="2" t="s">
        <v>15514</v>
      </c>
      <c r="AX1266" s="2" t="s">
        <v>15515</v>
      </c>
      <c r="AY1266" s="2" t="s">
        <v>15516</v>
      </c>
      <c r="AZ1266" s="2" t="s">
        <v>15516</v>
      </c>
      <c r="BA1266" s="2" t="s">
        <v>15517</v>
      </c>
      <c r="BB1266" s="2" t="s">
        <v>20</v>
      </c>
      <c r="BE1266" s="2" t="s">
        <v>15518</v>
      </c>
      <c r="BF1266" s="2" t="s">
        <v>15519</v>
      </c>
    </row>
    <row r="1267" spans="1:58" ht="39.75" customHeight="1" x14ac:dyDescent="0.25">
      <c r="A1267" s="7" t="s">
        <v>5</v>
      </c>
      <c r="B1267" s="1" t="s">
        <v>0</v>
      </c>
      <c r="C1267" s="1" t="s">
        <v>1</v>
      </c>
      <c r="D1267" s="1" t="s">
        <v>15520</v>
      </c>
      <c r="E1267" s="1" t="s">
        <v>15521</v>
      </c>
      <c r="F1267" s="1" t="s">
        <v>15522</v>
      </c>
      <c r="H1267" s="2" t="s">
        <v>5</v>
      </c>
      <c r="I1267" s="2" t="s">
        <v>6</v>
      </c>
      <c r="J1267" s="2" t="s">
        <v>5</v>
      </c>
      <c r="K1267" s="2" t="s">
        <v>5</v>
      </c>
      <c r="L1267" s="2" t="s">
        <v>7</v>
      </c>
      <c r="M1267" s="1" t="s">
        <v>15523</v>
      </c>
      <c r="N1267" s="1" t="s">
        <v>15524</v>
      </c>
      <c r="O1267" s="2" t="s">
        <v>108</v>
      </c>
      <c r="Q1267" s="2" t="s">
        <v>1151</v>
      </c>
      <c r="R1267" s="2" t="s">
        <v>4146</v>
      </c>
      <c r="S1267" s="1" t="s">
        <v>13612</v>
      </c>
      <c r="T1267" s="2" t="s">
        <v>13</v>
      </c>
      <c r="U1267" s="3">
        <v>1</v>
      </c>
      <c r="V1267" s="3">
        <v>1</v>
      </c>
      <c r="W1267" s="4" t="s">
        <v>1338</v>
      </c>
      <c r="X1267" s="4" t="s">
        <v>1338</v>
      </c>
      <c r="Y1267" s="4" t="s">
        <v>1338</v>
      </c>
      <c r="Z1267" s="4" t="s">
        <v>1338</v>
      </c>
      <c r="AA1267" s="3">
        <v>30</v>
      </c>
      <c r="AB1267" s="3">
        <v>23</v>
      </c>
      <c r="AC1267" s="3">
        <v>24</v>
      </c>
      <c r="AD1267" s="3">
        <v>2</v>
      </c>
      <c r="AE1267" s="9">
        <v>2</v>
      </c>
      <c r="AF1267" s="9">
        <v>1</v>
      </c>
      <c r="AG1267" s="9">
        <v>1</v>
      </c>
      <c r="AH1267" s="3">
        <v>0</v>
      </c>
      <c r="AI1267" s="3">
        <v>0</v>
      </c>
      <c r="AJ1267" s="3">
        <v>0</v>
      </c>
      <c r="AK1267" s="3">
        <v>0</v>
      </c>
      <c r="AL1267" s="3">
        <v>0</v>
      </c>
      <c r="AM1267" s="3">
        <v>0</v>
      </c>
      <c r="AN1267" s="3">
        <v>1</v>
      </c>
      <c r="AO1267" s="3">
        <v>1</v>
      </c>
      <c r="AP1267" s="3">
        <v>0</v>
      </c>
      <c r="AQ1267" s="3">
        <v>0</v>
      </c>
      <c r="AR1267" s="2" t="s">
        <v>5</v>
      </c>
      <c r="AS1267" s="2" t="s">
        <v>46</v>
      </c>
      <c r="AT1267" s="5" t="str">
        <f>HYPERLINK("http://catalog.hathitrust.org/Record/101164346","HathiTrust Record")</f>
        <v>HathiTrust Record</v>
      </c>
      <c r="AU1267" s="5" t="str">
        <f>HYPERLINK("https://creighton-primo.hosted.exlibrisgroup.com/primo-explore/search?tab=default_tab&amp;search_scope=EVERYTHING&amp;vid=01CRU&amp;lang=en_US&amp;offset=0&amp;query=any,contains,991003724189702656","Catalog Record")</f>
        <v>Catalog Record</v>
      </c>
      <c r="AV1267" s="5" t="str">
        <f>HYPERLINK("http://www.worldcat.org/oclc/2088064","WorldCat Record")</f>
        <v>WorldCat Record</v>
      </c>
      <c r="AW1267" s="2" t="s">
        <v>15525</v>
      </c>
      <c r="AX1267" s="2" t="s">
        <v>15526</v>
      </c>
      <c r="AY1267" s="2" t="s">
        <v>15527</v>
      </c>
      <c r="AZ1267" s="2" t="s">
        <v>15527</v>
      </c>
      <c r="BA1267" s="2" t="s">
        <v>15528</v>
      </c>
      <c r="BB1267" s="2" t="s">
        <v>20</v>
      </c>
      <c r="BE1267" s="2" t="s">
        <v>15529</v>
      </c>
      <c r="BF1267" s="2" t="s">
        <v>15530</v>
      </c>
    </row>
    <row r="1268" spans="1:58" ht="39.75" customHeight="1" x14ac:dyDescent="0.25">
      <c r="A1268" s="7" t="s">
        <v>5</v>
      </c>
      <c r="B1268" s="1" t="s">
        <v>0</v>
      </c>
      <c r="C1268" s="1" t="s">
        <v>1</v>
      </c>
      <c r="D1268" s="1" t="s">
        <v>15531</v>
      </c>
      <c r="E1268" s="1" t="s">
        <v>15532</v>
      </c>
      <c r="F1268" s="1" t="s">
        <v>15533</v>
      </c>
      <c r="H1268" s="2" t="s">
        <v>5</v>
      </c>
      <c r="I1268" s="2" t="s">
        <v>6</v>
      </c>
      <c r="J1268" s="2" t="s">
        <v>5</v>
      </c>
      <c r="K1268" s="2" t="s">
        <v>5</v>
      </c>
      <c r="L1268" s="2" t="s">
        <v>7</v>
      </c>
      <c r="N1268" s="1" t="s">
        <v>15534</v>
      </c>
      <c r="O1268" s="2" t="s">
        <v>1515</v>
      </c>
      <c r="Q1268" s="2" t="s">
        <v>1151</v>
      </c>
      <c r="R1268" s="2" t="s">
        <v>4146</v>
      </c>
      <c r="S1268" s="1" t="s">
        <v>15535</v>
      </c>
      <c r="T1268" s="2" t="s">
        <v>13</v>
      </c>
      <c r="U1268" s="3">
        <v>1</v>
      </c>
      <c r="V1268" s="3">
        <v>1</v>
      </c>
      <c r="W1268" s="4" t="s">
        <v>8972</v>
      </c>
      <c r="X1268" s="4" t="s">
        <v>8972</v>
      </c>
      <c r="Y1268" s="4" t="s">
        <v>8972</v>
      </c>
      <c r="Z1268" s="4" t="s">
        <v>8972</v>
      </c>
      <c r="AA1268" s="3">
        <v>58</v>
      </c>
      <c r="AB1268" s="3">
        <v>52</v>
      </c>
      <c r="AC1268" s="3">
        <v>80</v>
      </c>
      <c r="AD1268" s="3">
        <v>1</v>
      </c>
      <c r="AE1268" s="9">
        <v>1</v>
      </c>
      <c r="AF1268" s="9">
        <v>2</v>
      </c>
      <c r="AG1268" s="9">
        <v>3</v>
      </c>
      <c r="AH1268" s="3">
        <v>1</v>
      </c>
      <c r="AI1268" s="3">
        <v>1</v>
      </c>
      <c r="AJ1268" s="3">
        <v>1</v>
      </c>
      <c r="AK1268" s="3">
        <v>1</v>
      </c>
      <c r="AL1268" s="3">
        <v>0</v>
      </c>
      <c r="AM1268" s="3">
        <v>1</v>
      </c>
      <c r="AN1268" s="3">
        <v>0</v>
      </c>
      <c r="AO1268" s="3">
        <v>0</v>
      </c>
      <c r="AP1268" s="3">
        <v>0</v>
      </c>
      <c r="AQ1268" s="3">
        <v>0</v>
      </c>
      <c r="AR1268" s="2" t="s">
        <v>5</v>
      </c>
      <c r="AS1268" s="2" t="s">
        <v>46</v>
      </c>
      <c r="AT1268" s="5" t="str">
        <f>HYPERLINK("http://catalog.hathitrust.org/Record/006717085","HathiTrust Record")</f>
        <v>HathiTrust Record</v>
      </c>
      <c r="AU1268" s="5" t="str">
        <f>HYPERLINK("https://creighton-primo.hosted.exlibrisgroup.com/primo-explore/search?tab=default_tab&amp;search_scope=EVERYTHING&amp;vid=01CRU&amp;lang=en_US&amp;offset=0&amp;query=any,contains,991003870379702656","Catalog Record")</f>
        <v>Catalog Record</v>
      </c>
      <c r="AV1268" s="5" t="str">
        <f>HYPERLINK("http://www.worldcat.org/oclc/9694965","WorldCat Record")</f>
        <v>WorldCat Record</v>
      </c>
      <c r="AW1268" s="2" t="s">
        <v>15536</v>
      </c>
      <c r="AX1268" s="2" t="s">
        <v>15537</v>
      </c>
      <c r="AY1268" s="2" t="s">
        <v>15538</v>
      </c>
      <c r="AZ1268" s="2" t="s">
        <v>15538</v>
      </c>
      <c r="BA1268" s="2" t="s">
        <v>15539</v>
      </c>
      <c r="BB1268" s="2" t="s">
        <v>20</v>
      </c>
      <c r="BE1268" s="2" t="s">
        <v>15540</v>
      </c>
      <c r="BF1268" s="2" t="s">
        <v>15541</v>
      </c>
    </row>
    <row r="1269" spans="1:58" ht="39.75" customHeight="1" x14ac:dyDescent="0.25">
      <c r="A1269" s="7" t="s">
        <v>5</v>
      </c>
      <c r="B1269" s="1" t="s">
        <v>0</v>
      </c>
      <c r="C1269" s="1" t="s">
        <v>1</v>
      </c>
      <c r="D1269" s="1" t="s">
        <v>15542</v>
      </c>
      <c r="E1269" s="1" t="s">
        <v>15543</v>
      </c>
      <c r="F1269" s="1" t="s">
        <v>15544</v>
      </c>
      <c r="H1269" s="2" t="s">
        <v>5</v>
      </c>
      <c r="I1269" s="2" t="s">
        <v>6</v>
      </c>
      <c r="J1269" s="2" t="s">
        <v>5</v>
      </c>
      <c r="K1269" s="2" t="s">
        <v>5</v>
      </c>
      <c r="L1269" s="2" t="s">
        <v>7</v>
      </c>
      <c r="M1269" s="1" t="s">
        <v>15511</v>
      </c>
      <c r="N1269" s="1" t="s">
        <v>15545</v>
      </c>
      <c r="O1269" s="2" t="s">
        <v>1273</v>
      </c>
      <c r="Q1269" s="2" t="s">
        <v>1151</v>
      </c>
      <c r="R1269" s="2" t="s">
        <v>4146</v>
      </c>
      <c r="S1269" s="1" t="s">
        <v>15546</v>
      </c>
      <c r="T1269" s="2" t="s">
        <v>13</v>
      </c>
      <c r="U1269" s="3">
        <v>1</v>
      </c>
      <c r="V1269" s="3">
        <v>1</v>
      </c>
      <c r="W1269" s="4" t="s">
        <v>10532</v>
      </c>
      <c r="X1269" s="4" t="s">
        <v>10532</v>
      </c>
      <c r="Y1269" s="4" t="s">
        <v>10532</v>
      </c>
      <c r="Z1269" s="4" t="s">
        <v>10532</v>
      </c>
      <c r="AA1269" s="3">
        <v>128</v>
      </c>
      <c r="AB1269" s="3">
        <v>91</v>
      </c>
      <c r="AC1269" s="3">
        <v>93</v>
      </c>
      <c r="AD1269" s="3">
        <v>2</v>
      </c>
      <c r="AE1269" s="9">
        <v>2</v>
      </c>
      <c r="AF1269" s="9">
        <v>5</v>
      </c>
      <c r="AG1269" s="9">
        <v>5</v>
      </c>
      <c r="AH1269" s="3">
        <v>0</v>
      </c>
      <c r="AI1269" s="3">
        <v>0</v>
      </c>
      <c r="AJ1269" s="3">
        <v>3</v>
      </c>
      <c r="AK1269" s="3">
        <v>3</v>
      </c>
      <c r="AL1269" s="3">
        <v>3</v>
      </c>
      <c r="AM1269" s="3">
        <v>3</v>
      </c>
      <c r="AN1269" s="3">
        <v>1</v>
      </c>
      <c r="AO1269" s="3">
        <v>1</v>
      </c>
      <c r="AP1269" s="3">
        <v>0</v>
      </c>
      <c r="AQ1269" s="3">
        <v>0</v>
      </c>
      <c r="AR1269" s="2" t="s">
        <v>5</v>
      </c>
      <c r="AS1269" s="2" t="s">
        <v>46</v>
      </c>
      <c r="AT1269" s="5" t="str">
        <f>HYPERLINK("http://catalog.hathitrust.org/Record/002879844","HathiTrust Record")</f>
        <v>HathiTrust Record</v>
      </c>
      <c r="AU1269" s="5" t="str">
        <f>HYPERLINK("https://creighton-primo.hosted.exlibrisgroup.com/primo-explore/search?tab=default_tab&amp;search_scope=EVERYTHING&amp;vid=01CRU&amp;lang=en_US&amp;offset=0&amp;query=any,contains,991003681619702656","Catalog Record")</f>
        <v>Catalog Record</v>
      </c>
      <c r="AV1269" s="5" t="str">
        <f>HYPERLINK("http://www.worldcat.org/oclc/15543274","WorldCat Record")</f>
        <v>WorldCat Record</v>
      </c>
      <c r="AW1269" s="2" t="s">
        <v>15547</v>
      </c>
      <c r="AX1269" s="2" t="s">
        <v>15548</v>
      </c>
      <c r="AY1269" s="2" t="s">
        <v>15549</v>
      </c>
      <c r="AZ1269" s="2" t="s">
        <v>15549</v>
      </c>
      <c r="BA1269" s="2" t="s">
        <v>15550</v>
      </c>
      <c r="BB1269" s="2" t="s">
        <v>20</v>
      </c>
      <c r="BD1269" s="2" t="s">
        <v>15551</v>
      </c>
      <c r="BE1269" s="2" t="s">
        <v>15552</v>
      </c>
      <c r="BF1269" s="2" t="s">
        <v>15553</v>
      </c>
    </row>
    <row r="1270" spans="1:58" ht="39.75" customHeight="1" x14ac:dyDescent="0.25">
      <c r="A1270" s="7" t="s">
        <v>5</v>
      </c>
      <c r="B1270" s="1" t="s">
        <v>0</v>
      </c>
      <c r="C1270" s="1" t="s">
        <v>1</v>
      </c>
      <c r="D1270" s="1" t="s">
        <v>15554</v>
      </c>
      <c r="E1270" s="1" t="s">
        <v>15555</v>
      </c>
      <c r="F1270" s="1" t="s">
        <v>15556</v>
      </c>
      <c r="H1270" s="2" t="s">
        <v>5</v>
      </c>
      <c r="I1270" s="2" t="s">
        <v>6</v>
      </c>
      <c r="J1270" s="2" t="s">
        <v>5</v>
      </c>
      <c r="K1270" s="2" t="s">
        <v>5</v>
      </c>
      <c r="L1270" s="2" t="s">
        <v>7</v>
      </c>
      <c r="M1270" s="1" t="s">
        <v>14639</v>
      </c>
      <c r="N1270" s="1" t="s">
        <v>15557</v>
      </c>
      <c r="O1270" s="2" t="s">
        <v>192</v>
      </c>
      <c r="P1270" s="1" t="s">
        <v>15558</v>
      </c>
      <c r="Q1270" s="2" t="s">
        <v>1151</v>
      </c>
      <c r="R1270" s="2" t="s">
        <v>1152</v>
      </c>
      <c r="T1270" s="2" t="s">
        <v>13</v>
      </c>
      <c r="U1270" s="3">
        <v>1</v>
      </c>
      <c r="V1270" s="3">
        <v>1</v>
      </c>
      <c r="W1270" s="4" t="s">
        <v>8667</v>
      </c>
      <c r="X1270" s="4" t="s">
        <v>8667</v>
      </c>
      <c r="Y1270" s="4" t="s">
        <v>8667</v>
      </c>
      <c r="Z1270" s="4" t="s">
        <v>8667</v>
      </c>
      <c r="AA1270" s="3">
        <v>79</v>
      </c>
      <c r="AB1270" s="3">
        <v>70</v>
      </c>
      <c r="AC1270" s="3">
        <v>108</v>
      </c>
      <c r="AD1270" s="3">
        <v>3</v>
      </c>
      <c r="AE1270" s="9">
        <v>3</v>
      </c>
      <c r="AF1270" s="9">
        <v>6</v>
      </c>
      <c r="AG1270" s="9">
        <v>6</v>
      </c>
      <c r="AH1270" s="3">
        <v>0</v>
      </c>
      <c r="AI1270" s="3">
        <v>0</v>
      </c>
      <c r="AJ1270" s="3">
        <v>2</v>
      </c>
      <c r="AK1270" s="3">
        <v>2</v>
      </c>
      <c r="AL1270" s="3">
        <v>2</v>
      </c>
      <c r="AM1270" s="3">
        <v>2</v>
      </c>
      <c r="AN1270" s="3">
        <v>2</v>
      </c>
      <c r="AO1270" s="3">
        <v>2</v>
      </c>
      <c r="AP1270" s="3">
        <v>0</v>
      </c>
      <c r="AQ1270" s="3">
        <v>0</v>
      </c>
      <c r="AR1270" s="2" t="s">
        <v>5</v>
      </c>
      <c r="AS1270" s="2" t="s">
        <v>46</v>
      </c>
      <c r="AT1270" s="5" t="str">
        <f>HYPERLINK("http://catalog.hathitrust.org/Record/007347606","HathiTrust Record")</f>
        <v>HathiTrust Record</v>
      </c>
      <c r="AU1270" s="5" t="str">
        <f>HYPERLINK("https://creighton-primo.hosted.exlibrisgroup.com/primo-explore/search?tab=default_tab&amp;search_scope=EVERYTHING&amp;vid=01CRU&amp;lang=en_US&amp;offset=0&amp;query=any,contains,991004339899702656","Catalog Record")</f>
        <v>Catalog Record</v>
      </c>
      <c r="AV1270" s="5" t="str">
        <f>HYPERLINK("http://www.worldcat.org/oclc/2170577","WorldCat Record")</f>
        <v>WorldCat Record</v>
      </c>
      <c r="AW1270" s="2" t="s">
        <v>15559</v>
      </c>
      <c r="AX1270" s="2" t="s">
        <v>15560</v>
      </c>
      <c r="AY1270" s="2" t="s">
        <v>15561</v>
      </c>
      <c r="AZ1270" s="2" t="s">
        <v>15561</v>
      </c>
      <c r="BA1270" s="2" t="s">
        <v>15562</v>
      </c>
      <c r="BB1270" s="2" t="s">
        <v>20</v>
      </c>
      <c r="BE1270" s="2" t="s">
        <v>15563</v>
      </c>
      <c r="BF1270" s="2" t="s">
        <v>15564</v>
      </c>
    </row>
    <row r="1271" spans="1:58" ht="39.75" customHeight="1" x14ac:dyDescent="0.25">
      <c r="A1271" s="7" t="s">
        <v>5</v>
      </c>
      <c r="B1271" s="1" t="s">
        <v>0</v>
      </c>
      <c r="C1271" s="1" t="s">
        <v>1</v>
      </c>
      <c r="D1271" s="1" t="s">
        <v>15565</v>
      </c>
      <c r="E1271" s="1" t="s">
        <v>15566</v>
      </c>
      <c r="F1271" s="1" t="s">
        <v>15567</v>
      </c>
      <c r="H1271" s="2" t="s">
        <v>5</v>
      </c>
      <c r="I1271" s="2" t="s">
        <v>6</v>
      </c>
      <c r="J1271" s="2" t="s">
        <v>5</v>
      </c>
      <c r="K1271" s="2" t="s">
        <v>5</v>
      </c>
      <c r="L1271" s="2" t="s">
        <v>7</v>
      </c>
      <c r="M1271" s="1" t="s">
        <v>14639</v>
      </c>
      <c r="N1271" s="1" t="s">
        <v>15568</v>
      </c>
      <c r="O1271" s="2" t="s">
        <v>421</v>
      </c>
      <c r="Q1271" s="2" t="s">
        <v>1151</v>
      </c>
      <c r="R1271" s="2" t="s">
        <v>4146</v>
      </c>
      <c r="S1271" s="1" t="s">
        <v>15569</v>
      </c>
      <c r="T1271" s="2" t="s">
        <v>13</v>
      </c>
      <c r="U1271" s="3">
        <v>1</v>
      </c>
      <c r="V1271" s="3">
        <v>1</v>
      </c>
      <c r="W1271" s="4" t="s">
        <v>10532</v>
      </c>
      <c r="X1271" s="4" t="s">
        <v>10532</v>
      </c>
      <c r="Y1271" s="4" t="s">
        <v>10532</v>
      </c>
      <c r="Z1271" s="4" t="s">
        <v>10532</v>
      </c>
      <c r="AA1271" s="3">
        <v>162</v>
      </c>
      <c r="AB1271" s="3">
        <v>119</v>
      </c>
      <c r="AC1271" s="3">
        <v>122</v>
      </c>
      <c r="AD1271" s="3">
        <v>2</v>
      </c>
      <c r="AE1271" s="9">
        <v>2</v>
      </c>
      <c r="AF1271" s="9">
        <v>7</v>
      </c>
      <c r="AG1271" s="9">
        <v>7</v>
      </c>
      <c r="AH1271" s="3">
        <v>0</v>
      </c>
      <c r="AI1271" s="3">
        <v>0</v>
      </c>
      <c r="AJ1271" s="3">
        <v>4</v>
      </c>
      <c r="AK1271" s="3">
        <v>4</v>
      </c>
      <c r="AL1271" s="3">
        <v>4</v>
      </c>
      <c r="AM1271" s="3">
        <v>4</v>
      </c>
      <c r="AN1271" s="3">
        <v>1</v>
      </c>
      <c r="AO1271" s="3">
        <v>1</v>
      </c>
      <c r="AP1271" s="3">
        <v>0</v>
      </c>
      <c r="AQ1271" s="3">
        <v>0</v>
      </c>
      <c r="AR1271" s="2" t="s">
        <v>5</v>
      </c>
      <c r="AS1271" s="2" t="s">
        <v>46</v>
      </c>
      <c r="AT1271" s="5" t="str">
        <f>HYPERLINK("http://catalog.hathitrust.org/Record/000881627","HathiTrust Record")</f>
        <v>HathiTrust Record</v>
      </c>
      <c r="AU1271" s="5" t="str">
        <f>HYPERLINK("https://creighton-primo.hosted.exlibrisgroup.com/primo-explore/search?tab=default_tab&amp;search_scope=EVERYTHING&amp;vid=01CRU&amp;lang=en_US&amp;offset=0&amp;query=any,contains,991003681679702656","Catalog Record")</f>
        <v>Catalog Record</v>
      </c>
      <c r="AV1271" s="5" t="str">
        <f>HYPERLINK("http://www.worldcat.org/oclc/10802644","WorldCat Record")</f>
        <v>WorldCat Record</v>
      </c>
      <c r="AW1271" s="2" t="s">
        <v>15570</v>
      </c>
      <c r="AX1271" s="2" t="s">
        <v>15571</v>
      </c>
      <c r="AY1271" s="2" t="s">
        <v>15572</v>
      </c>
      <c r="AZ1271" s="2" t="s">
        <v>15572</v>
      </c>
      <c r="BA1271" s="2" t="s">
        <v>15573</v>
      </c>
      <c r="BB1271" s="2" t="s">
        <v>20</v>
      </c>
      <c r="BD1271" s="2" t="s">
        <v>15574</v>
      </c>
      <c r="BE1271" s="2" t="s">
        <v>15575</v>
      </c>
      <c r="BF1271" s="2" t="s">
        <v>15576</v>
      </c>
    </row>
    <row r="1272" spans="1:58" ht="39.75" customHeight="1" x14ac:dyDescent="0.25">
      <c r="A1272" s="7" t="s">
        <v>5</v>
      </c>
      <c r="B1272" s="1" t="s">
        <v>0</v>
      </c>
      <c r="C1272" s="1" t="s">
        <v>1</v>
      </c>
      <c r="D1272" s="1" t="s">
        <v>15577</v>
      </c>
      <c r="E1272" s="1" t="s">
        <v>15578</v>
      </c>
      <c r="F1272" s="1" t="s">
        <v>15579</v>
      </c>
      <c r="H1272" s="2" t="s">
        <v>5</v>
      </c>
      <c r="I1272" s="2" t="s">
        <v>6</v>
      </c>
      <c r="J1272" s="2" t="s">
        <v>5</v>
      </c>
      <c r="K1272" s="2" t="s">
        <v>5</v>
      </c>
      <c r="L1272" s="2" t="s">
        <v>7</v>
      </c>
      <c r="M1272" s="1" t="s">
        <v>15580</v>
      </c>
      <c r="N1272" s="1" t="s">
        <v>14976</v>
      </c>
      <c r="O1272" s="2" t="s">
        <v>276</v>
      </c>
      <c r="P1272" s="1" t="s">
        <v>15581</v>
      </c>
      <c r="Q1272" s="2" t="s">
        <v>1151</v>
      </c>
      <c r="R1272" s="2" t="s">
        <v>4146</v>
      </c>
      <c r="S1272" s="1" t="s">
        <v>15582</v>
      </c>
      <c r="T1272" s="2" t="s">
        <v>13</v>
      </c>
      <c r="U1272" s="3">
        <v>1</v>
      </c>
      <c r="V1272" s="3">
        <v>1</v>
      </c>
      <c r="W1272" s="4" t="s">
        <v>8667</v>
      </c>
      <c r="X1272" s="4" t="s">
        <v>8667</v>
      </c>
      <c r="Y1272" s="4" t="s">
        <v>8667</v>
      </c>
      <c r="Z1272" s="4" t="s">
        <v>8667</v>
      </c>
      <c r="AA1272" s="3">
        <v>12</v>
      </c>
      <c r="AB1272" s="3">
        <v>10</v>
      </c>
      <c r="AC1272" s="3">
        <v>34</v>
      </c>
      <c r="AD1272" s="3">
        <v>2</v>
      </c>
      <c r="AE1272" s="9">
        <v>2</v>
      </c>
      <c r="AF1272" s="9">
        <v>2</v>
      </c>
      <c r="AG1272" s="9">
        <v>2</v>
      </c>
      <c r="AH1272" s="3">
        <v>0</v>
      </c>
      <c r="AI1272" s="3">
        <v>0</v>
      </c>
      <c r="AJ1272" s="3">
        <v>0</v>
      </c>
      <c r="AK1272" s="3">
        <v>0</v>
      </c>
      <c r="AL1272" s="3">
        <v>1</v>
      </c>
      <c r="AM1272" s="3">
        <v>1</v>
      </c>
      <c r="AN1272" s="3">
        <v>1</v>
      </c>
      <c r="AO1272" s="3">
        <v>1</v>
      </c>
      <c r="AP1272" s="3">
        <v>0</v>
      </c>
      <c r="AQ1272" s="3">
        <v>0</v>
      </c>
      <c r="AR1272" s="2" t="s">
        <v>5</v>
      </c>
      <c r="AS1272" s="2" t="s">
        <v>5</v>
      </c>
      <c r="AU1272" s="5" t="str">
        <f>HYPERLINK("https://creighton-primo.hosted.exlibrisgroup.com/primo-explore/search?tab=default_tab&amp;search_scope=EVERYTHING&amp;vid=01CRU&amp;lang=en_US&amp;offset=0&amp;query=any,contains,991004341549702656","Catalog Record")</f>
        <v>Catalog Record</v>
      </c>
      <c r="AV1272" s="5" t="str">
        <f>HYPERLINK("http://www.worldcat.org/oclc/3083877","WorldCat Record")</f>
        <v>WorldCat Record</v>
      </c>
      <c r="AW1272" s="2" t="s">
        <v>15583</v>
      </c>
      <c r="AX1272" s="2" t="s">
        <v>15584</v>
      </c>
      <c r="AY1272" s="2" t="s">
        <v>15585</v>
      </c>
      <c r="AZ1272" s="2" t="s">
        <v>15585</v>
      </c>
      <c r="BA1272" s="2" t="s">
        <v>15586</v>
      </c>
      <c r="BB1272" s="2" t="s">
        <v>20</v>
      </c>
      <c r="BE1272" s="2" t="s">
        <v>15587</v>
      </c>
      <c r="BF1272" s="2" t="s">
        <v>15588</v>
      </c>
    </row>
    <row r="1273" spans="1:58" ht="39.75" customHeight="1" x14ac:dyDescent="0.25">
      <c r="A1273" s="7" t="s">
        <v>5</v>
      </c>
      <c r="B1273" s="1" t="s">
        <v>0</v>
      </c>
      <c r="C1273" s="1" t="s">
        <v>1</v>
      </c>
      <c r="D1273" s="1" t="s">
        <v>15589</v>
      </c>
      <c r="E1273" s="1" t="s">
        <v>15590</v>
      </c>
      <c r="F1273" s="1" t="s">
        <v>15591</v>
      </c>
      <c r="H1273" s="2" t="s">
        <v>5</v>
      </c>
      <c r="I1273" s="2" t="s">
        <v>6</v>
      </c>
      <c r="J1273" s="2" t="s">
        <v>5</v>
      </c>
      <c r="K1273" s="2" t="s">
        <v>5</v>
      </c>
      <c r="L1273" s="2" t="s">
        <v>7</v>
      </c>
      <c r="M1273" s="1" t="s">
        <v>15592</v>
      </c>
      <c r="N1273" s="1" t="s">
        <v>15593</v>
      </c>
      <c r="O1273" s="2" t="s">
        <v>1418</v>
      </c>
      <c r="Q1273" s="2" t="s">
        <v>1151</v>
      </c>
      <c r="R1273" s="2" t="s">
        <v>4146</v>
      </c>
      <c r="S1273" s="1" t="s">
        <v>9800</v>
      </c>
      <c r="T1273" s="2" t="s">
        <v>13</v>
      </c>
      <c r="U1273" s="3">
        <v>1</v>
      </c>
      <c r="V1273" s="3">
        <v>1</v>
      </c>
      <c r="W1273" s="4" t="s">
        <v>11744</v>
      </c>
      <c r="X1273" s="4" t="s">
        <v>11744</v>
      </c>
      <c r="Y1273" s="4" t="s">
        <v>11744</v>
      </c>
      <c r="Z1273" s="4" t="s">
        <v>11744</v>
      </c>
      <c r="AA1273" s="3">
        <v>97</v>
      </c>
      <c r="AB1273" s="3">
        <v>75</v>
      </c>
      <c r="AC1273" s="3">
        <v>78</v>
      </c>
      <c r="AD1273" s="3">
        <v>2</v>
      </c>
      <c r="AE1273" s="9">
        <v>2</v>
      </c>
      <c r="AF1273" s="9">
        <v>1</v>
      </c>
      <c r="AG1273" s="9">
        <v>1</v>
      </c>
      <c r="AH1273" s="3">
        <v>0</v>
      </c>
      <c r="AI1273" s="3">
        <v>0</v>
      </c>
      <c r="AJ1273" s="3">
        <v>0</v>
      </c>
      <c r="AK1273" s="3">
        <v>0</v>
      </c>
      <c r="AL1273" s="3">
        <v>0</v>
      </c>
      <c r="AM1273" s="3">
        <v>0</v>
      </c>
      <c r="AN1273" s="3">
        <v>1</v>
      </c>
      <c r="AO1273" s="3">
        <v>1</v>
      </c>
      <c r="AP1273" s="3">
        <v>0</v>
      </c>
      <c r="AQ1273" s="3">
        <v>0</v>
      </c>
      <c r="AR1273" s="2" t="s">
        <v>5</v>
      </c>
      <c r="AS1273" s="2" t="s">
        <v>46</v>
      </c>
      <c r="AT1273" s="5" t="str">
        <f>HYPERLINK("http://catalog.hathitrust.org/Record/001056184","HathiTrust Record")</f>
        <v>HathiTrust Record</v>
      </c>
      <c r="AU1273" s="5" t="str">
        <f>HYPERLINK("https://creighton-primo.hosted.exlibrisgroup.com/primo-explore/search?tab=default_tab&amp;search_scope=EVERYTHING&amp;vid=01CRU&amp;lang=en_US&amp;offset=0&amp;query=any,contains,991003817949702656","Catalog Record")</f>
        <v>Catalog Record</v>
      </c>
      <c r="AV1273" s="5" t="str">
        <f>HYPERLINK("http://www.worldcat.org/oclc/785221","WorldCat Record")</f>
        <v>WorldCat Record</v>
      </c>
      <c r="AW1273" s="2" t="s">
        <v>15594</v>
      </c>
      <c r="AX1273" s="2" t="s">
        <v>15595</v>
      </c>
      <c r="AY1273" s="2" t="s">
        <v>15596</v>
      </c>
      <c r="AZ1273" s="2" t="s">
        <v>15596</v>
      </c>
      <c r="BA1273" s="2" t="s">
        <v>15597</v>
      </c>
      <c r="BB1273" s="2" t="s">
        <v>20</v>
      </c>
      <c r="BE1273" s="2" t="s">
        <v>15598</v>
      </c>
      <c r="BF1273" s="2" t="s">
        <v>15599</v>
      </c>
    </row>
    <row r="1274" spans="1:58" ht="39.75" customHeight="1" x14ac:dyDescent="0.25">
      <c r="A1274" s="7" t="s">
        <v>5</v>
      </c>
      <c r="B1274" s="1" t="s">
        <v>0</v>
      </c>
      <c r="C1274" s="1" t="s">
        <v>1</v>
      </c>
      <c r="D1274" s="1" t="s">
        <v>15600</v>
      </c>
      <c r="E1274" s="1" t="s">
        <v>15601</v>
      </c>
      <c r="F1274" s="1" t="s">
        <v>15602</v>
      </c>
      <c r="H1274" s="2" t="s">
        <v>5</v>
      </c>
      <c r="I1274" s="2" t="s">
        <v>6</v>
      </c>
      <c r="J1274" s="2" t="s">
        <v>5</v>
      </c>
      <c r="K1274" s="2" t="s">
        <v>5</v>
      </c>
      <c r="L1274" s="2" t="s">
        <v>7</v>
      </c>
      <c r="M1274" s="1" t="s">
        <v>10329</v>
      </c>
      <c r="N1274" s="1" t="s">
        <v>15603</v>
      </c>
      <c r="O1274" s="2" t="s">
        <v>121</v>
      </c>
      <c r="P1274" s="1" t="s">
        <v>6878</v>
      </c>
      <c r="Q1274" s="2" t="s">
        <v>1151</v>
      </c>
      <c r="R1274" s="2" t="s">
        <v>5403</v>
      </c>
      <c r="S1274" s="1" t="s">
        <v>15604</v>
      </c>
      <c r="T1274" s="2" t="s">
        <v>13</v>
      </c>
      <c r="U1274" s="3">
        <v>1</v>
      </c>
      <c r="V1274" s="3">
        <v>1</v>
      </c>
      <c r="W1274" s="4" t="s">
        <v>8667</v>
      </c>
      <c r="X1274" s="4" t="s">
        <v>8667</v>
      </c>
      <c r="Y1274" s="4" t="s">
        <v>8667</v>
      </c>
      <c r="Z1274" s="4" t="s">
        <v>8667</v>
      </c>
      <c r="AA1274" s="3">
        <v>216</v>
      </c>
      <c r="AB1274" s="3">
        <v>165</v>
      </c>
      <c r="AC1274" s="3">
        <v>172</v>
      </c>
      <c r="AD1274" s="3">
        <v>1</v>
      </c>
      <c r="AE1274" s="9">
        <v>1</v>
      </c>
      <c r="AF1274" s="9">
        <v>6</v>
      </c>
      <c r="AG1274" s="9">
        <v>6</v>
      </c>
      <c r="AH1274" s="3">
        <v>1</v>
      </c>
      <c r="AI1274" s="3">
        <v>1</v>
      </c>
      <c r="AJ1274" s="3">
        <v>3</v>
      </c>
      <c r="AK1274" s="3">
        <v>3</v>
      </c>
      <c r="AL1274" s="3">
        <v>4</v>
      </c>
      <c r="AM1274" s="3">
        <v>4</v>
      </c>
      <c r="AN1274" s="3">
        <v>0</v>
      </c>
      <c r="AO1274" s="3">
        <v>0</v>
      </c>
      <c r="AP1274" s="3">
        <v>0</v>
      </c>
      <c r="AQ1274" s="3">
        <v>0</v>
      </c>
      <c r="AR1274" s="2" t="s">
        <v>5</v>
      </c>
      <c r="AS1274" s="2" t="s">
        <v>46</v>
      </c>
      <c r="AT1274" s="5" t="str">
        <f>HYPERLINK("http://catalog.hathitrust.org/Record/001972375","HathiTrust Record")</f>
        <v>HathiTrust Record</v>
      </c>
      <c r="AU1274" s="5" t="str">
        <f>HYPERLINK("https://creighton-primo.hosted.exlibrisgroup.com/primo-explore/search?tab=default_tab&amp;search_scope=EVERYTHING&amp;vid=01CRU&amp;lang=en_US&amp;offset=0&amp;query=any,contains,991004339569702656","Catalog Record")</f>
        <v>Catalog Record</v>
      </c>
      <c r="AV1274" s="5" t="str">
        <f>HYPERLINK("http://www.worldcat.org/oclc/1123596","WorldCat Record")</f>
        <v>WorldCat Record</v>
      </c>
      <c r="AW1274" s="2" t="s">
        <v>15605</v>
      </c>
      <c r="AX1274" s="2" t="s">
        <v>15606</v>
      </c>
      <c r="AY1274" s="2" t="s">
        <v>15607</v>
      </c>
      <c r="AZ1274" s="2" t="s">
        <v>15607</v>
      </c>
      <c r="BA1274" s="2" t="s">
        <v>15608</v>
      </c>
      <c r="BB1274" s="2" t="s">
        <v>20</v>
      </c>
      <c r="BE1274" s="2" t="s">
        <v>15609</v>
      </c>
      <c r="BF1274" s="2" t="s">
        <v>15610</v>
      </c>
    </row>
    <row r="1275" spans="1:58" ht="39.75" customHeight="1" x14ac:dyDescent="0.25">
      <c r="A1275" s="7" t="s">
        <v>5</v>
      </c>
      <c r="B1275" s="1" t="s">
        <v>0</v>
      </c>
      <c r="C1275" s="1" t="s">
        <v>1</v>
      </c>
      <c r="D1275" s="1" t="s">
        <v>15611</v>
      </c>
      <c r="E1275" s="1" t="s">
        <v>15612</v>
      </c>
      <c r="F1275" s="1" t="s">
        <v>15613</v>
      </c>
      <c r="H1275" s="2" t="s">
        <v>5</v>
      </c>
      <c r="I1275" s="2" t="s">
        <v>6</v>
      </c>
      <c r="J1275" s="2" t="s">
        <v>5</v>
      </c>
      <c r="K1275" s="2" t="s">
        <v>5</v>
      </c>
      <c r="L1275" s="2" t="s">
        <v>7</v>
      </c>
      <c r="M1275" s="1" t="s">
        <v>10329</v>
      </c>
      <c r="N1275" s="1" t="s">
        <v>15614</v>
      </c>
      <c r="O1275" s="2" t="s">
        <v>494</v>
      </c>
      <c r="Q1275" s="2" t="s">
        <v>1151</v>
      </c>
      <c r="R1275" s="2" t="s">
        <v>4146</v>
      </c>
      <c r="S1275" s="1" t="s">
        <v>15340</v>
      </c>
      <c r="T1275" s="2" t="s">
        <v>13</v>
      </c>
      <c r="U1275" s="3">
        <v>1</v>
      </c>
      <c r="V1275" s="3">
        <v>1</v>
      </c>
      <c r="W1275" s="4" t="s">
        <v>8284</v>
      </c>
      <c r="X1275" s="4" t="s">
        <v>8284</v>
      </c>
      <c r="Y1275" s="4" t="s">
        <v>8284</v>
      </c>
      <c r="Z1275" s="4" t="s">
        <v>8284</v>
      </c>
      <c r="AA1275" s="3">
        <v>90</v>
      </c>
      <c r="AB1275" s="3">
        <v>71</v>
      </c>
      <c r="AC1275" s="3">
        <v>96</v>
      </c>
      <c r="AD1275" s="3">
        <v>1</v>
      </c>
      <c r="AE1275" s="9">
        <v>1</v>
      </c>
      <c r="AF1275" s="9">
        <v>3</v>
      </c>
      <c r="AG1275" s="9">
        <v>3</v>
      </c>
      <c r="AH1275" s="3">
        <v>1</v>
      </c>
      <c r="AI1275" s="3">
        <v>1</v>
      </c>
      <c r="AJ1275" s="3">
        <v>2</v>
      </c>
      <c r="AK1275" s="3">
        <v>2</v>
      </c>
      <c r="AL1275" s="3">
        <v>1</v>
      </c>
      <c r="AM1275" s="3">
        <v>1</v>
      </c>
      <c r="AN1275" s="3">
        <v>0</v>
      </c>
      <c r="AO1275" s="3">
        <v>0</v>
      </c>
      <c r="AP1275" s="3">
        <v>0</v>
      </c>
      <c r="AQ1275" s="3">
        <v>0</v>
      </c>
      <c r="AR1275" s="2" t="s">
        <v>5</v>
      </c>
      <c r="AS1275" s="2" t="s">
        <v>46</v>
      </c>
      <c r="AT1275" s="5" t="str">
        <f>HYPERLINK("http://catalog.hathitrust.org/Record/007863330","HathiTrust Record")</f>
        <v>HathiTrust Record</v>
      </c>
      <c r="AU1275" s="5" t="str">
        <f>HYPERLINK("https://creighton-primo.hosted.exlibrisgroup.com/primo-explore/search?tab=default_tab&amp;search_scope=EVERYTHING&amp;vid=01CRU&amp;lang=en_US&amp;offset=0&amp;query=any,contains,991003750499702656","Catalog Record")</f>
        <v>Catalog Record</v>
      </c>
      <c r="AV1275" s="5" t="str">
        <f>HYPERLINK("http://www.worldcat.org/oclc/5173389","WorldCat Record")</f>
        <v>WorldCat Record</v>
      </c>
      <c r="AW1275" s="2" t="s">
        <v>15615</v>
      </c>
      <c r="AX1275" s="2" t="s">
        <v>15616</v>
      </c>
      <c r="AY1275" s="2" t="s">
        <v>15617</v>
      </c>
      <c r="AZ1275" s="2" t="s">
        <v>15617</v>
      </c>
      <c r="BA1275" s="2" t="s">
        <v>15618</v>
      </c>
      <c r="BB1275" s="2" t="s">
        <v>20</v>
      </c>
      <c r="BE1275" s="2" t="s">
        <v>15619</v>
      </c>
      <c r="BF1275" s="2" t="s">
        <v>15620</v>
      </c>
    </row>
    <row r="1276" spans="1:58" ht="39.75" customHeight="1" x14ac:dyDescent="0.25">
      <c r="A1276" s="7" t="s">
        <v>5</v>
      </c>
      <c r="B1276" s="1" t="s">
        <v>0</v>
      </c>
      <c r="C1276" s="1" t="s">
        <v>1</v>
      </c>
      <c r="D1276" s="1" t="s">
        <v>15621</v>
      </c>
      <c r="E1276" s="1" t="s">
        <v>15622</v>
      </c>
      <c r="F1276" s="1" t="s">
        <v>15623</v>
      </c>
      <c r="H1276" s="2" t="s">
        <v>5</v>
      </c>
      <c r="I1276" s="2" t="s">
        <v>6</v>
      </c>
      <c r="J1276" s="2" t="s">
        <v>5</v>
      </c>
      <c r="K1276" s="2" t="s">
        <v>5</v>
      </c>
      <c r="L1276" s="2" t="s">
        <v>7</v>
      </c>
      <c r="M1276" s="1" t="s">
        <v>10329</v>
      </c>
      <c r="N1276" s="1" t="s">
        <v>15624</v>
      </c>
      <c r="O1276" s="2" t="s">
        <v>995</v>
      </c>
      <c r="P1276" s="1" t="s">
        <v>5359</v>
      </c>
      <c r="Q1276" s="2" t="s">
        <v>1151</v>
      </c>
      <c r="R1276" s="2" t="s">
        <v>1152</v>
      </c>
      <c r="S1276" s="1" t="s">
        <v>15625</v>
      </c>
      <c r="T1276" s="2" t="s">
        <v>13</v>
      </c>
      <c r="U1276" s="3">
        <v>1</v>
      </c>
      <c r="V1276" s="3">
        <v>1</v>
      </c>
      <c r="W1276" s="4" t="s">
        <v>8639</v>
      </c>
      <c r="X1276" s="4" t="s">
        <v>8639</v>
      </c>
      <c r="Y1276" s="4" t="s">
        <v>8639</v>
      </c>
      <c r="Z1276" s="4" t="s">
        <v>8639</v>
      </c>
      <c r="AA1276" s="3">
        <v>131</v>
      </c>
      <c r="AB1276" s="3">
        <v>98</v>
      </c>
      <c r="AC1276" s="3">
        <v>141</v>
      </c>
      <c r="AD1276" s="3">
        <v>1</v>
      </c>
      <c r="AE1276" s="9">
        <v>1</v>
      </c>
      <c r="AF1276" s="9">
        <v>5</v>
      </c>
      <c r="AG1276" s="9">
        <v>5</v>
      </c>
      <c r="AH1276" s="3">
        <v>2</v>
      </c>
      <c r="AI1276" s="3">
        <v>2</v>
      </c>
      <c r="AJ1276" s="3">
        <v>2</v>
      </c>
      <c r="AK1276" s="3">
        <v>2</v>
      </c>
      <c r="AL1276" s="3">
        <v>4</v>
      </c>
      <c r="AM1276" s="3">
        <v>4</v>
      </c>
      <c r="AN1276" s="3">
        <v>0</v>
      </c>
      <c r="AO1276" s="3">
        <v>0</v>
      </c>
      <c r="AP1276" s="3">
        <v>0</v>
      </c>
      <c r="AQ1276" s="3">
        <v>0</v>
      </c>
      <c r="AR1276" s="2" t="s">
        <v>5</v>
      </c>
      <c r="AS1276" s="2" t="s">
        <v>46</v>
      </c>
      <c r="AT1276" s="5" t="str">
        <f>HYPERLINK("http://catalog.hathitrust.org/Record/006684013","HathiTrust Record")</f>
        <v>HathiTrust Record</v>
      </c>
      <c r="AU1276" s="5" t="str">
        <f>HYPERLINK("https://creighton-primo.hosted.exlibrisgroup.com/primo-explore/search?tab=default_tab&amp;search_scope=EVERYTHING&amp;vid=01CRU&amp;lang=en_US&amp;offset=0&amp;query=any,contains,991004332869702656","Catalog Record")</f>
        <v>Catalog Record</v>
      </c>
      <c r="AV1276" s="5" t="str">
        <f>HYPERLINK("http://www.worldcat.org/oclc/8042636","WorldCat Record")</f>
        <v>WorldCat Record</v>
      </c>
      <c r="AW1276" s="2" t="s">
        <v>15626</v>
      </c>
      <c r="AX1276" s="2" t="s">
        <v>15627</v>
      </c>
      <c r="AY1276" s="2" t="s">
        <v>15628</v>
      </c>
      <c r="AZ1276" s="2" t="s">
        <v>15628</v>
      </c>
      <c r="BA1276" s="2" t="s">
        <v>15629</v>
      </c>
      <c r="BB1276" s="2" t="s">
        <v>20</v>
      </c>
      <c r="BD1276" s="2" t="s">
        <v>15630</v>
      </c>
      <c r="BE1276" s="2" t="s">
        <v>15631</v>
      </c>
      <c r="BF1276" s="2" t="s">
        <v>15632</v>
      </c>
    </row>
    <row r="1277" spans="1:58" ht="39.75" customHeight="1" x14ac:dyDescent="0.25">
      <c r="A1277" s="7" t="s">
        <v>5</v>
      </c>
      <c r="B1277" s="1" t="s">
        <v>0</v>
      </c>
      <c r="C1277" s="1" t="s">
        <v>1</v>
      </c>
      <c r="D1277" s="1" t="s">
        <v>15633</v>
      </c>
      <c r="E1277" s="1" t="s">
        <v>15634</v>
      </c>
      <c r="F1277" s="1" t="s">
        <v>15635</v>
      </c>
      <c r="H1277" s="2" t="s">
        <v>5</v>
      </c>
      <c r="I1277" s="2" t="s">
        <v>6</v>
      </c>
      <c r="J1277" s="2" t="s">
        <v>5</v>
      </c>
      <c r="K1277" s="2" t="s">
        <v>5</v>
      </c>
      <c r="L1277" s="2" t="s">
        <v>7</v>
      </c>
      <c r="M1277" s="1" t="s">
        <v>10329</v>
      </c>
      <c r="N1277" s="1" t="s">
        <v>15489</v>
      </c>
      <c r="O1277" s="2" t="s">
        <v>276</v>
      </c>
      <c r="P1277" s="1" t="s">
        <v>2908</v>
      </c>
      <c r="Q1277" s="2" t="s">
        <v>1151</v>
      </c>
      <c r="R1277" s="2" t="s">
        <v>1152</v>
      </c>
      <c r="S1277" s="1" t="s">
        <v>15636</v>
      </c>
      <c r="T1277" s="2" t="s">
        <v>13</v>
      </c>
      <c r="U1277" s="3">
        <v>1</v>
      </c>
      <c r="V1277" s="3">
        <v>1</v>
      </c>
      <c r="W1277" s="4" t="s">
        <v>14485</v>
      </c>
      <c r="X1277" s="4" t="s">
        <v>14485</v>
      </c>
      <c r="Y1277" s="4" t="s">
        <v>14485</v>
      </c>
      <c r="Z1277" s="4" t="s">
        <v>14485</v>
      </c>
      <c r="AA1277" s="3">
        <v>257</v>
      </c>
      <c r="AB1277" s="3">
        <v>204</v>
      </c>
      <c r="AC1277" s="3">
        <v>241</v>
      </c>
      <c r="AD1277" s="3">
        <v>1</v>
      </c>
      <c r="AE1277" s="9">
        <v>2</v>
      </c>
      <c r="AF1277" s="9">
        <v>4</v>
      </c>
      <c r="AG1277" s="9">
        <v>5</v>
      </c>
      <c r="AH1277" s="3">
        <v>0</v>
      </c>
      <c r="AI1277" s="3">
        <v>0</v>
      </c>
      <c r="AJ1277" s="3">
        <v>3</v>
      </c>
      <c r="AK1277" s="3">
        <v>3</v>
      </c>
      <c r="AL1277" s="3">
        <v>3</v>
      </c>
      <c r="AM1277" s="3">
        <v>3</v>
      </c>
      <c r="AN1277" s="3">
        <v>0</v>
      </c>
      <c r="AO1277" s="3">
        <v>1</v>
      </c>
      <c r="AP1277" s="3">
        <v>0</v>
      </c>
      <c r="AQ1277" s="3">
        <v>0</v>
      </c>
      <c r="AR1277" s="2" t="s">
        <v>5</v>
      </c>
      <c r="AS1277" s="2" t="s">
        <v>46</v>
      </c>
      <c r="AT1277" s="5" t="str">
        <f>HYPERLINK("http://catalog.hathitrust.org/Record/007862913","HathiTrust Record")</f>
        <v>HathiTrust Record</v>
      </c>
      <c r="AU1277" s="5" t="str">
        <f>HYPERLINK("https://creighton-primo.hosted.exlibrisgroup.com/primo-explore/search?tab=default_tab&amp;search_scope=EVERYTHING&amp;vid=01CRU&amp;lang=en_US&amp;offset=0&amp;query=any,contains,991004026799702656","Catalog Record")</f>
        <v>Catalog Record</v>
      </c>
      <c r="AV1277" s="5" t="str">
        <f>HYPERLINK("http://www.worldcat.org/oclc/3033382","WorldCat Record")</f>
        <v>WorldCat Record</v>
      </c>
      <c r="AW1277" s="2" t="s">
        <v>15637</v>
      </c>
      <c r="AX1277" s="2" t="s">
        <v>15638</v>
      </c>
      <c r="AY1277" s="2" t="s">
        <v>15639</v>
      </c>
      <c r="AZ1277" s="2" t="s">
        <v>15639</v>
      </c>
      <c r="BA1277" s="2" t="s">
        <v>15640</v>
      </c>
      <c r="BB1277" s="2" t="s">
        <v>20</v>
      </c>
      <c r="BD1277" s="2" t="s">
        <v>15641</v>
      </c>
      <c r="BE1277" s="2" t="s">
        <v>15642</v>
      </c>
      <c r="BF1277" s="2" t="s">
        <v>15643</v>
      </c>
    </row>
    <row r="1278" spans="1:58" ht="39.75" customHeight="1" x14ac:dyDescent="0.25">
      <c r="A1278" s="7" t="s">
        <v>5</v>
      </c>
      <c r="B1278" s="1" t="s">
        <v>0</v>
      </c>
      <c r="C1278" s="1" t="s">
        <v>1</v>
      </c>
      <c r="D1278" s="1" t="s">
        <v>15644</v>
      </c>
      <c r="E1278" s="1" t="s">
        <v>15645</v>
      </c>
      <c r="F1278" s="1" t="s">
        <v>15646</v>
      </c>
      <c r="H1278" s="2" t="s">
        <v>5</v>
      </c>
      <c r="I1278" s="2" t="s">
        <v>6</v>
      </c>
      <c r="J1278" s="2" t="s">
        <v>5</v>
      </c>
      <c r="K1278" s="2" t="s">
        <v>5</v>
      </c>
      <c r="L1278" s="2" t="s">
        <v>7</v>
      </c>
      <c r="M1278" s="1" t="s">
        <v>15647</v>
      </c>
      <c r="N1278" s="1" t="s">
        <v>15648</v>
      </c>
      <c r="O1278" s="2" t="s">
        <v>121</v>
      </c>
      <c r="Q1278" s="2" t="s">
        <v>1151</v>
      </c>
      <c r="R1278" s="2" t="s">
        <v>4146</v>
      </c>
      <c r="S1278" s="1" t="s">
        <v>4147</v>
      </c>
      <c r="T1278" s="2" t="s">
        <v>13</v>
      </c>
      <c r="U1278" s="3">
        <v>1</v>
      </c>
      <c r="V1278" s="3">
        <v>1</v>
      </c>
      <c r="W1278" s="4" t="s">
        <v>9131</v>
      </c>
      <c r="X1278" s="4" t="s">
        <v>9131</v>
      </c>
      <c r="Y1278" s="4" t="s">
        <v>9131</v>
      </c>
      <c r="Z1278" s="4" t="s">
        <v>9131</v>
      </c>
      <c r="AA1278" s="3">
        <v>176</v>
      </c>
      <c r="AB1278" s="3">
        <v>140</v>
      </c>
      <c r="AC1278" s="3">
        <v>151</v>
      </c>
      <c r="AD1278" s="3">
        <v>2</v>
      </c>
      <c r="AE1278" s="9">
        <v>2</v>
      </c>
      <c r="AF1278" s="9">
        <v>6</v>
      </c>
      <c r="AG1278" s="9">
        <v>6</v>
      </c>
      <c r="AH1278" s="3">
        <v>0</v>
      </c>
      <c r="AI1278" s="3">
        <v>0</v>
      </c>
      <c r="AJ1278" s="3">
        <v>2</v>
      </c>
      <c r="AK1278" s="3">
        <v>2</v>
      </c>
      <c r="AL1278" s="3">
        <v>4</v>
      </c>
      <c r="AM1278" s="3">
        <v>4</v>
      </c>
      <c r="AN1278" s="3">
        <v>1</v>
      </c>
      <c r="AO1278" s="3">
        <v>1</v>
      </c>
      <c r="AP1278" s="3">
        <v>0</v>
      </c>
      <c r="AQ1278" s="3">
        <v>0</v>
      </c>
      <c r="AR1278" s="2" t="s">
        <v>5</v>
      </c>
      <c r="AS1278" s="2" t="s">
        <v>46</v>
      </c>
      <c r="AT1278" s="5" t="str">
        <f>HYPERLINK("http://catalog.hathitrust.org/Record/101384156","HathiTrust Record")</f>
        <v>HathiTrust Record</v>
      </c>
      <c r="AU1278" s="5" t="str">
        <f>HYPERLINK("https://creighton-primo.hosted.exlibrisgroup.com/primo-explore/search?tab=default_tab&amp;search_scope=EVERYTHING&amp;vid=01CRU&amp;lang=en_US&amp;offset=0&amp;query=any,contains,991003730739702656","Catalog Record")</f>
        <v>Catalog Record</v>
      </c>
      <c r="AV1278" s="5" t="str">
        <f>HYPERLINK("http://www.worldcat.org/oclc/47229818","WorldCat Record")</f>
        <v>WorldCat Record</v>
      </c>
      <c r="AW1278" s="2" t="s">
        <v>15649</v>
      </c>
      <c r="AX1278" s="2" t="s">
        <v>15650</v>
      </c>
      <c r="AY1278" s="2" t="s">
        <v>15651</v>
      </c>
      <c r="AZ1278" s="2" t="s">
        <v>15651</v>
      </c>
      <c r="BA1278" s="2" t="s">
        <v>15652</v>
      </c>
      <c r="BB1278" s="2" t="s">
        <v>20</v>
      </c>
      <c r="BE1278" s="2" t="s">
        <v>15653</v>
      </c>
      <c r="BF1278" s="2" t="s">
        <v>15654</v>
      </c>
    </row>
    <row r="1279" spans="1:58" ht="39.75" customHeight="1" x14ac:dyDescent="0.25">
      <c r="A1279" s="7" t="s">
        <v>5</v>
      </c>
      <c r="B1279" s="1" t="s">
        <v>0</v>
      </c>
      <c r="C1279" s="1" t="s">
        <v>1</v>
      </c>
      <c r="D1279" s="1" t="s">
        <v>15655</v>
      </c>
      <c r="E1279" s="1" t="s">
        <v>15656</v>
      </c>
      <c r="F1279" s="1" t="s">
        <v>15657</v>
      </c>
      <c r="H1279" s="2" t="s">
        <v>5</v>
      </c>
      <c r="I1279" s="2" t="s">
        <v>6</v>
      </c>
      <c r="J1279" s="2" t="s">
        <v>5</v>
      </c>
      <c r="K1279" s="2" t="s">
        <v>5</v>
      </c>
      <c r="L1279" s="2" t="s">
        <v>7</v>
      </c>
      <c r="N1279" s="1" t="s">
        <v>15658</v>
      </c>
      <c r="O1279" s="2" t="s">
        <v>2859</v>
      </c>
      <c r="Q1279" s="2" t="s">
        <v>1151</v>
      </c>
      <c r="R1279" s="2" t="s">
        <v>4146</v>
      </c>
      <c r="T1279" s="2" t="s">
        <v>13</v>
      </c>
      <c r="U1279" s="3">
        <v>1</v>
      </c>
      <c r="V1279" s="3">
        <v>1</v>
      </c>
      <c r="W1279" s="4" t="s">
        <v>8639</v>
      </c>
      <c r="X1279" s="4" t="s">
        <v>8639</v>
      </c>
      <c r="Y1279" s="4" t="s">
        <v>8639</v>
      </c>
      <c r="Z1279" s="4" t="s">
        <v>8639</v>
      </c>
      <c r="AA1279" s="3">
        <v>51</v>
      </c>
      <c r="AB1279" s="3">
        <v>35</v>
      </c>
      <c r="AC1279" s="3">
        <v>41</v>
      </c>
      <c r="AD1279" s="3">
        <v>1</v>
      </c>
      <c r="AE1279" s="9">
        <v>1</v>
      </c>
      <c r="AF1279" s="9">
        <v>2</v>
      </c>
      <c r="AG1279" s="9">
        <v>2</v>
      </c>
      <c r="AH1279" s="3">
        <v>0</v>
      </c>
      <c r="AI1279" s="3">
        <v>0</v>
      </c>
      <c r="AJ1279" s="3">
        <v>2</v>
      </c>
      <c r="AK1279" s="3">
        <v>2</v>
      </c>
      <c r="AL1279" s="3">
        <v>1</v>
      </c>
      <c r="AM1279" s="3">
        <v>1</v>
      </c>
      <c r="AN1279" s="3">
        <v>0</v>
      </c>
      <c r="AO1279" s="3">
        <v>0</v>
      </c>
      <c r="AP1279" s="3">
        <v>0</v>
      </c>
      <c r="AQ1279" s="3">
        <v>0</v>
      </c>
      <c r="AR1279" s="2" t="s">
        <v>5</v>
      </c>
      <c r="AS1279" s="2" t="s">
        <v>46</v>
      </c>
      <c r="AT1279" s="5" t="str">
        <f>HYPERLINK("http://catalog.hathitrust.org/Record/006717077","HathiTrust Record")</f>
        <v>HathiTrust Record</v>
      </c>
      <c r="AU1279" s="5" t="str">
        <f>HYPERLINK("https://creighton-primo.hosted.exlibrisgroup.com/primo-explore/search?tab=default_tab&amp;search_scope=EVERYTHING&amp;vid=01CRU&amp;lang=en_US&amp;offset=0&amp;query=any,contains,991004333059702656","Catalog Record")</f>
        <v>Catalog Record</v>
      </c>
      <c r="AV1279" s="5" t="str">
        <f>HYPERLINK("http://www.worldcat.org/oclc/13359967","WorldCat Record")</f>
        <v>WorldCat Record</v>
      </c>
      <c r="AW1279" s="2" t="s">
        <v>15659</v>
      </c>
      <c r="AX1279" s="2" t="s">
        <v>15660</v>
      </c>
      <c r="AY1279" s="2" t="s">
        <v>15661</v>
      </c>
      <c r="AZ1279" s="2" t="s">
        <v>15661</v>
      </c>
      <c r="BA1279" s="2" t="s">
        <v>15662</v>
      </c>
      <c r="BB1279" s="2" t="s">
        <v>20</v>
      </c>
      <c r="BE1279" s="2" t="s">
        <v>15663</v>
      </c>
      <c r="BF1279" s="2" t="s">
        <v>15664</v>
      </c>
    </row>
    <row r="1280" spans="1:58" ht="39.75" customHeight="1" x14ac:dyDescent="0.25">
      <c r="A1280" s="7" t="s">
        <v>5</v>
      </c>
      <c r="B1280" s="1" t="s">
        <v>0</v>
      </c>
      <c r="C1280" s="1" t="s">
        <v>1</v>
      </c>
      <c r="D1280" s="1" t="s">
        <v>15665</v>
      </c>
      <c r="E1280" s="1" t="s">
        <v>15666</v>
      </c>
      <c r="F1280" s="1" t="s">
        <v>15667</v>
      </c>
      <c r="H1280" s="2" t="s">
        <v>5</v>
      </c>
      <c r="I1280" s="2" t="s">
        <v>6</v>
      </c>
      <c r="J1280" s="2" t="s">
        <v>5</v>
      </c>
      <c r="K1280" s="2" t="s">
        <v>5</v>
      </c>
      <c r="L1280" s="2" t="s">
        <v>7</v>
      </c>
      <c r="M1280" s="1" t="s">
        <v>15668</v>
      </c>
      <c r="N1280" s="1" t="s">
        <v>15669</v>
      </c>
      <c r="O1280" s="2" t="s">
        <v>584</v>
      </c>
      <c r="Q1280" s="2" t="s">
        <v>1151</v>
      </c>
      <c r="R1280" s="2" t="s">
        <v>4146</v>
      </c>
      <c r="S1280" s="1" t="s">
        <v>15670</v>
      </c>
      <c r="T1280" s="2" t="s">
        <v>13</v>
      </c>
      <c r="U1280" s="3">
        <v>1</v>
      </c>
      <c r="V1280" s="3">
        <v>1</v>
      </c>
      <c r="W1280" s="4" t="s">
        <v>6996</v>
      </c>
      <c r="X1280" s="4" t="s">
        <v>6996</v>
      </c>
      <c r="Y1280" s="4" t="s">
        <v>9871</v>
      </c>
      <c r="Z1280" s="4" t="s">
        <v>9871</v>
      </c>
      <c r="AA1280" s="3">
        <v>170</v>
      </c>
      <c r="AB1280" s="3">
        <v>148</v>
      </c>
      <c r="AC1280" s="3">
        <v>152</v>
      </c>
      <c r="AD1280" s="3">
        <v>3</v>
      </c>
      <c r="AE1280" s="9">
        <v>3</v>
      </c>
      <c r="AF1280" s="9">
        <v>8</v>
      </c>
      <c r="AG1280" s="9">
        <v>8</v>
      </c>
      <c r="AH1280" s="3">
        <v>2</v>
      </c>
      <c r="AI1280" s="3">
        <v>2</v>
      </c>
      <c r="AJ1280" s="3">
        <v>4</v>
      </c>
      <c r="AK1280" s="3">
        <v>4</v>
      </c>
      <c r="AL1280" s="3">
        <v>2</v>
      </c>
      <c r="AM1280" s="3">
        <v>2</v>
      </c>
      <c r="AN1280" s="3">
        <v>2</v>
      </c>
      <c r="AO1280" s="3">
        <v>2</v>
      </c>
      <c r="AP1280" s="3">
        <v>0</v>
      </c>
      <c r="AQ1280" s="3">
        <v>0</v>
      </c>
      <c r="AR1280" s="2" t="s">
        <v>5</v>
      </c>
      <c r="AS1280" s="2" t="s">
        <v>46</v>
      </c>
      <c r="AT1280" s="5" t="str">
        <f>HYPERLINK("http://catalog.hathitrust.org/Record/001721342","HathiTrust Record")</f>
        <v>HathiTrust Record</v>
      </c>
      <c r="AU1280" s="5" t="str">
        <f>HYPERLINK("https://creighton-primo.hosted.exlibrisgroup.com/primo-explore/search?tab=default_tab&amp;search_scope=EVERYTHING&amp;vid=01CRU&amp;lang=en_US&amp;offset=0&amp;query=any,contains,991003810969702656","Catalog Record")</f>
        <v>Catalog Record</v>
      </c>
      <c r="AV1280" s="5" t="str">
        <f>HYPERLINK("http://www.worldcat.org/oclc/630922","WorldCat Record")</f>
        <v>WorldCat Record</v>
      </c>
      <c r="AW1280" s="2" t="s">
        <v>15671</v>
      </c>
      <c r="AX1280" s="2" t="s">
        <v>15672</v>
      </c>
      <c r="AY1280" s="2" t="s">
        <v>15673</v>
      </c>
      <c r="AZ1280" s="2" t="s">
        <v>15673</v>
      </c>
      <c r="BA1280" s="2" t="s">
        <v>15674</v>
      </c>
      <c r="BB1280" s="2" t="s">
        <v>20</v>
      </c>
      <c r="BE1280" s="2" t="s">
        <v>15675</v>
      </c>
      <c r="BF1280" s="2" t="s">
        <v>15676</v>
      </c>
    </row>
    <row r="1281" spans="1:58" ht="39.75" customHeight="1" x14ac:dyDescent="0.25">
      <c r="A1281" s="7" t="s">
        <v>5</v>
      </c>
      <c r="B1281" s="1" t="s">
        <v>0</v>
      </c>
      <c r="C1281" s="1" t="s">
        <v>1</v>
      </c>
      <c r="D1281" s="1" t="s">
        <v>15677</v>
      </c>
      <c r="E1281" s="1" t="s">
        <v>15678</v>
      </c>
      <c r="F1281" s="1" t="s">
        <v>15679</v>
      </c>
      <c r="H1281" s="2" t="s">
        <v>5</v>
      </c>
      <c r="I1281" s="2" t="s">
        <v>6</v>
      </c>
      <c r="J1281" s="2" t="s">
        <v>5</v>
      </c>
      <c r="K1281" s="2" t="s">
        <v>5</v>
      </c>
      <c r="L1281" s="2" t="s">
        <v>7</v>
      </c>
      <c r="M1281" s="1" t="s">
        <v>15680</v>
      </c>
      <c r="N1281" s="1" t="s">
        <v>15681</v>
      </c>
      <c r="O1281" s="2" t="s">
        <v>108</v>
      </c>
      <c r="Q1281" s="2" t="s">
        <v>1151</v>
      </c>
      <c r="R1281" s="2" t="s">
        <v>4146</v>
      </c>
      <c r="S1281" s="1" t="s">
        <v>15682</v>
      </c>
      <c r="T1281" s="2" t="s">
        <v>13</v>
      </c>
      <c r="U1281" s="3">
        <v>1</v>
      </c>
      <c r="V1281" s="3">
        <v>1</v>
      </c>
      <c r="W1281" s="4" t="s">
        <v>11038</v>
      </c>
      <c r="X1281" s="4" t="s">
        <v>11038</v>
      </c>
      <c r="Y1281" s="4" t="s">
        <v>11038</v>
      </c>
      <c r="Z1281" s="4" t="s">
        <v>11038</v>
      </c>
      <c r="AA1281" s="3">
        <v>35</v>
      </c>
      <c r="AB1281" s="3">
        <v>27</v>
      </c>
      <c r="AC1281" s="3">
        <v>28</v>
      </c>
      <c r="AD1281" s="3">
        <v>2</v>
      </c>
      <c r="AE1281" s="9">
        <v>2</v>
      </c>
      <c r="AF1281" s="9">
        <v>1</v>
      </c>
      <c r="AG1281" s="9">
        <v>1</v>
      </c>
      <c r="AH1281" s="3">
        <v>0</v>
      </c>
      <c r="AI1281" s="3">
        <v>0</v>
      </c>
      <c r="AJ1281" s="3">
        <v>0</v>
      </c>
      <c r="AK1281" s="3">
        <v>0</v>
      </c>
      <c r="AL1281" s="3">
        <v>0</v>
      </c>
      <c r="AM1281" s="3">
        <v>0</v>
      </c>
      <c r="AN1281" s="3">
        <v>1</v>
      </c>
      <c r="AO1281" s="3">
        <v>1</v>
      </c>
      <c r="AP1281" s="3">
        <v>0</v>
      </c>
      <c r="AQ1281" s="3">
        <v>0</v>
      </c>
      <c r="AR1281" s="2" t="s">
        <v>5</v>
      </c>
      <c r="AS1281" s="2" t="s">
        <v>46</v>
      </c>
      <c r="AT1281" s="5" t="str">
        <f>HYPERLINK("http://catalog.hathitrust.org/Record/101164649","HathiTrust Record")</f>
        <v>HathiTrust Record</v>
      </c>
      <c r="AU1281" s="5" t="str">
        <f>HYPERLINK("https://creighton-primo.hosted.exlibrisgroup.com/primo-explore/search?tab=default_tab&amp;search_scope=EVERYTHING&amp;vid=01CRU&amp;lang=en_US&amp;offset=0&amp;query=any,contains,991004052489702656","Catalog Record")</f>
        <v>Catalog Record</v>
      </c>
      <c r="AV1281" s="5" t="str">
        <f>HYPERLINK("http://www.worldcat.org/oclc/1886883","WorldCat Record")</f>
        <v>WorldCat Record</v>
      </c>
      <c r="AW1281" s="2" t="s">
        <v>15683</v>
      </c>
      <c r="AX1281" s="2" t="s">
        <v>15684</v>
      </c>
      <c r="AY1281" s="2" t="s">
        <v>15685</v>
      </c>
      <c r="AZ1281" s="2" t="s">
        <v>15685</v>
      </c>
      <c r="BA1281" s="2" t="s">
        <v>15686</v>
      </c>
      <c r="BB1281" s="2" t="s">
        <v>20</v>
      </c>
      <c r="BE1281" s="2" t="s">
        <v>15687</v>
      </c>
      <c r="BF1281" s="2" t="s">
        <v>15688</v>
      </c>
    </row>
    <row r="1282" spans="1:58" ht="39.75" customHeight="1" x14ac:dyDescent="0.25">
      <c r="A1282" s="7" t="s">
        <v>5</v>
      </c>
      <c r="B1282" s="1" t="s">
        <v>0</v>
      </c>
      <c r="C1282" s="1" t="s">
        <v>1</v>
      </c>
      <c r="D1282" s="1" t="s">
        <v>15689</v>
      </c>
      <c r="E1282" s="1" t="s">
        <v>15690</v>
      </c>
      <c r="F1282" s="1" t="s">
        <v>15691</v>
      </c>
      <c r="H1282" s="2" t="s">
        <v>5</v>
      </c>
      <c r="I1282" s="2" t="s">
        <v>6</v>
      </c>
      <c r="J1282" s="2" t="s">
        <v>5</v>
      </c>
      <c r="K1282" s="2" t="s">
        <v>5</v>
      </c>
      <c r="L1282" s="2" t="s">
        <v>7</v>
      </c>
      <c r="M1282" s="1" t="s">
        <v>15692</v>
      </c>
      <c r="N1282" s="1" t="s">
        <v>15693</v>
      </c>
      <c r="O1282" s="2" t="s">
        <v>1390</v>
      </c>
      <c r="Q1282" s="2" t="s">
        <v>1151</v>
      </c>
      <c r="R1282" s="2" t="s">
        <v>4146</v>
      </c>
      <c r="S1282" s="1" t="s">
        <v>15694</v>
      </c>
      <c r="T1282" s="2" t="s">
        <v>13</v>
      </c>
      <c r="U1282" s="3">
        <v>1</v>
      </c>
      <c r="V1282" s="3">
        <v>1</v>
      </c>
      <c r="W1282" s="4" t="s">
        <v>13088</v>
      </c>
      <c r="X1282" s="4" t="s">
        <v>13088</v>
      </c>
      <c r="Y1282" s="4" t="s">
        <v>13088</v>
      </c>
      <c r="Z1282" s="4" t="s">
        <v>13088</v>
      </c>
      <c r="AA1282" s="3">
        <v>31</v>
      </c>
      <c r="AB1282" s="3">
        <v>27</v>
      </c>
      <c r="AC1282" s="3">
        <v>103</v>
      </c>
      <c r="AD1282" s="3">
        <v>1</v>
      </c>
      <c r="AE1282" s="9">
        <v>2</v>
      </c>
      <c r="AF1282" s="9">
        <v>1</v>
      </c>
      <c r="AG1282" s="9">
        <v>4</v>
      </c>
      <c r="AH1282" s="3">
        <v>0</v>
      </c>
      <c r="AI1282" s="3">
        <v>0</v>
      </c>
      <c r="AJ1282" s="3">
        <v>0</v>
      </c>
      <c r="AK1282" s="3">
        <v>1</v>
      </c>
      <c r="AL1282" s="3">
        <v>1</v>
      </c>
      <c r="AM1282" s="3">
        <v>2</v>
      </c>
      <c r="AN1282" s="3">
        <v>0</v>
      </c>
      <c r="AO1282" s="3">
        <v>1</v>
      </c>
      <c r="AP1282" s="3">
        <v>0</v>
      </c>
      <c r="AQ1282" s="3">
        <v>0</v>
      </c>
      <c r="AR1282" s="2" t="s">
        <v>5</v>
      </c>
      <c r="AS1282" s="2" t="s">
        <v>5</v>
      </c>
      <c r="AU1282" s="5" t="str">
        <f>HYPERLINK("https://creighton-primo.hosted.exlibrisgroup.com/primo-explore/search?tab=default_tab&amp;search_scope=EVERYTHING&amp;vid=01CRU&amp;lang=en_US&amp;offset=0&amp;query=any,contains,991003830119702656","Catalog Record")</f>
        <v>Catalog Record</v>
      </c>
      <c r="AV1282" s="5" t="str">
        <f>HYPERLINK("http://www.worldcat.org/oclc/6655450","WorldCat Record")</f>
        <v>WorldCat Record</v>
      </c>
      <c r="AW1282" s="2" t="s">
        <v>15695</v>
      </c>
      <c r="AX1282" s="2" t="s">
        <v>15696</v>
      </c>
      <c r="AY1282" s="2" t="s">
        <v>15697</v>
      </c>
      <c r="AZ1282" s="2" t="s">
        <v>15697</v>
      </c>
      <c r="BA1282" s="2" t="s">
        <v>15698</v>
      </c>
      <c r="BB1282" s="2" t="s">
        <v>20</v>
      </c>
      <c r="BE1282" s="2" t="s">
        <v>15699</v>
      </c>
      <c r="BF1282" s="2" t="s">
        <v>15700</v>
      </c>
    </row>
    <row r="1283" spans="1:58" ht="39.75" customHeight="1" x14ac:dyDescent="0.25">
      <c r="A1283" s="7" t="s">
        <v>5</v>
      </c>
      <c r="B1283" s="1" t="s">
        <v>0</v>
      </c>
      <c r="C1283" s="1" t="s">
        <v>1</v>
      </c>
      <c r="D1283" s="1" t="s">
        <v>15701</v>
      </c>
      <c r="E1283" s="1" t="s">
        <v>15702</v>
      </c>
      <c r="F1283" s="1" t="s">
        <v>15703</v>
      </c>
      <c r="H1283" s="2" t="s">
        <v>5</v>
      </c>
      <c r="I1283" s="2" t="s">
        <v>6</v>
      </c>
      <c r="J1283" s="2" t="s">
        <v>5</v>
      </c>
      <c r="K1283" s="2" t="s">
        <v>46</v>
      </c>
      <c r="L1283" s="2" t="s">
        <v>7</v>
      </c>
      <c r="M1283" s="1" t="s">
        <v>15692</v>
      </c>
      <c r="O1283" s="2" t="s">
        <v>162</v>
      </c>
      <c r="P1283" s="1" t="s">
        <v>2908</v>
      </c>
      <c r="Q1283" s="2" t="s">
        <v>1151</v>
      </c>
      <c r="R1283" s="2" t="s">
        <v>9502</v>
      </c>
      <c r="T1283" s="2" t="s">
        <v>13</v>
      </c>
      <c r="U1283" s="3">
        <v>2</v>
      </c>
      <c r="V1283" s="3">
        <v>2</v>
      </c>
      <c r="W1283" s="4" t="s">
        <v>11744</v>
      </c>
      <c r="X1283" s="4" t="s">
        <v>11744</v>
      </c>
      <c r="Y1283" s="4" t="s">
        <v>11744</v>
      </c>
      <c r="Z1283" s="4" t="s">
        <v>11744</v>
      </c>
      <c r="AA1283" s="3">
        <v>103</v>
      </c>
      <c r="AB1283" s="3">
        <v>73</v>
      </c>
      <c r="AC1283" s="3">
        <v>128</v>
      </c>
      <c r="AD1283" s="3">
        <v>1</v>
      </c>
      <c r="AE1283" s="9">
        <v>2</v>
      </c>
      <c r="AF1283" s="9">
        <v>2</v>
      </c>
      <c r="AG1283" s="9">
        <v>5</v>
      </c>
      <c r="AH1283" s="3">
        <v>0</v>
      </c>
      <c r="AI1283" s="3">
        <v>0</v>
      </c>
      <c r="AJ1283" s="3">
        <v>0</v>
      </c>
      <c r="AK1283" s="3">
        <v>2</v>
      </c>
      <c r="AL1283" s="3">
        <v>2</v>
      </c>
      <c r="AM1283" s="3">
        <v>3</v>
      </c>
      <c r="AN1283" s="3">
        <v>0</v>
      </c>
      <c r="AO1283" s="3">
        <v>1</v>
      </c>
      <c r="AP1283" s="3">
        <v>0</v>
      </c>
      <c r="AQ1283" s="3">
        <v>0</v>
      </c>
      <c r="AR1283" s="2" t="s">
        <v>5</v>
      </c>
      <c r="AS1283" s="2" t="s">
        <v>46</v>
      </c>
      <c r="AT1283" s="5" t="str">
        <f>HYPERLINK("http://catalog.hathitrust.org/Record/000726624","HathiTrust Record")</f>
        <v>HathiTrust Record</v>
      </c>
      <c r="AU1283" s="5" t="str">
        <f>HYPERLINK("https://creighton-primo.hosted.exlibrisgroup.com/primo-explore/search?tab=default_tab&amp;search_scope=EVERYTHING&amp;vid=01CRU&amp;lang=en_US&amp;offset=0&amp;query=any,contains,991003817989702656","Catalog Record")</f>
        <v>Catalog Record</v>
      </c>
      <c r="AV1283" s="5" t="str">
        <f>HYPERLINK("http://www.worldcat.org/oclc/2481758","WorldCat Record")</f>
        <v>WorldCat Record</v>
      </c>
      <c r="AW1283" s="2" t="s">
        <v>15704</v>
      </c>
      <c r="AX1283" s="2" t="s">
        <v>15705</v>
      </c>
      <c r="AY1283" s="2" t="s">
        <v>15706</v>
      </c>
      <c r="AZ1283" s="2" t="s">
        <v>15706</v>
      </c>
      <c r="BA1283" s="2" t="s">
        <v>15707</v>
      </c>
      <c r="BB1283" s="2" t="s">
        <v>20</v>
      </c>
      <c r="BE1283" s="2" t="s">
        <v>15708</v>
      </c>
      <c r="BF1283" s="2" t="s">
        <v>15709</v>
      </c>
    </row>
    <row r="1284" spans="1:58" ht="39.75" customHeight="1" x14ac:dyDescent="0.25">
      <c r="A1284" s="7" t="s">
        <v>5</v>
      </c>
      <c r="B1284" s="1" t="s">
        <v>0</v>
      </c>
      <c r="C1284" s="1" t="s">
        <v>1</v>
      </c>
      <c r="D1284" s="1" t="s">
        <v>15710</v>
      </c>
      <c r="E1284" s="1" t="s">
        <v>15711</v>
      </c>
      <c r="F1284" s="1" t="s">
        <v>15712</v>
      </c>
      <c r="H1284" s="2" t="s">
        <v>5</v>
      </c>
      <c r="I1284" s="2" t="s">
        <v>6</v>
      </c>
      <c r="J1284" s="2" t="s">
        <v>5</v>
      </c>
      <c r="K1284" s="2" t="s">
        <v>5</v>
      </c>
      <c r="L1284" s="2" t="s">
        <v>7</v>
      </c>
      <c r="M1284" s="1" t="s">
        <v>15713</v>
      </c>
      <c r="N1284" s="1" t="s">
        <v>15714</v>
      </c>
      <c r="O1284" s="2" t="s">
        <v>494</v>
      </c>
      <c r="Q1284" s="2" t="s">
        <v>1151</v>
      </c>
      <c r="R1284" s="2" t="s">
        <v>4146</v>
      </c>
      <c r="S1284" s="1" t="s">
        <v>15694</v>
      </c>
      <c r="T1284" s="2" t="s">
        <v>13</v>
      </c>
      <c r="U1284" s="3">
        <v>1</v>
      </c>
      <c r="V1284" s="3">
        <v>1</v>
      </c>
      <c r="W1284" s="4" t="s">
        <v>9786</v>
      </c>
      <c r="X1284" s="4" t="s">
        <v>9786</v>
      </c>
      <c r="Y1284" s="4" t="s">
        <v>9787</v>
      </c>
      <c r="Z1284" s="4" t="s">
        <v>9787</v>
      </c>
      <c r="AA1284" s="3">
        <v>37</v>
      </c>
      <c r="AB1284" s="3">
        <v>29</v>
      </c>
      <c r="AC1284" s="3">
        <v>31</v>
      </c>
      <c r="AD1284" s="3">
        <v>1</v>
      </c>
      <c r="AE1284" s="9">
        <v>1</v>
      </c>
      <c r="AF1284" s="9">
        <v>2</v>
      </c>
      <c r="AG1284" s="9">
        <v>2</v>
      </c>
      <c r="AH1284" s="3">
        <v>1</v>
      </c>
      <c r="AI1284" s="3">
        <v>1</v>
      </c>
      <c r="AJ1284" s="3">
        <v>2</v>
      </c>
      <c r="AK1284" s="3">
        <v>2</v>
      </c>
      <c r="AL1284" s="3">
        <v>0</v>
      </c>
      <c r="AM1284" s="3">
        <v>0</v>
      </c>
      <c r="AN1284" s="3">
        <v>0</v>
      </c>
      <c r="AO1284" s="3">
        <v>0</v>
      </c>
      <c r="AP1284" s="3">
        <v>0</v>
      </c>
      <c r="AQ1284" s="3">
        <v>0</v>
      </c>
      <c r="AR1284" s="2" t="s">
        <v>5</v>
      </c>
      <c r="AS1284" s="2" t="s">
        <v>46</v>
      </c>
      <c r="AT1284" s="5" t="str">
        <f>HYPERLINK("http://catalog.hathitrust.org/Record/007863331","HathiTrust Record")</f>
        <v>HathiTrust Record</v>
      </c>
      <c r="AU1284" s="5" t="str">
        <f>HYPERLINK("https://creighton-primo.hosted.exlibrisgroup.com/primo-explore/search?tab=default_tab&amp;search_scope=EVERYTHING&amp;vid=01CRU&amp;lang=en_US&amp;offset=0&amp;query=any,contains,991003835009702656","Catalog Record")</f>
        <v>Catalog Record</v>
      </c>
      <c r="AV1284" s="5" t="str">
        <f>HYPERLINK("http://www.worldcat.org/oclc/4825982","WorldCat Record")</f>
        <v>WorldCat Record</v>
      </c>
      <c r="AW1284" s="2" t="s">
        <v>15715</v>
      </c>
      <c r="AX1284" s="2" t="s">
        <v>15716</v>
      </c>
      <c r="AY1284" s="2" t="s">
        <v>15717</v>
      </c>
      <c r="AZ1284" s="2" t="s">
        <v>15717</v>
      </c>
      <c r="BA1284" s="2" t="s">
        <v>15718</v>
      </c>
      <c r="BB1284" s="2" t="s">
        <v>20</v>
      </c>
      <c r="BE1284" s="2" t="s">
        <v>15719</v>
      </c>
      <c r="BF1284" s="2" t="s">
        <v>15720</v>
      </c>
    </row>
    <row r="1285" spans="1:58" ht="39.75" customHeight="1" x14ac:dyDescent="0.25">
      <c r="A1285" s="7" t="s">
        <v>5</v>
      </c>
      <c r="B1285" s="1" t="s">
        <v>0</v>
      </c>
      <c r="C1285" s="1" t="s">
        <v>1</v>
      </c>
      <c r="D1285" s="1" t="s">
        <v>15721</v>
      </c>
      <c r="E1285" s="1" t="s">
        <v>15722</v>
      </c>
      <c r="F1285" s="1" t="s">
        <v>15723</v>
      </c>
      <c r="H1285" s="2" t="s">
        <v>5</v>
      </c>
      <c r="I1285" s="2" t="s">
        <v>6</v>
      </c>
      <c r="J1285" s="2" t="s">
        <v>5</v>
      </c>
      <c r="K1285" s="2" t="s">
        <v>5</v>
      </c>
      <c r="L1285" s="2" t="s">
        <v>7</v>
      </c>
      <c r="M1285" s="1" t="s">
        <v>15724</v>
      </c>
      <c r="N1285" s="1" t="s">
        <v>4145</v>
      </c>
      <c r="O1285" s="2" t="s">
        <v>121</v>
      </c>
      <c r="Q1285" s="2" t="s">
        <v>1151</v>
      </c>
      <c r="R1285" s="2" t="s">
        <v>4146</v>
      </c>
      <c r="S1285" s="1" t="s">
        <v>14063</v>
      </c>
      <c r="T1285" s="2" t="s">
        <v>13</v>
      </c>
      <c r="U1285" s="3">
        <v>1</v>
      </c>
      <c r="V1285" s="3">
        <v>1</v>
      </c>
      <c r="W1285" s="4" t="s">
        <v>6701</v>
      </c>
      <c r="X1285" s="4" t="s">
        <v>6701</v>
      </c>
      <c r="Y1285" s="4" t="s">
        <v>6702</v>
      </c>
      <c r="Z1285" s="4" t="s">
        <v>6702</v>
      </c>
      <c r="AA1285" s="3">
        <v>38</v>
      </c>
      <c r="AB1285" s="3">
        <v>25</v>
      </c>
      <c r="AC1285" s="3">
        <v>28</v>
      </c>
      <c r="AD1285" s="3">
        <v>2</v>
      </c>
      <c r="AE1285" s="9">
        <v>2</v>
      </c>
      <c r="AF1285" s="9">
        <v>1</v>
      </c>
      <c r="AG1285" s="9">
        <v>1</v>
      </c>
      <c r="AH1285" s="3">
        <v>0</v>
      </c>
      <c r="AI1285" s="3">
        <v>0</v>
      </c>
      <c r="AJ1285" s="3">
        <v>0</v>
      </c>
      <c r="AK1285" s="3">
        <v>0</v>
      </c>
      <c r="AL1285" s="3">
        <v>0</v>
      </c>
      <c r="AM1285" s="3">
        <v>0</v>
      </c>
      <c r="AN1285" s="3">
        <v>1</v>
      </c>
      <c r="AO1285" s="3">
        <v>1</v>
      </c>
      <c r="AP1285" s="3">
        <v>0</v>
      </c>
      <c r="AQ1285" s="3">
        <v>0</v>
      </c>
      <c r="AR1285" s="2" t="s">
        <v>5</v>
      </c>
      <c r="AS1285" s="2" t="s">
        <v>46</v>
      </c>
      <c r="AT1285" s="5" t="str">
        <f>HYPERLINK("http://catalog.hathitrust.org/Record/101388790","HathiTrust Record")</f>
        <v>HathiTrust Record</v>
      </c>
      <c r="AU1285" s="5" t="str">
        <f>HYPERLINK("https://creighton-primo.hosted.exlibrisgroup.com/primo-explore/search?tab=default_tab&amp;search_scope=EVERYTHING&amp;vid=01CRU&amp;lang=en_US&amp;offset=0&amp;query=any,contains,991003759229702656","Catalog Record")</f>
        <v>Catalog Record</v>
      </c>
      <c r="AV1285" s="5" t="str">
        <f>HYPERLINK("http://www.worldcat.org/oclc/2079173","WorldCat Record")</f>
        <v>WorldCat Record</v>
      </c>
      <c r="AW1285" s="2" t="s">
        <v>15725</v>
      </c>
      <c r="AX1285" s="2" t="s">
        <v>15726</v>
      </c>
      <c r="AY1285" s="2" t="s">
        <v>15727</v>
      </c>
      <c r="AZ1285" s="2" t="s">
        <v>15727</v>
      </c>
      <c r="BA1285" s="2" t="s">
        <v>15728</v>
      </c>
      <c r="BB1285" s="2" t="s">
        <v>20</v>
      </c>
      <c r="BE1285" s="2" t="s">
        <v>15729</v>
      </c>
      <c r="BF1285" s="2" t="s">
        <v>15730</v>
      </c>
    </row>
    <row r="1286" spans="1:58" ht="39.75" customHeight="1" x14ac:dyDescent="0.25">
      <c r="A1286" s="7" t="s">
        <v>5</v>
      </c>
      <c r="B1286" s="1" t="s">
        <v>0</v>
      </c>
      <c r="C1286" s="1" t="s">
        <v>1</v>
      </c>
      <c r="D1286" s="1" t="s">
        <v>15731</v>
      </c>
      <c r="E1286" s="1" t="s">
        <v>15732</v>
      </c>
      <c r="F1286" s="1" t="s">
        <v>15733</v>
      </c>
      <c r="H1286" s="2" t="s">
        <v>5</v>
      </c>
      <c r="I1286" s="2" t="s">
        <v>6</v>
      </c>
      <c r="J1286" s="2" t="s">
        <v>5</v>
      </c>
      <c r="K1286" s="2" t="s">
        <v>5</v>
      </c>
      <c r="L1286" s="2" t="s">
        <v>7</v>
      </c>
      <c r="M1286" s="1" t="s">
        <v>15734</v>
      </c>
      <c r="N1286" s="1" t="s">
        <v>9799</v>
      </c>
      <c r="O1286" s="2" t="s">
        <v>1418</v>
      </c>
      <c r="Q1286" s="2" t="s">
        <v>1151</v>
      </c>
      <c r="R1286" s="2" t="s">
        <v>4146</v>
      </c>
      <c r="S1286" s="1" t="s">
        <v>13612</v>
      </c>
      <c r="T1286" s="2" t="s">
        <v>13</v>
      </c>
      <c r="U1286" s="3">
        <v>1</v>
      </c>
      <c r="V1286" s="3">
        <v>1</v>
      </c>
      <c r="W1286" s="4" t="s">
        <v>6701</v>
      </c>
      <c r="X1286" s="4" t="s">
        <v>6701</v>
      </c>
      <c r="Y1286" s="4" t="s">
        <v>6702</v>
      </c>
      <c r="Z1286" s="4" t="s">
        <v>6702</v>
      </c>
      <c r="AA1286" s="3">
        <v>66</v>
      </c>
      <c r="AB1286" s="3">
        <v>48</v>
      </c>
      <c r="AC1286" s="3">
        <v>51</v>
      </c>
      <c r="AD1286" s="3">
        <v>2</v>
      </c>
      <c r="AE1286" s="9">
        <v>2</v>
      </c>
      <c r="AF1286" s="9">
        <v>2</v>
      </c>
      <c r="AG1286" s="9">
        <v>2</v>
      </c>
      <c r="AH1286" s="3">
        <v>0</v>
      </c>
      <c r="AI1286" s="3">
        <v>0</v>
      </c>
      <c r="AJ1286" s="3">
        <v>1</v>
      </c>
      <c r="AK1286" s="3">
        <v>1</v>
      </c>
      <c r="AL1286" s="3">
        <v>0</v>
      </c>
      <c r="AM1286" s="3">
        <v>0</v>
      </c>
      <c r="AN1286" s="3">
        <v>1</v>
      </c>
      <c r="AO1286" s="3">
        <v>1</v>
      </c>
      <c r="AP1286" s="3">
        <v>0</v>
      </c>
      <c r="AQ1286" s="3">
        <v>0</v>
      </c>
      <c r="AR1286" s="2" t="s">
        <v>5</v>
      </c>
      <c r="AS1286" s="2" t="s">
        <v>46</v>
      </c>
      <c r="AT1286" s="5" t="str">
        <f>HYPERLINK("http://catalog.hathitrust.org/Record/101388920","HathiTrust Record")</f>
        <v>HathiTrust Record</v>
      </c>
      <c r="AU1286" s="5" t="str">
        <f>HYPERLINK("https://creighton-primo.hosted.exlibrisgroup.com/primo-explore/search?tab=default_tab&amp;search_scope=EVERYTHING&amp;vid=01CRU&amp;lang=en_US&amp;offset=0&amp;query=any,contains,991003759249702656","Catalog Record")</f>
        <v>Catalog Record</v>
      </c>
      <c r="AV1286" s="5" t="str">
        <f>HYPERLINK("http://www.worldcat.org/oclc/1049466","WorldCat Record")</f>
        <v>WorldCat Record</v>
      </c>
      <c r="AW1286" s="2" t="s">
        <v>15735</v>
      </c>
      <c r="AX1286" s="2" t="s">
        <v>15736</v>
      </c>
      <c r="AY1286" s="2" t="s">
        <v>15737</v>
      </c>
      <c r="AZ1286" s="2" t="s">
        <v>15737</v>
      </c>
      <c r="BA1286" s="2" t="s">
        <v>15738</v>
      </c>
      <c r="BB1286" s="2" t="s">
        <v>20</v>
      </c>
      <c r="BE1286" s="2" t="s">
        <v>15739</v>
      </c>
      <c r="BF1286" s="2" t="s">
        <v>15740</v>
      </c>
    </row>
    <row r="1287" spans="1:58" ht="39.75" customHeight="1" x14ac:dyDescent="0.25">
      <c r="A1287" s="7" t="s">
        <v>5</v>
      </c>
      <c r="B1287" s="1" t="s">
        <v>0</v>
      </c>
      <c r="C1287" s="1" t="s">
        <v>1</v>
      </c>
      <c r="D1287" s="1" t="s">
        <v>15741</v>
      </c>
      <c r="E1287" s="1" t="s">
        <v>15742</v>
      </c>
      <c r="F1287" s="1" t="s">
        <v>15743</v>
      </c>
      <c r="H1287" s="2" t="s">
        <v>5</v>
      </c>
      <c r="I1287" s="2" t="s">
        <v>6</v>
      </c>
      <c r="J1287" s="2" t="s">
        <v>5</v>
      </c>
      <c r="K1287" s="2" t="s">
        <v>5</v>
      </c>
      <c r="L1287" s="2" t="s">
        <v>7</v>
      </c>
      <c r="M1287" s="1" t="s">
        <v>15744</v>
      </c>
      <c r="N1287" s="1" t="s">
        <v>15745</v>
      </c>
      <c r="O1287" s="2" t="s">
        <v>2610</v>
      </c>
      <c r="Q1287" s="2" t="s">
        <v>1151</v>
      </c>
      <c r="R1287" s="2" t="s">
        <v>4146</v>
      </c>
      <c r="S1287" s="1" t="s">
        <v>15746</v>
      </c>
      <c r="T1287" s="2" t="s">
        <v>13</v>
      </c>
      <c r="U1287" s="3">
        <v>1</v>
      </c>
      <c r="V1287" s="3">
        <v>1</v>
      </c>
      <c r="W1287" s="4" t="s">
        <v>6036</v>
      </c>
      <c r="X1287" s="4" t="s">
        <v>6036</v>
      </c>
      <c r="Y1287" s="4" t="s">
        <v>6036</v>
      </c>
      <c r="Z1287" s="4" t="s">
        <v>6036</v>
      </c>
      <c r="AA1287" s="3">
        <v>41</v>
      </c>
      <c r="AB1287" s="3">
        <v>38</v>
      </c>
      <c r="AC1287" s="3">
        <v>38</v>
      </c>
      <c r="AD1287" s="3">
        <v>1</v>
      </c>
      <c r="AE1287" s="9">
        <v>1</v>
      </c>
      <c r="AF1287" s="9">
        <v>0</v>
      </c>
      <c r="AG1287" s="9">
        <v>0</v>
      </c>
      <c r="AH1287" s="3">
        <v>0</v>
      </c>
      <c r="AI1287" s="3">
        <v>0</v>
      </c>
      <c r="AJ1287" s="3">
        <v>0</v>
      </c>
      <c r="AK1287" s="3">
        <v>0</v>
      </c>
      <c r="AL1287" s="3">
        <v>0</v>
      </c>
      <c r="AM1287" s="3">
        <v>0</v>
      </c>
      <c r="AN1287" s="3">
        <v>0</v>
      </c>
      <c r="AO1287" s="3">
        <v>0</v>
      </c>
      <c r="AP1287" s="3">
        <v>0</v>
      </c>
      <c r="AQ1287" s="3">
        <v>0</v>
      </c>
      <c r="AR1287" s="2" t="s">
        <v>5</v>
      </c>
      <c r="AS1287" s="2" t="s">
        <v>5</v>
      </c>
      <c r="AU1287" s="5" t="str">
        <f>HYPERLINK("https://creighton-primo.hosted.exlibrisgroup.com/primo-explore/search?tab=default_tab&amp;search_scope=EVERYTHING&amp;vid=01CRU&amp;lang=en_US&amp;offset=0&amp;query=any,contains,991004334439702656","Catalog Record")</f>
        <v>Catalog Record</v>
      </c>
      <c r="AV1287" s="5" t="str">
        <f>HYPERLINK("http://www.worldcat.org/oclc/22533975","WorldCat Record")</f>
        <v>WorldCat Record</v>
      </c>
      <c r="AW1287" s="2" t="s">
        <v>15747</v>
      </c>
      <c r="AX1287" s="2" t="s">
        <v>15748</v>
      </c>
      <c r="AY1287" s="2" t="s">
        <v>15749</v>
      </c>
      <c r="AZ1287" s="2" t="s">
        <v>15749</v>
      </c>
      <c r="BA1287" s="2" t="s">
        <v>15750</v>
      </c>
      <c r="BB1287" s="2" t="s">
        <v>20</v>
      </c>
      <c r="BD1287" s="2" t="s">
        <v>15751</v>
      </c>
      <c r="BE1287" s="2" t="s">
        <v>15752</v>
      </c>
      <c r="BF1287" s="2" t="s">
        <v>15753</v>
      </c>
    </row>
    <row r="1288" spans="1:58" ht="39.75" customHeight="1" x14ac:dyDescent="0.25">
      <c r="A1288" s="7" t="s">
        <v>5</v>
      </c>
      <c r="B1288" s="1" t="s">
        <v>0</v>
      </c>
      <c r="C1288" s="1" t="s">
        <v>1</v>
      </c>
      <c r="D1288" s="1" t="s">
        <v>15754</v>
      </c>
      <c r="E1288" s="1" t="s">
        <v>15755</v>
      </c>
      <c r="F1288" s="1" t="s">
        <v>15756</v>
      </c>
      <c r="H1288" s="2" t="s">
        <v>5</v>
      </c>
      <c r="I1288" s="2" t="s">
        <v>6</v>
      </c>
      <c r="J1288" s="2" t="s">
        <v>5</v>
      </c>
      <c r="K1288" s="2" t="s">
        <v>5</v>
      </c>
      <c r="L1288" s="2" t="s">
        <v>7</v>
      </c>
      <c r="M1288" s="1" t="s">
        <v>15757</v>
      </c>
      <c r="N1288" s="1" t="s">
        <v>15758</v>
      </c>
      <c r="O1288" s="2" t="s">
        <v>791</v>
      </c>
      <c r="Q1288" s="2" t="s">
        <v>1151</v>
      </c>
      <c r="R1288" s="2" t="s">
        <v>4146</v>
      </c>
      <c r="S1288" s="1" t="s">
        <v>14063</v>
      </c>
      <c r="T1288" s="2" t="s">
        <v>13</v>
      </c>
      <c r="U1288" s="3">
        <v>1</v>
      </c>
      <c r="V1288" s="3">
        <v>1</v>
      </c>
      <c r="W1288" s="4" t="s">
        <v>1154</v>
      </c>
      <c r="X1288" s="4" t="s">
        <v>1154</v>
      </c>
      <c r="Y1288" s="4" t="s">
        <v>1154</v>
      </c>
      <c r="Z1288" s="4" t="s">
        <v>1154</v>
      </c>
      <c r="AA1288" s="3">
        <v>31</v>
      </c>
      <c r="AB1288" s="3">
        <v>24</v>
      </c>
      <c r="AC1288" s="3">
        <v>32</v>
      </c>
      <c r="AD1288" s="3">
        <v>2</v>
      </c>
      <c r="AE1288" s="9">
        <v>2</v>
      </c>
      <c r="AF1288" s="9">
        <v>1</v>
      </c>
      <c r="AG1288" s="9">
        <v>1</v>
      </c>
      <c r="AH1288" s="3">
        <v>0</v>
      </c>
      <c r="AI1288" s="3">
        <v>0</v>
      </c>
      <c r="AJ1288" s="3">
        <v>0</v>
      </c>
      <c r="AK1288" s="3">
        <v>0</v>
      </c>
      <c r="AL1288" s="3">
        <v>0</v>
      </c>
      <c r="AM1288" s="3">
        <v>0</v>
      </c>
      <c r="AN1288" s="3">
        <v>1</v>
      </c>
      <c r="AO1288" s="3">
        <v>1</v>
      </c>
      <c r="AP1288" s="3">
        <v>0</v>
      </c>
      <c r="AQ1288" s="3">
        <v>0</v>
      </c>
      <c r="AR1288" s="2" t="s">
        <v>5</v>
      </c>
      <c r="AS1288" s="2" t="s">
        <v>46</v>
      </c>
      <c r="AT1288" s="5" t="str">
        <f>HYPERLINK("http://catalog.hathitrust.org/Record/101162467","HathiTrust Record")</f>
        <v>HathiTrust Record</v>
      </c>
      <c r="AU1288" s="5" t="str">
        <f>HYPERLINK("https://creighton-primo.hosted.exlibrisgroup.com/primo-explore/search?tab=default_tab&amp;search_scope=EVERYTHING&amp;vid=01CRU&amp;lang=en_US&amp;offset=0&amp;query=any,contains,991003846739702656","Catalog Record")</f>
        <v>Catalog Record</v>
      </c>
      <c r="AV1288" s="5" t="str">
        <f>HYPERLINK("http://www.worldcat.org/oclc/2418346","WorldCat Record")</f>
        <v>WorldCat Record</v>
      </c>
      <c r="AW1288" s="2" t="s">
        <v>15759</v>
      </c>
      <c r="AX1288" s="2" t="s">
        <v>15760</v>
      </c>
      <c r="AY1288" s="2" t="s">
        <v>15761</v>
      </c>
      <c r="AZ1288" s="2" t="s">
        <v>15761</v>
      </c>
      <c r="BA1288" s="2" t="s">
        <v>15762</v>
      </c>
      <c r="BB1288" s="2" t="s">
        <v>20</v>
      </c>
      <c r="BE1288" s="2" t="s">
        <v>15763</v>
      </c>
      <c r="BF1288" s="2" t="s">
        <v>15764</v>
      </c>
    </row>
    <row r="1289" spans="1:58" ht="39.75" customHeight="1" x14ac:dyDescent="0.25">
      <c r="A1289" s="7" t="s">
        <v>5</v>
      </c>
      <c r="B1289" s="1" t="s">
        <v>0</v>
      </c>
      <c r="C1289" s="1" t="s">
        <v>1</v>
      </c>
      <c r="D1289" s="1" t="s">
        <v>15765</v>
      </c>
      <c r="E1289" s="1" t="s">
        <v>15766</v>
      </c>
      <c r="F1289" s="1" t="s">
        <v>15767</v>
      </c>
      <c r="H1289" s="2" t="s">
        <v>5</v>
      </c>
      <c r="I1289" s="2" t="s">
        <v>6</v>
      </c>
      <c r="J1289" s="2" t="s">
        <v>5</v>
      </c>
      <c r="K1289" s="2" t="s">
        <v>5</v>
      </c>
      <c r="L1289" s="2" t="s">
        <v>7</v>
      </c>
      <c r="M1289" s="1" t="s">
        <v>5750</v>
      </c>
      <c r="N1289" s="1" t="s">
        <v>15768</v>
      </c>
      <c r="O1289" s="2" t="s">
        <v>6611</v>
      </c>
      <c r="Q1289" s="2" t="s">
        <v>1151</v>
      </c>
      <c r="R1289" s="2" t="s">
        <v>4146</v>
      </c>
      <c r="S1289" s="1" t="s">
        <v>15769</v>
      </c>
      <c r="T1289" s="2" t="s">
        <v>13</v>
      </c>
      <c r="U1289" s="3">
        <v>1</v>
      </c>
      <c r="V1289" s="3">
        <v>1</v>
      </c>
      <c r="W1289" s="4" t="s">
        <v>10532</v>
      </c>
      <c r="X1289" s="4" t="s">
        <v>10532</v>
      </c>
      <c r="Y1289" s="4" t="s">
        <v>10532</v>
      </c>
      <c r="Z1289" s="4" t="s">
        <v>10532</v>
      </c>
      <c r="AA1289" s="3">
        <v>61</v>
      </c>
      <c r="AB1289" s="3">
        <v>53</v>
      </c>
      <c r="AC1289" s="3">
        <v>55</v>
      </c>
      <c r="AD1289" s="3">
        <v>1</v>
      </c>
      <c r="AE1289" s="9">
        <v>1</v>
      </c>
      <c r="AF1289" s="9">
        <v>3</v>
      </c>
      <c r="AG1289" s="9">
        <v>3</v>
      </c>
      <c r="AH1289" s="3">
        <v>0</v>
      </c>
      <c r="AI1289" s="3">
        <v>0</v>
      </c>
      <c r="AJ1289" s="3">
        <v>3</v>
      </c>
      <c r="AK1289" s="3">
        <v>3</v>
      </c>
      <c r="AL1289" s="3">
        <v>1</v>
      </c>
      <c r="AM1289" s="3">
        <v>1</v>
      </c>
      <c r="AN1289" s="3">
        <v>0</v>
      </c>
      <c r="AO1289" s="3">
        <v>0</v>
      </c>
      <c r="AP1289" s="3">
        <v>0</v>
      </c>
      <c r="AQ1289" s="3">
        <v>0</v>
      </c>
      <c r="AR1289" s="2" t="s">
        <v>5</v>
      </c>
      <c r="AS1289" s="2" t="s">
        <v>46</v>
      </c>
      <c r="AT1289" s="5" t="str">
        <f>HYPERLINK("http://catalog.hathitrust.org/Record/101165586","HathiTrust Record")</f>
        <v>HathiTrust Record</v>
      </c>
      <c r="AU1289" s="5" t="str">
        <f>HYPERLINK("https://creighton-primo.hosted.exlibrisgroup.com/primo-explore/search?tab=default_tab&amp;search_scope=EVERYTHING&amp;vid=01CRU&amp;lang=en_US&amp;offset=0&amp;query=any,contains,991003681449702656","Catalog Record")</f>
        <v>Catalog Record</v>
      </c>
      <c r="AV1289" s="5" t="str">
        <f>HYPERLINK("http://www.worldcat.org/oclc/35226099","WorldCat Record")</f>
        <v>WorldCat Record</v>
      </c>
      <c r="AW1289" s="2" t="s">
        <v>15770</v>
      </c>
      <c r="AX1289" s="2" t="s">
        <v>15771</v>
      </c>
      <c r="AY1289" s="2" t="s">
        <v>15772</v>
      </c>
      <c r="AZ1289" s="2" t="s">
        <v>15772</v>
      </c>
      <c r="BA1289" s="2" t="s">
        <v>15773</v>
      </c>
      <c r="BB1289" s="2" t="s">
        <v>20</v>
      </c>
      <c r="BD1289" s="2" t="s">
        <v>15774</v>
      </c>
      <c r="BE1289" s="2" t="s">
        <v>15775</v>
      </c>
      <c r="BF1289" s="2" t="s">
        <v>15776</v>
      </c>
    </row>
    <row r="1290" spans="1:58" ht="39.75" customHeight="1" x14ac:dyDescent="0.25">
      <c r="A1290" s="7" t="s">
        <v>5</v>
      </c>
      <c r="B1290" s="1" t="s">
        <v>0</v>
      </c>
      <c r="C1290" s="1" t="s">
        <v>1</v>
      </c>
      <c r="D1290" s="1" t="s">
        <v>15777</v>
      </c>
      <c r="E1290" s="1" t="s">
        <v>15778</v>
      </c>
      <c r="F1290" s="1" t="s">
        <v>15779</v>
      </c>
      <c r="H1290" s="2" t="s">
        <v>5</v>
      </c>
      <c r="I1290" s="2" t="s">
        <v>6</v>
      </c>
      <c r="J1290" s="2" t="s">
        <v>5</v>
      </c>
      <c r="K1290" s="2" t="s">
        <v>5</v>
      </c>
      <c r="L1290" s="2" t="s">
        <v>7</v>
      </c>
      <c r="M1290" s="1" t="s">
        <v>15780</v>
      </c>
      <c r="N1290" s="1" t="s">
        <v>15781</v>
      </c>
      <c r="O1290" s="2" t="s">
        <v>248</v>
      </c>
      <c r="Q1290" s="2" t="s">
        <v>1151</v>
      </c>
      <c r="R1290" s="2" t="s">
        <v>4146</v>
      </c>
      <c r="S1290" s="1" t="s">
        <v>13612</v>
      </c>
      <c r="T1290" s="2" t="s">
        <v>13</v>
      </c>
      <c r="U1290" s="3">
        <v>1</v>
      </c>
      <c r="V1290" s="3">
        <v>1</v>
      </c>
      <c r="W1290" s="4" t="s">
        <v>1154</v>
      </c>
      <c r="X1290" s="4" t="s">
        <v>1154</v>
      </c>
      <c r="Y1290" s="4" t="s">
        <v>1154</v>
      </c>
      <c r="Z1290" s="4" t="s">
        <v>1154</v>
      </c>
      <c r="AA1290" s="3">
        <v>45</v>
      </c>
      <c r="AB1290" s="3">
        <v>33</v>
      </c>
      <c r="AC1290" s="3">
        <v>51</v>
      </c>
      <c r="AD1290" s="3">
        <v>1</v>
      </c>
      <c r="AE1290" s="9">
        <v>1</v>
      </c>
      <c r="AF1290" s="9">
        <v>0</v>
      </c>
      <c r="AG1290" s="9">
        <v>2</v>
      </c>
      <c r="AH1290" s="3">
        <v>0</v>
      </c>
      <c r="AI1290" s="3">
        <v>0</v>
      </c>
      <c r="AJ1290" s="3">
        <v>0</v>
      </c>
      <c r="AK1290" s="3">
        <v>1</v>
      </c>
      <c r="AL1290" s="3">
        <v>0</v>
      </c>
      <c r="AM1290" s="3">
        <v>1</v>
      </c>
      <c r="AN1290" s="3">
        <v>0</v>
      </c>
      <c r="AO1290" s="3">
        <v>0</v>
      </c>
      <c r="AP1290" s="3">
        <v>0</v>
      </c>
      <c r="AQ1290" s="3">
        <v>0</v>
      </c>
      <c r="AR1290" s="2" t="s">
        <v>5</v>
      </c>
      <c r="AS1290" s="2" t="s">
        <v>46</v>
      </c>
      <c r="AT1290" s="5" t="str">
        <f>HYPERLINK("http://catalog.hathitrust.org/Record/101165619","HathiTrust Record")</f>
        <v>HathiTrust Record</v>
      </c>
      <c r="AU1290" s="5" t="str">
        <f>HYPERLINK("https://creighton-primo.hosted.exlibrisgroup.com/primo-explore/search?tab=default_tab&amp;search_scope=EVERYTHING&amp;vid=01CRU&amp;lang=en_US&amp;offset=0&amp;query=any,contains,991003846679702656","Catalog Record")</f>
        <v>Catalog Record</v>
      </c>
      <c r="AV1290" s="5" t="str">
        <f>HYPERLINK("http://www.worldcat.org/oclc/939490","WorldCat Record")</f>
        <v>WorldCat Record</v>
      </c>
      <c r="AW1290" s="2" t="s">
        <v>15782</v>
      </c>
      <c r="AX1290" s="2" t="s">
        <v>15783</v>
      </c>
      <c r="AY1290" s="2" t="s">
        <v>15784</v>
      </c>
      <c r="AZ1290" s="2" t="s">
        <v>15784</v>
      </c>
      <c r="BA1290" s="2" t="s">
        <v>15785</v>
      </c>
      <c r="BB1290" s="2" t="s">
        <v>20</v>
      </c>
      <c r="BE1290" s="2" t="s">
        <v>15786</v>
      </c>
      <c r="BF1290" s="2" t="s">
        <v>15787</v>
      </c>
    </row>
    <row r="1291" spans="1:58" ht="39.75" customHeight="1" x14ac:dyDescent="0.25">
      <c r="A1291" s="7" t="s">
        <v>5</v>
      </c>
      <c r="B1291" s="1" t="s">
        <v>0</v>
      </c>
      <c r="C1291" s="1" t="s">
        <v>1</v>
      </c>
      <c r="D1291" s="1" t="s">
        <v>15788</v>
      </c>
      <c r="E1291" s="1" t="s">
        <v>15789</v>
      </c>
      <c r="F1291" s="1" t="s">
        <v>15790</v>
      </c>
      <c r="H1291" s="2" t="s">
        <v>5</v>
      </c>
      <c r="I1291" s="2" t="s">
        <v>6</v>
      </c>
      <c r="J1291" s="2" t="s">
        <v>5</v>
      </c>
      <c r="K1291" s="2" t="s">
        <v>5</v>
      </c>
      <c r="L1291" s="2" t="s">
        <v>7</v>
      </c>
      <c r="M1291" s="1" t="s">
        <v>15780</v>
      </c>
      <c r="N1291" s="1" t="s">
        <v>15791</v>
      </c>
      <c r="O1291" s="2" t="s">
        <v>1390</v>
      </c>
      <c r="Q1291" s="2" t="s">
        <v>1151</v>
      </c>
      <c r="R1291" s="2" t="s">
        <v>4146</v>
      </c>
      <c r="S1291" s="1" t="s">
        <v>15694</v>
      </c>
      <c r="T1291" s="2" t="s">
        <v>13</v>
      </c>
      <c r="U1291" s="3">
        <v>1</v>
      </c>
      <c r="V1291" s="3">
        <v>1</v>
      </c>
      <c r="W1291" s="4" t="s">
        <v>6701</v>
      </c>
      <c r="X1291" s="4" t="s">
        <v>6701</v>
      </c>
      <c r="Y1291" s="4" t="s">
        <v>13952</v>
      </c>
      <c r="Z1291" s="4" t="s">
        <v>13952</v>
      </c>
      <c r="AA1291" s="3">
        <v>41</v>
      </c>
      <c r="AB1291" s="3">
        <v>30</v>
      </c>
      <c r="AC1291" s="3">
        <v>31</v>
      </c>
      <c r="AD1291" s="3">
        <v>1</v>
      </c>
      <c r="AE1291" s="9">
        <v>1</v>
      </c>
      <c r="AF1291" s="9">
        <v>2</v>
      </c>
      <c r="AG1291" s="9">
        <v>2</v>
      </c>
      <c r="AH1291" s="3">
        <v>1</v>
      </c>
      <c r="AI1291" s="3">
        <v>1</v>
      </c>
      <c r="AJ1291" s="3">
        <v>1</v>
      </c>
      <c r="AK1291" s="3">
        <v>1</v>
      </c>
      <c r="AL1291" s="3">
        <v>0</v>
      </c>
      <c r="AM1291" s="3">
        <v>0</v>
      </c>
      <c r="AN1291" s="3">
        <v>0</v>
      </c>
      <c r="AO1291" s="3">
        <v>0</v>
      </c>
      <c r="AP1291" s="3">
        <v>0</v>
      </c>
      <c r="AQ1291" s="3">
        <v>0</v>
      </c>
      <c r="AR1291" s="2" t="s">
        <v>5</v>
      </c>
      <c r="AS1291" s="2" t="s">
        <v>46</v>
      </c>
      <c r="AT1291" s="5" t="str">
        <f>HYPERLINK("http://catalog.hathitrust.org/Record/101165620","HathiTrust Record")</f>
        <v>HathiTrust Record</v>
      </c>
      <c r="AU1291" s="5" t="str">
        <f>HYPERLINK("https://creighton-primo.hosted.exlibrisgroup.com/primo-explore/search?tab=default_tab&amp;search_scope=EVERYTHING&amp;vid=01CRU&amp;lang=en_US&amp;offset=0&amp;query=any,contains,991003762399702656","Catalog Record")</f>
        <v>Catalog Record</v>
      </c>
      <c r="AV1291" s="5" t="str">
        <f>HYPERLINK("http://www.worldcat.org/oclc/6393058","WorldCat Record")</f>
        <v>WorldCat Record</v>
      </c>
      <c r="AW1291" s="2" t="s">
        <v>15792</v>
      </c>
      <c r="AX1291" s="2" t="s">
        <v>15793</v>
      </c>
      <c r="AY1291" s="2" t="s">
        <v>15794</v>
      </c>
      <c r="AZ1291" s="2" t="s">
        <v>15794</v>
      </c>
      <c r="BA1291" s="2" t="s">
        <v>15795</v>
      </c>
      <c r="BB1291" s="2" t="s">
        <v>20</v>
      </c>
      <c r="BE1291" s="2" t="s">
        <v>15796</v>
      </c>
      <c r="BF1291" s="2" t="s">
        <v>15797</v>
      </c>
    </row>
    <row r="1292" spans="1:58" ht="39.75" customHeight="1" x14ac:dyDescent="0.25">
      <c r="A1292" s="7" t="s">
        <v>5</v>
      </c>
      <c r="B1292" s="1" t="s">
        <v>0</v>
      </c>
      <c r="C1292" s="1" t="s">
        <v>1</v>
      </c>
      <c r="D1292" s="1" t="s">
        <v>15798</v>
      </c>
      <c r="E1292" s="1" t="s">
        <v>15799</v>
      </c>
      <c r="F1292" s="1" t="s">
        <v>15800</v>
      </c>
      <c r="H1292" s="2" t="s">
        <v>5</v>
      </c>
      <c r="I1292" s="2" t="s">
        <v>6</v>
      </c>
      <c r="J1292" s="2" t="s">
        <v>5</v>
      </c>
      <c r="K1292" s="2" t="s">
        <v>5</v>
      </c>
      <c r="L1292" s="2" t="s">
        <v>7</v>
      </c>
      <c r="M1292" s="1" t="s">
        <v>15523</v>
      </c>
      <c r="N1292" s="1" t="s">
        <v>4145</v>
      </c>
      <c r="O1292" s="2" t="s">
        <v>121</v>
      </c>
      <c r="Q1292" s="2" t="s">
        <v>1151</v>
      </c>
      <c r="R1292" s="2" t="s">
        <v>4146</v>
      </c>
      <c r="S1292" s="1" t="s">
        <v>9800</v>
      </c>
      <c r="T1292" s="2" t="s">
        <v>13</v>
      </c>
      <c r="U1292" s="3">
        <v>1</v>
      </c>
      <c r="V1292" s="3">
        <v>1</v>
      </c>
      <c r="W1292" s="4" t="s">
        <v>6701</v>
      </c>
      <c r="X1292" s="4" t="s">
        <v>6701</v>
      </c>
      <c r="Y1292" s="4" t="s">
        <v>13952</v>
      </c>
      <c r="Z1292" s="4" t="s">
        <v>13952</v>
      </c>
      <c r="AA1292" s="3">
        <v>29</v>
      </c>
      <c r="AB1292" s="3">
        <v>21</v>
      </c>
      <c r="AC1292" s="3">
        <v>67</v>
      </c>
      <c r="AD1292" s="3">
        <v>1</v>
      </c>
      <c r="AE1292" s="9">
        <v>1</v>
      </c>
      <c r="AF1292" s="9">
        <v>0</v>
      </c>
      <c r="AG1292" s="9">
        <v>2</v>
      </c>
      <c r="AH1292" s="3">
        <v>0</v>
      </c>
      <c r="AI1292" s="3">
        <v>0</v>
      </c>
      <c r="AJ1292" s="3">
        <v>0</v>
      </c>
      <c r="AK1292" s="3">
        <v>2</v>
      </c>
      <c r="AL1292" s="3">
        <v>0</v>
      </c>
      <c r="AM1292" s="3">
        <v>1</v>
      </c>
      <c r="AN1292" s="3">
        <v>0</v>
      </c>
      <c r="AO1292" s="3">
        <v>0</v>
      </c>
      <c r="AP1292" s="3">
        <v>0</v>
      </c>
      <c r="AQ1292" s="3">
        <v>0</v>
      </c>
      <c r="AR1292" s="2" t="s">
        <v>5</v>
      </c>
      <c r="AS1292" s="2" t="s">
        <v>46</v>
      </c>
      <c r="AT1292" s="5" t="str">
        <f>HYPERLINK("http://catalog.hathitrust.org/Record/004760305","HathiTrust Record")</f>
        <v>HathiTrust Record</v>
      </c>
      <c r="AU1292" s="5" t="str">
        <f>HYPERLINK("https://creighton-primo.hosted.exlibrisgroup.com/primo-explore/search?tab=default_tab&amp;search_scope=EVERYTHING&amp;vid=01CRU&amp;lang=en_US&amp;offset=0&amp;query=any,contains,991003762719702656","Catalog Record")</f>
        <v>Catalog Record</v>
      </c>
      <c r="AV1292" s="5" t="str">
        <f>HYPERLINK("http://www.worldcat.org/oclc/2458193","WorldCat Record")</f>
        <v>WorldCat Record</v>
      </c>
      <c r="AW1292" s="2" t="s">
        <v>15801</v>
      </c>
      <c r="AX1292" s="2" t="s">
        <v>15802</v>
      </c>
      <c r="AY1292" s="2" t="s">
        <v>15803</v>
      </c>
      <c r="AZ1292" s="2" t="s">
        <v>15803</v>
      </c>
      <c r="BA1292" s="2" t="s">
        <v>15804</v>
      </c>
      <c r="BB1292" s="2" t="s">
        <v>20</v>
      </c>
      <c r="BE1292" s="2" t="s">
        <v>15805</v>
      </c>
      <c r="BF1292" s="2" t="s">
        <v>15806</v>
      </c>
    </row>
    <row r="1293" spans="1:58" ht="39.75" customHeight="1" x14ac:dyDescent="0.25">
      <c r="A1293" s="7" t="s">
        <v>5</v>
      </c>
      <c r="B1293" s="1" t="s">
        <v>0</v>
      </c>
      <c r="C1293" s="1" t="s">
        <v>1</v>
      </c>
      <c r="D1293" s="1" t="s">
        <v>15807</v>
      </c>
      <c r="E1293" s="1" t="s">
        <v>15808</v>
      </c>
      <c r="F1293" s="1" t="s">
        <v>15809</v>
      </c>
      <c r="H1293" s="2" t="s">
        <v>5</v>
      </c>
      <c r="I1293" s="2" t="s">
        <v>6</v>
      </c>
      <c r="J1293" s="2" t="s">
        <v>5</v>
      </c>
      <c r="K1293" s="2" t="s">
        <v>5</v>
      </c>
      <c r="L1293" s="2" t="s">
        <v>7</v>
      </c>
      <c r="M1293" s="1" t="s">
        <v>15523</v>
      </c>
      <c r="N1293" s="1" t="s">
        <v>15810</v>
      </c>
      <c r="O1293" s="2" t="s">
        <v>2610</v>
      </c>
      <c r="Q1293" s="2" t="s">
        <v>1151</v>
      </c>
      <c r="R1293" s="2" t="s">
        <v>4146</v>
      </c>
      <c r="S1293" s="1" t="s">
        <v>15811</v>
      </c>
      <c r="T1293" s="2" t="s">
        <v>13</v>
      </c>
      <c r="U1293" s="3">
        <v>2</v>
      </c>
      <c r="V1293" s="3">
        <v>2</v>
      </c>
      <c r="W1293" s="4" t="s">
        <v>15398</v>
      </c>
      <c r="X1293" s="4" t="s">
        <v>15398</v>
      </c>
      <c r="Y1293" s="4" t="s">
        <v>15398</v>
      </c>
      <c r="Z1293" s="4" t="s">
        <v>15398</v>
      </c>
      <c r="AA1293" s="3">
        <v>101</v>
      </c>
      <c r="AB1293" s="3">
        <v>79</v>
      </c>
      <c r="AC1293" s="3">
        <v>81</v>
      </c>
      <c r="AD1293" s="3">
        <v>2</v>
      </c>
      <c r="AE1293" s="9">
        <v>2</v>
      </c>
      <c r="AF1293" s="9">
        <v>5</v>
      </c>
      <c r="AG1293" s="9">
        <v>5</v>
      </c>
      <c r="AH1293" s="3">
        <v>0</v>
      </c>
      <c r="AI1293" s="3">
        <v>0</v>
      </c>
      <c r="AJ1293" s="3">
        <v>3</v>
      </c>
      <c r="AK1293" s="3">
        <v>3</v>
      </c>
      <c r="AL1293" s="3">
        <v>3</v>
      </c>
      <c r="AM1293" s="3">
        <v>3</v>
      </c>
      <c r="AN1293" s="3">
        <v>1</v>
      </c>
      <c r="AO1293" s="3">
        <v>1</v>
      </c>
      <c r="AP1293" s="3">
        <v>0</v>
      </c>
      <c r="AQ1293" s="3">
        <v>0</v>
      </c>
      <c r="AR1293" s="2" t="s">
        <v>5</v>
      </c>
      <c r="AS1293" s="2" t="s">
        <v>46</v>
      </c>
      <c r="AT1293" s="5" t="str">
        <f>HYPERLINK("http://catalog.hathitrust.org/Record/002879962","HathiTrust Record")</f>
        <v>HathiTrust Record</v>
      </c>
      <c r="AU1293" s="5" t="str">
        <f>HYPERLINK("https://creighton-primo.hosted.exlibrisgroup.com/primo-explore/search?tab=default_tab&amp;search_scope=EVERYTHING&amp;vid=01CRU&amp;lang=en_US&amp;offset=0&amp;query=any,contains,991003714839702656","Catalog Record")</f>
        <v>Catalog Record</v>
      </c>
      <c r="AV1293" s="5" t="str">
        <f>HYPERLINK("http://www.worldcat.org/oclc/24147941","WorldCat Record")</f>
        <v>WorldCat Record</v>
      </c>
      <c r="AW1293" s="2" t="s">
        <v>15812</v>
      </c>
      <c r="AX1293" s="2" t="s">
        <v>15813</v>
      </c>
      <c r="AY1293" s="2" t="s">
        <v>15814</v>
      </c>
      <c r="AZ1293" s="2" t="s">
        <v>15814</v>
      </c>
      <c r="BA1293" s="2" t="s">
        <v>15815</v>
      </c>
      <c r="BB1293" s="2" t="s">
        <v>20</v>
      </c>
      <c r="BD1293" s="2" t="s">
        <v>15816</v>
      </c>
      <c r="BE1293" s="2" t="s">
        <v>15817</v>
      </c>
      <c r="BF1293" s="2" t="s">
        <v>15818</v>
      </c>
    </row>
    <row r="1294" spans="1:58" ht="39.75" customHeight="1" x14ac:dyDescent="0.25">
      <c r="A1294" s="7" t="s">
        <v>5</v>
      </c>
      <c r="B1294" s="1" t="s">
        <v>0</v>
      </c>
      <c r="C1294" s="1" t="s">
        <v>1</v>
      </c>
      <c r="D1294" s="1" t="s">
        <v>15819</v>
      </c>
      <c r="E1294" s="1" t="s">
        <v>15820</v>
      </c>
      <c r="F1294" s="1" t="s">
        <v>15821</v>
      </c>
      <c r="H1294" s="2" t="s">
        <v>5</v>
      </c>
      <c r="I1294" s="2" t="s">
        <v>6</v>
      </c>
      <c r="J1294" s="2" t="s">
        <v>5</v>
      </c>
      <c r="K1294" s="2" t="s">
        <v>5</v>
      </c>
      <c r="L1294" s="2" t="s">
        <v>7</v>
      </c>
      <c r="M1294" s="1" t="s">
        <v>15822</v>
      </c>
      <c r="N1294" s="1" t="s">
        <v>15823</v>
      </c>
      <c r="O1294" s="2" t="s">
        <v>162</v>
      </c>
      <c r="Q1294" s="2" t="s">
        <v>1151</v>
      </c>
      <c r="R1294" s="2" t="s">
        <v>4146</v>
      </c>
      <c r="S1294" s="1" t="s">
        <v>14063</v>
      </c>
      <c r="T1294" s="2" t="s">
        <v>13</v>
      </c>
      <c r="U1294" s="3">
        <v>2</v>
      </c>
      <c r="V1294" s="3">
        <v>2</v>
      </c>
      <c r="W1294" s="4" t="s">
        <v>8284</v>
      </c>
      <c r="X1294" s="4" t="s">
        <v>8284</v>
      </c>
      <c r="Y1294" s="4" t="s">
        <v>8284</v>
      </c>
      <c r="Z1294" s="4" t="s">
        <v>8284</v>
      </c>
      <c r="AA1294" s="3">
        <v>24</v>
      </c>
      <c r="AB1294" s="3">
        <v>15</v>
      </c>
      <c r="AC1294" s="3">
        <v>18</v>
      </c>
      <c r="AD1294" s="3">
        <v>2</v>
      </c>
      <c r="AE1294" s="9">
        <v>2</v>
      </c>
      <c r="AF1294" s="9">
        <v>1</v>
      </c>
      <c r="AG1294" s="9">
        <v>1</v>
      </c>
      <c r="AH1294" s="3">
        <v>0</v>
      </c>
      <c r="AI1294" s="3">
        <v>0</v>
      </c>
      <c r="AJ1294" s="3">
        <v>0</v>
      </c>
      <c r="AK1294" s="3">
        <v>0</v>
      </c>
      <c r="AL1294" s="3">
        <v>0</v>
      </c>
      <c r="AM1294" s="3">
        <v>0</v>
      </c>
      <c r="AN1294" s="3">
        <v>1</v>
      </c>
      <c r="AO1294" s="3">
        <v>1</v>
      </c>
      <c r="AP1294" s="3">
        <v>0</v>
      </c>
      <c r="AQ1294" s="3">
        <v>0</v>
      </c>
      <c r="AR1294" s="2" t="s">
        <v>5</v>
      </c>
      <c r="AS1294" s="2" t="s">
        <v>46</v>
      </c>
      <c r="AT1294" s="5" t="str">
        <f>HYPERLINK("http://catalog.hathitrust.org/Record/101165720","HathiTrust Record")</f>
        <v>HathiTrust Record</v>
      </c>
      <c r="AU1294" s="5" t="str">
        <f>HYPERLINK("https://creighton-primo.hosted.exlibrisgroup.com/primo-explore/search?tab=default_tab&amp;search_scope=EVERYTHING&amp;vid=01CRU&amp;lang=en_US&amp;offset=0&amp;query=any,contains,991003750429702656","Catalog Record")</f>
        <v>Catalog Record</v>
      </c>
      <c r="AV1294" s="5" t="str">
        <f>HYPERLINK("http://www.worldcat.org/oclc/1984719","WorldCat Record")</f>
        <v>WorldCat Record</v>
      </c>
      <c r="AW1294" s="2" t="s">
        <v>15824</v>
      </c>
      <c r="AX1294" s="2" t="s">
        <v>15825</v>
      </c>
      <c r="AY1294" s="2" t="s">
        <v>15826</v>
      </c>
      <c r="AZ1294" s="2" t="s">
        <v>15826</v>
      </c>
      <c r="BA1294" s="2" t="s">
        <v>15827</v>
      </c>
      <c r="BB1294" s="2" t="s">
        <v>20</v>
      </c>
      <c r="BE1294" s="2" t="s">
        <v>15828</v>
      </c>
      <c r="BF1294" s="2" t="s">
        <v>15829</v>
      </c>
    </row>
    <row r="1295" spans="1:58" ht="39.75" customHeight="1" x14ac:dyDescent="0.25">
      <c r="A1295" s="7" t="s">
        <v>5</v>
      </c>
      <c r="B1295" s="1" t="s">
        <v>0</v>
      </c>
      <c r="C1295" s="1" t="s">
        <v>1</v>
      </c>
      <c r="D1295" s="1" t="s">
        <v>15830</v>
      </c>
      <c r="E1295" s="1" t="s">
        <v>15831</v>
      </c>
      <c r="F1295" s="1" t="s">
        <v>15832</v>
      </c>
      <c r="H1295" s="2" t="s">
        <v>5</v>
      </c>
      <c r="I1295" s="2" t="s">
        <v>6</v>
      </c>
      <c r="J1295" s="2" t="s">
        <v>5</v>
      </c>
      <c r="K1295" s="2" t="s">
        <v>5</v>
      </c>
      <c r="L1295" s="2" t="s">
        <v>7</v>
      </c>
      <c r="M1295" s="1" t="s">
        <v>15833</v>
      </c>
      <c r="N1295" s="1" t="s">
        <v>15834</v>
      </c>
      <c r="O1295" s="2" t="s">
        <v>6611</v>
      </c>
      <c r="P1295" s="1" t="s">
        <v>2908</v>
      </c>
      <c r="Q1295" s="2" t="s">
        <v>1151</v>
      </c>
      <c r="R1295" s="2" t="s">
        <v>4146</v>
      </c>
      <c r="S1295" s="1" t="s">
        <v>11037</v>
      </c>
      <c r="T1295" s="2" t="s">
        <v>13</v>
      </c>
      <c r="U1295" s="3">
        <v>1</v>
      </c>
      <c r="V1295" s="3">
        <v>1</v>
      </c>
      <c r="W1295" s="4" t="s">
        <v>6036</v>
      </c>
      <c r="X1295" s="4" t="s">
        <v>6036</v>
      </c>
      <c r="Y1295" s="4" t="s">
        <v>6036</v>
      </c>
      <c r="Z1295" s="4" t="s">
        <v>6036</v>
      </c>
      <c r="AA1295" s="3">
        <v>37</v>
      </c>
      <c r="AB1295" s="3">
        <v>30</v>
      </c>
      <c r="AC1295" s="3">
        <v>32</v>
      </c>
      <c r="AD1295" s="3">
        <v>1</v>
      </c>
      <c r="AE1295" s="9">
        <v>1</v>
      </c>
      <c r="AF1295" s="9">
        <v>2</v>
      </c>
      <c r="AG1295" s="9">
        <v>2</v>
      </c>
      <c r="AH1295" s="3">
        <v>1</v>
      </c>
      <c r="AI1295" s="3">
        <v>1</v>
      </c>
      <c r="AJ1295" s="3">
        <v>0</v>
      </c>
      <c r="AK1295" s="3">
        <v>0</v>
      </c>
      <c r="AL1295" s="3">
        <v>2</v>
      </c>
      <c r="AM1295" s="3">
        <v>2</v>
      </c>
      <c r="AN1295" s="3">
        <v>0</v>
      </c>
      <c r="AO1295" s="3">
        <v>0</v>
      </c>
      <c r="AP1295" s="3">
        <v>0</v>
      </c>
      <c r="AQ1295" s="3">
        <v>0</v>
      </c>
      <c r="AR1295" s="2" t="s">
        <v>5</v>
      </c>
      <c r="AS1295" s="2" t="s">
        <v>46</v>
      </c>
      <c r="AT1295" s="5" t="str">
        <f>HYPERLINK("http://catalog.hathitrust.org/Record/101165342","HathiTrust Record")</f>
        <v>HathiTrust Record</v>
      </c>
      <c r="AU1295" s="5" t="str">
        <f>HYPERLINK("https://creighton-primo.hosted.exlibrisgroup.com/primo-explore/search?tab=default_tab&amp;search_scope=EVERYTHING&amp;vid=01CRU&amp;lang=en_US&amp;offset=0&amp;query=any,contains,991004334829702656","Catalog Record")</f>
        <v>Catalog Record</v>
      </c>
      <c r="AV1295" s="5" t="str">
        <f>HYPERLINK("http://www.worldcat.org/oclc/33408346","WorldCat Record")</f>
        <v>WorldCat Record</v>
      </c>
      <c r="AW1295" s="2" t="s">
        <v>15835</v>
      </c>
      <c r="AX1295" s="2" t="s">
        <v>15836</v>
      </c>
      <c r="AY1295" s="2" t="s">
        <v>15837</v>
      </c>
      <c r="AZ1295" s="2" t="s">
        <v>15837</v>
      </c>
      <c r="BA1295" s="2" t="s">
        <v>15838</v>
      </c>
      <c r="BB1295" s="2" t="s">
        <v>20</v>
      </c>
      <c r="BD1295" s="2" t="s">
        <v>15839</v>
      </c>
      <c r="BE1295" s="2" t="s">
        <v>15840</v>
      </c>
      <c r="BF1295" s="2" t="s">
        <v>15841</v>
      </c>
    </row>
    <row r="1296" spans="1:58" ht="39.75" customHeight="1" x14ac:dyDescent="0.25">
      <c r="A1296" s="7" t="s">
        <v>5</v>
      </c>
      <c r="B1296" s="1" t="s">
        <v>0</v>
      </c>
      <c r="C1296" s="1" t="s">
        <v>1</v>
      </c>
      <c r="D1296" s="1" t="s">
        <v>15842</v>
      </c>
      <c r="E1296" s="1" t="s">
        <v>15843</v>
      </c>
      <c r="F1296" s="1" t="s">
        <v>15844</v>
      </c>
      <c r="H1296" s="2" t="s">
        <v>5</v>
      </c>
      <c r="I1296" s="2" t="s">
        <v>6</v>
      </c>
      <c r="J1296" s="2" t="s">
        <v>5</v>
      </c>
      <c r="K1296" s="2" t="s">
        <v>5</v>
      </c>
      <c r="L1296" s="2" t="s">
        <v>7</v>
      </c>
      <c r="M1296" s="1" t="s">
        <v>15845</v>
      </c>
      <c r="N1296" s="1" t="s">
        <v>15846</v>
      </c>
      <c r="O1296" s="2" t="s">
        <v>736</v>
      </c>
      <c r="P1296" s="1" t="s">
        <v>1488</v>
      </c>
      <c r="Q1296" s="2" t="s">
        <v>60</v>
      </c>
      <c r="R1296" s="2" t="s">
        <v>292</v>
      </c>
      <c r="T1296" s="2" t="s">
        <v>13</v>
      </c>
      <c r="U1296" s="3">
        <v>2</v>
      </c>
      <c r="V1296" s="3">
        <v>2</v>
      </c>
      <c r="W1296" s="4" t="s">
        <v>1461</v>
      </c>
      <c r="X1296" s="4" t="s">
        <v>1461</v>
      </c>
      <c r="Y1296" s="4" t="s">
        <v>15847</v>
      </c>
      <c r="Z1296" s="4" t="s">
        <v>15847</v>
      </c>
      <c r="AA1296" s="3">
        <v>218</v>
      </c>
      <c r="AB1296" s="3">
        <v>197</v>
      </c>
      <c r="AC1296" s="3">
        <v>205</v>
      </c>
      <c r="AD1296" s="3">
        <v>1</v>
      </c>
      <c r="AE1296" s="9">
        <v>1</v>
      </c>
      <c r="AF1296" s="9">
        <v>8</v>
      </c>
      <c r="AG1296" s="9">
        <v>8</v>
      </c>
      <c r="AH1296" s="3">
        <v>2</v>
      </c>
      <c r="AI1296" s="3">
        <v>2</v>
      </c>
      <c r="AJ1296" s="3">
        <v>3</v>
      </c>
      <c r="AK1296" s="3">
        <v>3</v>
      </c>
      <c r="AL1296" s="3">
        <v>5</v>
      </c>
      <c r="AM1296" s="3">
        <v>5</v>
      </c>
      <c r="AN1296" s="3">
        <v>0</v>
      </c>
      <c r="AO1296" s="3">
        <v>0</v>
      </c>
      <c r="AP1296" s="3">
        <v>0</v>
      </c>
      <c r="AQ1296" s="3">
        <v>0</v>
      </c>
      <c r="AR1296" s="2" t="s">
        <v>5</v>
      </c>
      <c r="AS1296" s="2" t="s">
        <v>46</v>
      </c>
      <c r="AT1296" s="5" t="str">
        <f>HYPERLINK("http://catalog.hathitrust.org/Record/002859942","HathiTrust Record")</f>
        <v>HathiTrust Record</v>
      </c>
      <c r="AU1296" s="5" t="str">
        <f>HYPERLINK("https://creighton-primo.hosted.exlibrisgroup.com/primo-explore/search?tab=default_tab&amp;search_scope=EVERYTHING&amp;vid=01CRU&amp;lang=en_US&amp;offset=0&amp;query=any,contains,991001872469702656","Catalog Record")</f>
        <v>Catalog Record</v>
      </c>
      <c r="AV1296" s="5" t="str">
        <f>HYPERLINK("http://www.worldcat.org/oclc/23649830","WorldCat Record")</f>
        <v>WorldCat Record</v>
      </c>
      <c r="AW1296" s="2" t="s">
        <v>15848</v>
      </c>
      <c r="AX1296" s="2" t="s">
        <v>15849</v>
      </c>
      <c r="AY1296" s="2" t="s">
        <v>15850</v>
      </c>
      <c r="AZ1296" s="2" t="s">
        <v>15850</v>
      </c>
      <c r="BA1296" s="2" t="s">
        <v>15851</v>
      </c>
      <c r="BB1296" s="2" t="s">
        <v>20</v>
      </c>
      <c r="BD1296" s="2" t="s">
        <v>15852</v>
      </c>
      <c r="BE1296" s="2" t="s">
        <v>15853</v>
      </c>
      <c r="BF1296" s="2" t="s">
        <v>15854</v>
      </c>
    </row>
    <row r="1297" spans="1:58" ht="39.75" customHeight="1" x14ac:dyDescent="0.25">
      <c r="A1297" s="7" t="s">
        <v>5</v>
      </c>
      <c r="B1297" s="1" t="s">
        <v>0</v>
      </c>
      <c r="C1297" s="1" t="s">
        <v>1</v>
      </c>
      <c r="D1297" s="1" t="s">
        <v>15855</v>
      </c>
      <c r="E1297" s="1" t="s">
        <v>15856</v>
      </c>
      <c r="F1297" s="1" t="s">
        <v>15857</v>
      </c>
      <c r="H1297" s="2" t="s">
        <v>5</v>
      </c>
      <c r="I1297" s="2" t="s">
        <v>6</v>
      </c>
      <c r="J1297" s="2" t="s">
        <v>5</v>
      </c>
      <c r="K1297" s="2" t="s">
        <v>5</v>
      </c>
      <c r="L1297" s="2" t="s">
        <v>7</v>
      </c>
      <c r="M1297" s="1" t="s">
        <v>15858</v>
      </c>
      <c r="N1297" s="1" t="s">
        <v>15859</v>
      </c>
      <c r="O1297" s="2" t="s">
        <v>494</v>
      </c>
      <c r="Q1297" s="2" t="s">
        <v>60</v>
      </c>
      <c r="R1297" s="2" t="s">
        <v>61</v>
      </c>
      <c r="S1297" s="1" t="s">
        <v>15860</v>
      </c>
      <c r="T1297" s="2" t="s">
        <v>13</v>
      </c>
      <c r="U1297" s="3">
        <v>2</v>
      </c>
      <c r="V1297" s="3">
        <v>2</v>
      </c>
      <c r="W1297" s="4" t="s">
        <v>15861</v>
      </c>
      <c r="X1297" s="4" t="s">
        <v>15861</v>
      </c>
      <c r="Y1297" s="4" t="s">
        <v>12606</v>
      </c>
      <c r="Z1297" s="4" t="s">
        <v>12606</v>
      </c>
      <c r="AA1297" s="3">
        <v>43</v>
      </c>
      <c r="AB1297" s="3">
        <v>38</v>
      </c>
      <c r="AC1297" s="3">
        <v>82</v>
      </c>
      <c r="AD1297" s="3">
        <v>1</v>
      </c>
      <c r="AE1297" s="9">
        <v>1</v>
      </c>
      <c r="AF1297" s="9">
        <v>1</v>
      </c>
      <c r="AG1297" s="9">
        <v>3</v>
      </c>
      <c r="AH1297" s="3">
        <v>1</v>
      </c>
      <c r="AI1297" s="3">
        <v>3</v>
      </c>
      <c r="AJ1297" s="3">
        <v>0</v>
      </c>
      <c r="AK1297" s="3">
        <v>0</v>
      </c>
      <c r="AL1297" s="3">
        <v>0</v>
      </c>
      <c r="AM1297" s="3">
        <v>1</v>
      </c>
      <c r="AN1297" s="3">
        <v>0</v>
      </c>
      <c r="AO1297" s="3">
        <v>0</v>
      </c>
      <c r="AP1297" s="3">
        <v>0</v>
      </c>
      <c r="AQ1297" s="3">
        <v>0</v>
      </c>
      <c r="AR1297" s="2" t="s">
        <v>5</v>
      </c>
      <c r="AS1297" s="2" t="s">
        <v>46</v>
      </c>
      <c r="AT1297" s="5" t="str">
        <f>HYPERLINK("http://catalog.hathitrust.org/Record/101017602","HathiTrust Record")</f>
        <v>HathiTrust Record</v>
      </c>
      <c r="AU1297" s="5" t="str">
        <f>HYPERLINK("https://creighton-primo.hosted.exlibrisgroup.com/primo-explore/search?tab=default_tab&amp;search_scope=EVERYTHING&amp;vid=01CRU&amp;lang=en_US&amp;offset=0&amp;query=any,contains,991004679709702656","Catalog Record")</f>
        <v>Catalog Record</v>
      </c>
      <c r="AV1297" s="5" t="str">
        <f>HYPERLINK("http://www.worldcat.org/oclc/4555360","WorldCat Record")</f>
        <v>WorldCat Record</v>
      </c>
      <c r="AW1297" s="2" t="s">
        <v>15862</v>
      </c>
      <c r="AX1297" s="2" t="s">
        <v>15863</v>
      </c>
      <c r="AY1297" s="2" t="s">
        <v>15864</v>
      </c>
      <c r="AZ1297" s="2" t="s">
        <v>15864</v>
      </c>
      <c r="BA1297" s="2" t="s">
        <v>15865</v>
      </c>
      <c r="BB1297" s="2" t="s">
        <v>20</v>
      </c>
      <c r="BD1297" s="2" t="s">
        <v>15866</v>
      </c>
      <c r="BE1297" s="2" t="s">
        <v>15867</v>
      </c>
      <c r="BF1297" s="2" t="s">
        <v>15868</v>
      </c>
    </row>
    <row r="1298" spans="1:58" ht="39.75" customHeight="1" x14ac:dyDescent="0.25">
      <c r="A1298" s="7" t="s">
        <v>5</v>
      </c>
      <c r="B1298" s="1" t="s">
        <v>0</v>
      </c>
      <c r="C1298" s="1" t="s">
        <v>1</v>
      </c>
      <c r="D1298" s="1" t="s">
        <v>15869</v>
      </c>
      <c r="E1298" s="1" t="s">
        <v>15870</v>
      </c>
      <c r="F1298" s="1" t="s">
        <v>15871</v>
      </c>
      <c r="H1298" s="2" t="s">
        <v>5</v>
      </c>
      <c r="I1298" s="2" t="s">
        <v>6</v>
      </c>
      <c r="J1298" s="2" t="s">
        <v>5</v>
      </c>
      <c r="K1298" s="2" t="s">
        <v>5</v>
      </c>
      <c r="L1298" s="2" t="s">
        <v>7</v>
      </c>
      <c r="M1298" s="1" t="s">
        <v>15872</v>
      </c>
      <c r="N1298" s="1" t="s">
        <v>15873</v>
      </c>
      <c r="O1298" s="2" t="s">
        <v>291</v>
      </c>
      <c r="Q1298" s="2" t="s">
        <v>1151</v>
      </c>
      <c r="R1298" s="2" t="s">
        <v>4146</v>
      </c>
      <c r="S1298" s="1" t="s">
        <v>15874</v>
      </c>
      <c r="T1298" s="2" t="s">
        <v>13</v>
      </c>
      <c r="U1298" s="3">
        <v>1</v>
      </c>
      <c r="V1298" s="3">
        <v>1</v>
      </c>
      <c r="W1298" s="4" t="s">
        <v>10532</v>
      </c>
      <c r="X1298" s="4" t="s">
        <v>10532</v>
      </c>
      <c r="Y1298" s="4" t="s">
        <v>10532</v>
      </c>
      <c r="Z1298" s="4" t="s">
        <v>10532</v>
      </c>
      <c r="AA1298" s="3">
        <v>110</v>
      </c>
      <c r="AB1298" s="3">
        <v>79</v>
      </c>
      <c r="AC1298" s="3">
        <v>110</v>
      </c>
      <c r="AD1298" s="3">
        <v>1</v>
      </c>
      <c r="AE1298" s="9">
        <v>2</v>
      </c>
      <c r="AF1298" s="9">
        <v>2</v>
      </c>
      <c r="AG1298" s="9">
        <v>5</v>
      </c>
      <c r="AH1298" s="3">
        <v>0</v>
      </c>
      <c r="AI1298" s="3">
        <v>0</v>
      </c>
      <c r="AJ1298" s="3">
        <v>2</v>
      </c>
      <c r="AK1298" s="3">
        <v>3</v>
      </c>
      <c r="AL1298" s="3">
        <v>1</v>
      </c>
      <c r="AM1298" s="3">
        <v>3</v>
      </c>
      <c r="AN1298" s="3">
        <v>0</v>
      </c>
      <c r="AO1298" s="3">
        <v>1</v>
      </c>
      <c r="AP1298" s="3">
        <v>0</v>
      </c>
      <c r="AQ1298" s="3">
        <v>0</v>
      </c>
      <c r="AR1298" s="2" t="s">
        <v>5</v>
      </c>
      <c r="AS1298" s="2" t="s">
        <v>46</v>
      </c>
      <c r="AT1298" s="5" t="str">
        <f>HYPERLINK("http://catalog.hathitrust.org/Record/006719891","HathiTrust Record")</f>
        <v>HathiTrust Record</v>
      </c>
      <c r="AU1298" s="5" t="str">
        <f>HYPERLINK("https://creighton-primo.hosted.exlibrisgroup.com/primo-explore/search?tab=default_tab&amp;search_scope=EVERYTHING&amp;vid=01CRU&amp;lang=en_US&amp;offset=0&amp;query=any,contains,991003682829702656","Catalog Record")</f>
        <v>Catalog Record</v>
      </c>
      <c r="AV1298" s="5" t="str">
        <f>HYPERLINK("http://www.worldcat.org/oclc/25827246","WorldCat Record")</f>
        <v>WorldCat Record</v>
      </c>
      <c r="AW1298" s="2" t="s">
        <v>15875</v>
      </c>
      <c r="AX1298" s="2" t="s">
        <v>15876</v>
      </c>
      <c r="AY1298" s="2" t="s">
        <v>15877</v>
      </c>
      <c r="AZ1298" s="2" t="s">
        <v>15877</v>
      </c>
      <c r="BA1298" s="2" t="s">
        <v>15878</v>
      </c>
      <c r="BB1298" s="2" t="s">
        <v>20</v>
      </c>
      <c r="BE1298" s="2" t="s">
        <v>15879</v>
      </c>
      <c r="BF1298" s="2" t="s">
        <v>15880</v>
      </c>
    </row>
    <row r="1299" spans="1:58" ht="39.75" customHeight="1" x14ac:dyDescent="0.25">
      <c r="A1299" s="7" t="s">
        <v>5</v>
      </c>
      <c r="B1299" s="1" t="s">
        <v>0</v>
      </c>
      <c r="C1299" s="1" t="s">
        <v>1</v>
      </c>
      <c r="D1299" s="1" t="s">
        <v>15881</v>
      </c>
      <c r="E1299" s="1" t="s">
        <v>15882</v>
      </c>
      <c r="F1299" s="1" t="s">
        <v>15883</v>
      </c>
      <c r="H1299" s="2" t="s">
        <v>5</v>
      </c>
      <c r="I1299" s="2" t="s">
        <v>6</v>
      </c>
      <c r="J1299" s="2" t="s">
        <v>5</v>
      </c>
      <c r="K1299" s="2" t="s">
        <v>5</v>
      </c>
      <c r="L1299" s="2" t="s">
        <v>7</v>
      </c>
      <c r="M1299" s="1" t="s">
        <v>15884</v>
      </c>
      <c r="N1299" s="1" t="s">
        <v>12618</v>
      </c>
      <c r="O1299" s="2" t="s">
        <v>494</v>
      </c>
      <c r="Q1299" s="2" t="s">
        <v>1151</v>
      </c>
      <c r="R1299" s="2" t="s">
        <v>4146</v>
      </c>
      <c r="S1299" s="1" t="s">
        <v>15885</v>
      </c>
      <c r="T1299" s="2" t="s">
        <v>13</v>
      </c>
      <c r="U1299" s="3">
        <v>1</v>
      </c>
      <c r="V1299" s="3">
        <v>1</v>
      </c>
      <c r="W1299" s="4" t="s">
        <v>10532</v>
      </c>
      <c r="X1299" s="4" t="s">
        <v>10532</v>
      </c>
      <c r="Y1299" s="4" t="s">
        <v>10532</v>
      </c>
      <c r="Z1299" s="4" t="s">
        <v>10532</v>
      </c>
      <c r="AA1299" s="3">
        <v>22</v>
      </c>
      <c r="AB1299" s="3">
        <v>6</v>
      </c>
      <c r="AC1299" s="3">
        <v>111</v>
      </c>
      <c r="AD1299" s="3">
        <v>1</v>
      </c>
      <c r="AE1299" s="9">
        <v>2</v>
      </c>
      <c r="AF1299" s="9">
        <v>1</v>
      </c>
      <c r="AG1299" s="9">
        <v>6</v>
      </c>
      <c r="AH1299" s="3">
        <v>0</v>
      </c>
      <c r="AI1299" s="3">
        <v>0</v>
      </c>
      <c r="AJ1299" s="3">
        <v>1</v>
      </c>
      <c r="AK1299" s="3">
        <v>3</v>
      </c>
      <c r="AL1299" s="3">
        <v>1</v>
      </c>
      <c r="AM1299" s="3">
        <v>4</v>
      </c>
      <c r="AN1299" s="3">
        <v>0</v>
      </c>
      <c r="AO1299" s="3">
        <v>1</v>
      </c>
      <c r="AP1299" s="3">
        <v>0</v>
      </c>
      <c r="AQ1299" s="3">
        <v>0</v>
      </c>
      <c r="AR1299" s="2" t="s">
        <v>5</v>
      </c>
      <c r="AS1299" s="2" t="s">
        <v>5</v>
      </c>
      <c r="AU1299" s="5" t="str">
        <f>HYPERLINK("https://creighton-primo.hosted.exlibrisgroup.com/primo-explore/search?tab=default_tab&amp;search_scope=EVERYTHING&amp;vid=01CRU&amp;lang=en_US&amp;offset=0&amp;query=any,contains,991003682059702656","Catalog Record")</f>
        <v>Catalog Record</v>
      </c>
      <c r="AV1299" s="5" t="str">
        <f>HYPERLINK("http://www.worldcat.org/oclc/13565994","WorldCat Record")</f>
        <v>WorldCat Record</v>
      </c>
      <c r="AW1299" s="2" t="s">
        <v>15886</v>
      </c>
      <c r="AX1299" s="2" t="s">
        <v>15887</v>
      </c>
      <c r="AY1299" s="2" t="s">
        <v>15888</v>
      </c>
      <c r="AZ1299" s="2" t="s">
        <v>15888</v>
      </c>
      <c r="BA1299" s="2" t="s">
        <v>15889</v>
      </c>
      <c r="BB1299" s="2" t="s">
        <v>20</v>
      </c>
      <c r="BD1299" s="2" t="s">
        <v>15890</v>
      </c>
      <c r="BE1299" s="2" t="s">
        <v>15891</v>
      </c>
      <c r="BF1299" s="2" t="s">
        <v>15892</v>
      </c>
    </row>
    <row r="1300" spans="1:58" ht="39.75" customHeight="1" x14ac:dyDescent="0.25">
      <c r="A1300" s="7" t="s">
        <v>5</v>
      </c>
      <c r="B1300" s="1" t="s">
        <v>0</v>
      </c>
      <c r="C1300" s="1" t="s">
        <v>1</v>
      </c>
      <c r="D1300" s="1" t="s">
        <v>15893</v>
      </c>
      <c r="E1300" s="1" t="s">
        <v>15894</v>
      </c>
      <c r="F1300" s="1" t="s">
        <v>15895</v>
      </c>
      <c r="H1300" s="2" t="s">
        <v>5</v>
      </c>
      <c r="I1300" s="2" t="s">
        <v>6</v>
      </c>
      <c r="J1300" s="2" t="s">
        <v>5</v>
      </c>
      <c r="K1300" s="2" t="s">
        <v>5</v>
      </c>
      <c r="L1300" s="2" t="s">
        <v>7</v>
      </c>
      <c r="M1300" s="1" t="s">
        <v>15896</v>
      </c>
      <c r="N1300" s="1" t="s">
        <v>15897</v>
      </c>
      <c r="O1300" s="2" t="s">
        <v>6611</v>
      </c>
      <c r="P1300" s="1" t="s">
        <v>2170</v>
      </c>
      <c r="Q1300" s="2" t="s">
        <v>60</v>
      </c>
      <c r="R1300" s="2" t="s">
        <v>323</v>
      </c>
      <c r="S1300" s="1" t="s">
        <v>15898</v>
      </c>
      <c r="T1300" s="2" t="s">
        <v>13</v>
      </c>
      <c r="U1300" s="3">
        <v>1</v>
      </c>
      <c r="V1300" s="3">
        <v>1</v>
      </c>
      <c r="W1300" s="4" t="s">
        <v>15899</v>
      </c>
      <c r="X1300" s="4" t="s">
        <v>15899</v>
      </c>
      <c r="Y1300" s="4" t="s">
        <v>15899</v>
      </c>
      <c r="Z1300" s="4" t="s">
        <v>15899</v>
      </c>
      <c r="AA1300" s="3">
        <v>302</v>
      </c>
      <c r="AB1300" s="3">
        <v>283</v>
      </c>
      <c r="AC1300" s="3">
        <v>288</v>
      </c>
      <c r="AD1300" s="3">
        <v>2</v>
      </c>
      <c r="AE1300" s="9">
        <v>2</v>
      </c>
      <c r="AF1300" s="9">
        <v>12</v>
      </c>
      <c r="AG1300" s="9">
        <v>12</v>
      </c>
      <c r="AH1300" s="3">
        <v>5</v>
      </c>
      <c r="AI1300" s="3">
        <v>5</v>
      </c>
      <c r="AJ1300" s="3">
        <v>2</v>
      </c>
      <c r="AK1300" s="3">
        <v>2</v>
      </c>
      <c r="AL1300" s="3">
        <v>7</v>
      </c>
      <c r="AM1300" s="3">
        <v>7</v>
      </c>
      <c r="AN1300" s="3">
        <v>1</v>
      </c>
      <c r="AO1300" s="3">
        <v>1</v>
      </c>
      <c r="AP1300" s="3">
        <v>0</v>
      </c>
      <c r="AQ1300" s="3">
        <v>0</v>
      </c>
      <c r="AR1300" s="2" t="s">
        <v>5</v>
      </c>
      <c r="AS1300" s="2" t="s">
        <v>46</v>
      </c>
      <c r="AT1300" s="5" t="str">
        <f>HYPERLINK("http://catalog.hathitrust.org/Record/003061156","HathiTrust Record")</f>
        <v>HathiTrust Record</v>
      </c>
      <c r="AU1300" s="5" t="str">
        <f>HYPERLINK("https://creighton-primo.hosted.exlibrisgroup.com/primo-explore/search?tab=default_tab&amp;search_scope=EVERYTHING&amp;vid=01CRU&amp;lang=en_US&amp;offset=0&amp;query=any,contains,991004505609702656","Catalog Record")</f>
        <v>Catalog Record</v>
      </c>
      <c r="AV1300" s="5" t="str">
        <f>HYPERLINK("http://www.worldcat.org/oclc/30031056","WorldCat Record")</f>
        <v>WorldCat Record</v>
      </c>
      <c r="AW1300" s="2" t="s">
        <v>15900</v>
      </c>
      <c r="AX1300" s="2" t="s">
        <v>15901</v>
      </c>
      <c r="AY1300" s="2" t="s">
        <v>15902</v>
      </c>
      <c r="AZ1300" s="2" t="s">
        <v>15902</v>
      </c>
      <c r="BA1300" s="2" t="s">
        <v>15903</v>
      </c>
      <c r="BB1300" s="2" t="s">
        <v>20</v>
      </c>
      <c r="BD1300" s="2" t="s">
        <v>15904</v>
      </c>
      <c r="BE1300" s="2" t="s">
        <v>15905</v>
      </c>
      <c r="BF1300" s="2" t="s">
        <v>15906</v>
      </c>
    </row>
    <row r="1301" spans="1:58" ht="39.75" customHeight="1" x14ac:dyDescent="0.25">
      <c r="A1301" s="7" t="s">
        <v>5</v>
      </c>
      <c r="B1301" s="1" t="s">
        <v>0</v>
      </c>
      <c r="C1301" s="1" t="s">
        <v>1</v>
      </c>
      <c r="D1301" s="1" t="s">
        <v>15907</v>
      </c>
      <c r="E1301" s="1" t="s">
        <v>15908</v>
      </c>
      <c r="F1301" s="1" t="s">
        <v>15909</v>
      </c>
      <c r="H1301" s="2" t="s">
        <v>5</v>
      </c>
      <c r="I1301" s="2" t="s">
        <v>6</v>
      </c>
      <c r="J1301" s="2" t="s">
        <v>5</v>
      </c>
      <c r="K1301" s="2" t="s">
        <v>5</v>
      </c>
      <c r="L1301" s="2" t="s">
        <v>7</v>
      </c>
      <c r="M1301" s="1" t="s">
        <v>15910</v>
      </c>
      <c r="N1301" s="1" t="s">
        <v>15911</v>
      </c>
      <c r="O1301" s="2" t="s">
        <v>121</v>
      </c>
      <c r="Q1301" s="2" t="s">
        <v>1151</v>
      </c>
      <c r="R1301" s="2" t="s">
        <v>4146</v>
      </c>
      <c r="S1301" s="1" t="s">
        <v>13612</v>
      </c>
      <c r="T1301" s="2" t="s">
        <v>13</v>
      </c>
      <c r="U1301" s="3">
        <v>1</v>
      </c>
      <c r="V1301" s="3">
        <v>1</v>
      </c>
      <c r="W1301" s="4" t="s">
        <v>5417</v>
      </c>
      <c r="X1301" s="4" t="s">
        <v>5417</v>
      </c>
      <c r="Y1301" s="4" t="s">
        <v>5417</v>
      </c>
      <c r="Z1301" s="4" t="s">
        <v>5417</v>
      </c>
      <c r="AA1301" s="3">
        <v>24</v>
      </c>
      <c r="AB1301" s="3">
        <v>16</v>
      </c>
      <c r="AC1301" s="3">
        <v>49</v>
      </c>
      <c r="AD1301" s="3">
        <v>2</v>
      </c>
      <c r="AE1301" s="9">
        <v>2</v>
      </c>
      <c r="AF1301" s="9">
        <v>1</v>
      </c>
      <c r="AG1301" s="9">
        <v>3</v>
      </c>
      <c r="AH1301" s="3">
        <v>0</v>
      </c>
      <c r="AI1301" s="3">
        <v>1</v>
      </c>
      <c r="AJ1301" s="3">
        <v>0</v>
      </c>
      <c r="AK1301" s="3">
        <v>1</v>
      </c>
      <c r="AL1301" s="3">
        <v>0</v>
      </c>
      <c r="AM1301" s="3">
        <v>1</v>
      </c>
      <c r="AN1301" s="3">
        <v>1</v>
      </c>
      <c r="AO1301" s="3">
        <v>1</v>
      </c>
      <c r="AP1301" s="3">
        <v>0</v>
      </c>
      <c r="AQ1301" s="3">
        <v>0</v>
      </c>
      <c r="AR1301" s="2" t="s">
        <v>5</v>
      </c>
      <c r="AS1301" s="2" t="s">
        <v>46</v>
      </c>
      <c r="AT1301" s="5" t="str">
        <f>HYPERLINK("http://catalog.hathitrust.org/Record/101391508","HathiTrust Record")</f>
        <v>HathiTrust Record</v>
      </c>
      <c r="AU1301" s="5" t="str">
        <f>HYPERLINK("https://creighton-primo.hosted.exlibrisgroup.com/primo-explore/search?tab=default_tab&amp;search_scope=EVERYTHING&amp;vid=01CRU&amp;lang=en_US&amp;offset=0&amp;query=any,contains,991003816449702656","Catalog Record")</f>
        <v>Catalog Record</v>
      </c>
      <c r="AV1301" s="5" t="str">
        <f>HYPERLINK("http://www.worldcat.org/oclc/1370257","WorldCat Record")</f>
        <v>WorldCat Record</v>
      </c>
      <c r="AW1301" s="2" t="s">
        <v>15912</v>
      </c>
      <c r="AX1301" s="2" t="s">
        <v>15913</v>
      </c>
      <c r="AY1301" s="2" t="s">
        <v>15914</v>
      </c>
      <c r="AZ1301" s="2" t="s">
        <v>15914</v>
      </c>
      <c r="BA1301" s="2" t="s">
        <v>15915</v>
      </c>
      <c r="BB1301" s="2" t="s">
        <v>20</v>
      </c>
      <c r="BE1301" s="2" t="s">
        <v>15916</v>
      </c>
      <c r="BF1301" s="2" t="s">
        <v>15917</v>
      </c>
    </row>
    <row r="1302" spans="1:58" ht="39.75" customHeight="1" x14ac:dyDescent="0.25">
      <c r="A1302" s="7" t="s">
        <v>5</v>
      </c>
      <c r="B1302" s="1" t="s">
        <v>0</v>
      </c>
      <c r="C1302" s="1" t="s">
        <v>1</v>
      </c>
      <c r="D1302" s="1" t="s">
        <v>15918</v>
      </c>
      <c r="E1302" s="1" t="s">
        <v>15919</v>
      </c>
      <c r="F1302" s="1" t="s">
        <v>15920</v>
      </c>
      <c r="H1302" s="2" t="s">
        <v>5</v>
      </c>
      <c r="I1302" s="2" t="s">
        <v>6</v>
      </c>
      <c r="J1302" s="2" t="s">
        <v>5</v>
      </c>
      <c r="K1302" s="2" t="s">
        <v>5</v>
      </c>
      <c r="L1302" s="2" t="s">
        <v>7</v>
      </c>
      <c r="M1302" s="1" t="s">
        <v>15921</v>
      </c>
      <c r="N1302" s="1" t="s">
        <v>15922</v>
      </c>
      <c r="O1302" s="2" t="s">
        <v>1390</v>
      </c>
      <c r="Q1302" s="2" t="s">
        <v>1151</v>
      </c>
      <c r="R1302" s="2" t="s">
        <v>4146</v>
      </c>
      <c r="S1302" s="1" t="s">
        <v>15923</v>
      </c>
      <c r="T1302" s="2" t="s">
        <v>13</v>
      </c>
      <c r="U1302" s="3">
        <v>1</v>
      </c>
      <c r="V1302" s="3">
        <v>1</v>
      </c>
      <c r="W1302" s="4" t="s">
        <v>10532</v>
      </c>
      <c r="X1302" s="4" t="s">
        <v>10532</v>
      </c>
      <c r="Y1302" s="4" t="s">
        <v>10532</v>
      </c>
      <c r="Z1302" s="4" t="s">
        <v>10532</v>
      </c>
      <c r="AA1302" s="3">
        <v>141</v>
      </c>
      <c r="AB1302" s="3">
        <v>102</v>
      </c>
      <c r="AC1302" s="3">
        <v>114</v>
      </c>
      <c r="AD1302" s="3">
        <v>2</v>
      </c>
      <c r="AE1302" s="9">
        <v>2</v>
      </c>
      <c r="AF1302" s="9">
        <v>4</v>
      </c>
      <c r="AG1302" s="9">
        <v>4</v>
      </c>
      <c r="AH1302" s="3">
        <v>0</v>
      </c>
      <c r="AI1302" s="3">
        <v>0</v>
      </c>
      <c r="AJ1302" s="3">
        <v>2</v>
      </c>
      <c r="AK1302" s="3">
        <v>2</v>
      </c>
      <c r="AL1302" s="3">
        <v>2</v>
      </c>
      <c r="AM1302" s="3">
        <v>2</v>
      </c>
      <c r="AN1302" s="3">
        <v>1</v>
      </c>
      <c r="AO1302" s="3">
        <v>1</v>
      </c>
      <c r="AP1302" s="3">
        <v>0</v>
      </c>
      <c r="AQ1302" s="3">
        <v>0</v>
      </c>
      <c r="AR1302" s="2" t="s">
        <v>5</v>
      </c>
      <c r="AS1302" s="2" t="s">
        <v>46</v>
      </c>
      <c r="AT1302" s="5" t="str">
        <f>HYPERLINK("http://catalog.hathitrust.org/Record/006719666","HathiTrust Record")</f>
        <v>HathiTrust Record</v>
      </c>
      <c r="AU1302" s="5" t="str">
        <f>HYPERLINK("https://creighton-primo.hosted.exlibrisgroup.com/primo-explore/search?tab=default_tab&amp;search_scope=EVERYTHING&amp;vid=01CRU&amp;lang=en_US&amp;offset=0&amp;query=any,contains,991003681929702656","Catalog Record")</f>
        <v>Catalog Record</v>
      </c>
      <c r="AV1302" s="5" t="str">
        <f>HYPERLINK("http://www.worldcat.org/oclc/6655510","WorldCat Record")</f>
        <v>WorldCat Record</v>
      </c>
      <c r="AW1302" s="2" t="s">
        <v>15924</v>
      </c>
      <c r="AX1302" s="2" t="s">
        <v>15925</v>
      </c>
      <c r="AY1302" s="2" t="s">
        <v>15926</v>
      </c>
      <c r="AZ1302" s="2" t="s">
        <v>15926</v>
      </c>
      <c r="BA1302" s="2" t="s">
        <v>15927</v>
      </c>
      <c r="BB1302" s="2" t="s">
        <v>20</v>
      </c>
      <c r="BD1302" s="2" t="s">
        <v>15928</v>
      </c>
      <c r="BE1302" s="2" t="s">
        <v>15929</v>
      </c>
      <c r="BF1302" s="2" t="s">
        <v>15930</v>
      </c>
    </row>
    <row r="1303" spans="1:58" ht="39.75" customHeight="1" x14ac:dyDescent="0.25">
      <c r="A1303" s="7" t="s">
        <v>5</v>
      </c>
      <c r="B1303" s="1" t="s">
        <v>0</v>
      </c>
      <c r="C1303" s="1" t="s">
        <v>1</v>
      </c>
      <c r="D1303" s="1" t="s">
        <v>15931</v>
      </c>
      <c r="E1303" s="1" t="s">
        <v>15932</v>
      </c>
      <c r="F1303" s="1" t="s">
        <v>15933</v>
      </c>
      <c r="H1303" s="2" t="s">
        <v>5</v>
      </c>
      <c r="I1303" s="2" t="s">
        <v>6</v>
      </c>
      <c r="J1303" s="2" t="s">
        <v>5</v>
      </c>
      <c r="K1303" s="2" t="s">
        <v>5</v>
      </c>
      <c r="L1303" s="2" t="s">
        <v>7</v>
      </c>
      <c r="M1303" s="1" t="s">
        <v>15934</v>
      </c>
      <c r="N1303" s="1" t="s">
        <v>15935</v>
      </c>
      <c r="O1303" s="2" t="s">
        <v>27</v>
      </c>
      <c r="P1303" s="1" t="s">
        <v>1377</v>
      </c>
      <c r="Q1303" s="2" t="s">
        <v>60</v>
      </c>
      <c r="R1303" s="2" t="s">
        <v>61</v>
      </c>
      <c r="T1303" s="2" t="s">
        <v>13</v>
      </c>
      <c r="U1303" s="3">
        <v>1</v>
      </c>
      <c r="V1303" s="3">
        <v>1</v>
      </c>
      <c r="W1303" s="4" t="s">
        <v>15936</v>
      </c>
      <c r="X1303" s="4" t="s">
        <v>15936</v>
      </c>
      <c r="Y1303" s="4" t="s">
        <v>15937</v>
      </c>
      <c r="Z1303" s="4" t="s">
        <v>15937</v>
      </c>
      <c r="AA1303" s="3">
        <v>325</v>
      </c>
      <c r="AB1303" s="3">
        <v>310</v>
      </c>
      <c r="AC1303" s="3">
        <v>317</v>
      </c>
      <c r="AD1303" s="3">
        <v>1</v>
      </c>
      <c r="AE1303" s="9">
        <v>1</v>
      </c>
      <c r="AF1303" s="9">
        <v>9</v>
      </c>
      <c r="AG1303" s="9">
        <v>9</v>
      </c>
      <c r="AH1303" s="3">
        <v>2</v>
      </c>
      <c r="AI1303" s="3">
        <v>2</v>
      </c>
      <c r="AJ1303" s="3">
        <v>2</v>
      </c>
      <c r="AK1303" s="3">
        <v>2</v>
      </c>
      <c r="AL1303" s="3">
        <v>8</v>
      </c>
      <c r="AM1303" s="3">
        <v>8</v>
      </c>
      <c r="AN1303" s="3">
        <v>0</v>
      </c>
      <c r="AO1303" s="3">
        <v>0</v>
      </c>
      <c r="AP1303" s="3">
        <v>0</v>
      </c>
      <c r="AQ1303" s="3">
        <v>0</v>
      </c>
      <c r="AR1303" s="2" t="s">
        <v>5</v>
      </c>
      <c r="AS1303" s="2" t="s">
        <v>46</v>
      </c>
      <c r="AT1303" s="5" t="str">
        <f>HYPERLINK("http://catalog.hathitrust.org/Record/002566439","HathiTrust Record")</f>
        <v>HathiTrust Record</v>
      </c>
      <c r="AU1303" s="5" t="str">
        <f>HYPERLINK("https://creighton-primo.hosted.exlibrisgroup.com/primo-explore/search?tab=default_tab&amp;search_scope=EVERYTHING&amp;vid=01CRU&amp;lang=en_US&amp;offset=0&amp;query=any,contains,991001918619702656","Catalog Record")</f>
        <v>Catalog Record</v>
      </c>
      <c r="AV1303" s="5" t="str">
        <f>HYPERLINK("http://www.worldcat.org/oclc/24218359","WorldCat Record")</f>
        <v>WorldCat Record</v>
      </c>
      <c r="AW1303" s="2" t="s">
        <v>15938</v>
      </c>
      <c r="AX1303" s="2" t="s">
        <v>15939</v>
      </c>
      <c r="AY1303" s="2" t="s">
        <v>15940</v>
      </c>
      <c r="AZ1303" s="2" t="s">
        <v>15940</v>
      </c>
      <c r="BA1303" s="2" t="s">
        <v>15941</v>
      </c>
      <c r="BB1303" s="2" t="s">
        <v>20</v>
      </c>
      <c r="BD1303" s="2" t="s">
        <v>15942</v>
      </c>
      <c r="BE1303" s="2" t="s">
        <v>15943</v>
      </c>
      <c r="BF1303" s="2" t="s">
        <v>15944</v>
      </c>
    </row>
    <row r="1304" spans="1:58" ht="39.75" customHeight="1" x14ac:dyDescent="0.25">
      <c r="A1304" s="7" t="s">
        <v>5</v>
      </c>
      <c r="B1304" s="1" t="s">
        <v>0</v>
      </c>
      <c r="C1304" s="1" t="s">
        <v>1</v>
      </c>
      <c r="D1304" s="1" t="s">
        <v>15945</v>
      </c>
      <c r="E1304" s="1" t="s">
        <v>15946</v>
      </c>
      <c r="F1304" s="1" t="s">
        <v>15947</v>
      </c>
      <c r="H1304" s="2" t="s">
        <v>5</v>
      </c>
      <c r="I1304" s="2" t="s">
        <v>6</v>
      </c>
      <c r="J1304" s="2" t="s">
        <v>5</v>
      </c>
      <c r="K1304" s="2" t="s">
        <v>5</v>
      </c>
      <c r="L1304" s="2" t="s">
        <v>7</v>
      </c>
      <c r="M1304" s="1" t="s">
        <v>15948</v>
      </c>
      <c r="N1304" s="1" t="s">
        <v>15949</v>
      </c>
      <c r="O1304" s="2" t="s">
        <v>3941</v>
      </c>
      <c r="Q1304" s="2" t="s">
        <v>60</v>
      </c>
      <c r="R1304" s="2" t="s">
        <v>193</v>
      </c>
      <c r="S1304" s="1" t="s">
        <v>15950</v>
      </c>
      <c r="T1304" s="2" t="s">
        <v>13</v>
      </c>
      <c r="U1304" s="3">
        <v>1</v>
      </c>
      <c r="V1304" s="3">
        <v>1</v>
      </c>
      <c r="W1304" s="4" t="s">
        <v>13363</v>
      </c>
      <c r="X1304" s="4" t="s">
        <v>13363</v>
      </c>
      <c r="Y1304" s="4" t="s">
        <v>13363</v>
      </c>
      <c r="Z1304" s="4" t="s">
        <v>13363</v>
      </c>
      <c r="AA1304" s="3">
        <v>153</v>
      </c>
      <c r="AB1304" s="3">
        <v>85</v>
      </c>
      <c r="AC1304" s="3">
        <v>132</v>
      </c>
      <c r="AD1304" s="3">
        <v>1</v>
      </c>
      <c r="AE1304" s="9">
        <v>1</v>
      </c>
      <c r="AF1304" s="9">
        <v>2</v>
      </c>
      <c r="AG1304" s="9">
        <v>4</v>
      </c>
      <c r="AH1304" s="3">
        <v>0</v>
      </c>
      <c r="AI1304" s="3">
        <v>2</v>
      </c>
      <c r="AJ1304" s="3">
        <v>2</v>
      </c>
      <c r="AK1304" s="3">
        <v>2</v>
      </c>
      <c r="AL1304" s="3">
        <v>1</v>
      </c>
      <c r="AM1304" s="3">
        <v>1</v>
      </c>
      <c r="AN1304" s="3">
        <v>0</v>
      </c>
      <c r="AO1304" s="3">
        <v>0</v>
      </c>
      <c r="AP1304" s="3">
        <v>0</v>
      </c>
      <c r="AQ1304" s="3">
        <v>0</v>
      </c>
      <c r="AR1304" s="2" t="s">
        <v>5</v>
      </c>
      <c r="AS1304" s="2" t="s">
        <v>46</v>
      </c>
      <c r="AT1304" s="5" t="str">
        <f>HYPERLINK("http://catalog.hathitrust.org/Record/004327894","HathiTrust Record")</f>
        <v>HathiTrust Record</v>
      </c>
      <c r="AU1304" s="5" t="str">
        <f>HYPERLINK("https://creighton-primo.hosted.exlibrisgroup.com/primo-explore/search?tab=default_tab&amp;search_scope=EVERYTHING&amp;vid=01CRU&amp;lang=en_US&amp;offset=0&amp;query=any,contains,991004017999702656","Catalog Record")</f>
        <v>Catalog Record</v>
      </c>
      <c r="AV1304" s="5" t="str">
        <f>HYPERLINK("http://www.worldcat.org/oclc/48110567","WorldCat Record")</f>
        <v>WorldCat Record</v>
      </c>
      <c r="AW1304" s="2" t="s">
        <v>15951</v>
      </c>
      <c r="AX1304" s="2" t="s">
        <v>15952</v>
      </c>
      <c r="AY1304" s="2" t="s">
        <v>15953</v>
      </c>
      <c r="AZ1304" s="2" t="s">
        <v>15953</v>
      </c>
      <c r="BA1304" s="2" t="s">
        <v>15954</v>
      </c>
      <c r="BB1304" s="2" t="s">
        <v>20</v>
      </c>
      <c r="BD1304" s="2" t="s">
        <v>15955</v>
      </c>
      <c r="BE1304" s="2" t="s">
        <v>15956</v>
      </c>
      <c r="BF1304" s="2" t="s">
        <v>15957</v>
      </c>
    </row>
  </sheetData>
  <sheetProtection sheet="1" objects="1" scenarios="1"/>
  <protectedRanges>
    <protectedRange sqref="A2:A1304" name="Range1"/>
    <protectedRange sqref="A1" name="Range1_1"/>
  </protectedRanges>
  <dataValidations count="1">
    <dataValidation type="list" allowBlank="1" showInputMessage="1" showErrorMessage="1" sqref="A2:A1304" xr:uid="{E75DFBC0-711B-4688-A8CF-85C2DDDB071B}">
      <formula1>"Yes,No"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BB38ED5D0D274CB2EE2DBFB4DF27AF" ma:contentTypeVersion="16" ma:contentTypeDescription="Create a new document." ma:contentTypeScope="" ma:versionID="343be7708d3bfc8b8cd1354f85bdb4ef">
  <xsd:schema xmlns:xsd="http://www.w3.org/2001/XMLSchema" xmlns:xs="http://www.w3.org/2001/XMLSchema" xmlns:p="http://schemas.microsoft.com/office/2006/metadata/properties" xmlns:ns1="7623ea29-c77c-4024-9954-09e8d33ddb63" xmlns:ns3="a2717908-15ff-42bd-a5fc-d9ac8b8728f4" targetNamespace="http://schemas.microsoft.com/office/2006/metadata/properties" ma:root="true" ma:fieldsID="ba37602cec7d275ad63d8520a3e085f5" ns1:_="" ns3:_="">
    <xsd:import namespace="7623ea29-c77c-4024-9954-09e8d33ddb63"/>
    <xsd:import namespace="a2717908-15ff-42bd-a5fc-d9ac8b8728f4"/>
    <xsd:element name="properties">
      <xsd:complexType>
        <xsd:sequence>
          <xsd:element name="documentManagement">
            <xsd:complexType>
              <xsd:all>
                <xsd:element ref="ns1:Number" minOccurs="0"/>
                <xsd:element ref="ns1:MediaServiceMetadata" minOccurs="0"/>
                <xsd:element ref="ns1:MediaServiceFastMetadata" minOccurs="0"/>
                <xsd:element ref="ns1:MediaServiceDateTaken" minOccurs="0"/>
                <xsd:element ref="ns3:SharedWithUsers" minOccurs="0"/>
                <xsd:element ref="ns3:SharedWithDetails" minOccurs="0"/>
                <xsd:element ref="ns1:MediaServiceAutoKeyPoints" minOccurs="0"/>
                <xsd:element ref="ns1:MediaServiceKeyPoints" minOccurs="0"/>
                <xsd:element ref="ns1:MediaServiceAutoTags" minOccurs="0"/>
                <xsd:element ref="ns1:MediaServiceOCR" minOccurs="0"/>
                <xsd:element ref="ns1:MediaServiceGenerationTime" minOccurs="0"/>
                <xsd:element ref="ns1:MediaServiceEventHashCode" minOccurs="0"/>
                <xsd:element ref="ns1:MediaServiceLocation" minOccurs="0"/>
                <xsd:element ref="ns1:MediaLengthInSeconds" minOccurs="0"/>
                <xsd:element ref="ns1:statuswithucomm" minOccurs="0"/>
                <xsd:element ref="ns1:submittedtoUCO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23ea29-c77c-4024-9954-09e8d33ddb63" elementFormDefault="qualified">
    <xsd:import namespace="http://schemas.microsoft.com/office/2006/documentManagement/types"/>
    <xsd:import namespace="http://schemas.microsoft.com/office/infopath/2007/PartnerControls"/>
    <xsd:element name="Number" ma:index="0" nillable="true" ma:displayName="Number" ma:description="Sort Order" ma:format="Dropdown" ma:internalName="Number" ma:percentage="FALSE">
      <xsd:simpleType>
        <xsd:restriction base="dms:Number"/>
      </xsd:simpleType>
    </xsd:element>
    <xsd:element name="MediaServiceMetadata" ma:index="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7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statuswithucomm" ma:index="22" nillable="true" ma:displayName="status with ucomm" ma:format="Dropdown" ma:internalName="statuswithucomm">
      <xsd:simpleType>
        <xsd:restriction base="dms:Text">
          <xsd:maxLength value="255"/>
        </xsd:restriction>
      </xsd:simpleType>
    </xsd:element>
    <xsd:element name="submittedtoUCOm" ma:index="23" nillable="true" ma:displayName="submitted to UCOm" ma:default="0" ma:format="Dropdown" ma:internalName="submittedtoUCOm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717908-15ff-42bd-a5fc-d9ac8b8728f4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3" ma:displayName="Content Type"/>
        <xsd:element ref="dc:title" minOccurs="0" maxOccurs="1" ma:index="2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umber xmlns="7623ea29-c77c-4024-9954-09e8d33ddb63" xsi:nil="true"/>
    <SharedWithUsers xmlns="a2717908-15ff-42bd-a5fc-d9ac8b8728f4">
      <UserInfo>
        <DisplayName/>
        <AccountId xsi:nil="true"/>
        <AccountType/>
      </UserInfo>
    </SharedWithUsers>
    <MediaLengthInSeconds xmlns="7623ea29-c77c-4024-9954-09e8d33ddb63" xsi:nil="true"/>
    <submittedtoUCOm xmlns="7623ea29-c77c-4024-9954-09e8d33ddb63">false</submittedtoUCOm>
    <statuswithucomm xmlns="7623ea29-c77c-4024-9954-09e8d33ddb63" xsi:nil="true"/>
  </documentManagement>
</p:properties>
</file>

<file path=customXml/itemProps1.xml><?xml version="1.0" encoding="utf-8"?>
<ds:datastoreItem xmlns:ds="http://schemas.openxmlformats.org/officeDocument/2006/customXml" ds:itemID="{86669906-2928-4E21-9356-B513C475770A}"/>
</file>

<file path=customXml/itemProps2.xml><?xml version="1.0" encoding="utf-8"?>
<ds:datastoreItem xmlns:ds="http://schemas.openxmlformats.org/officeDocument/2006/customXml" ds:itemID="{D1B805B5-77E4-442E-A731-EEBB81B06C00}"/>
</file>

<file path=customXml/itemProps3.xml><?xml version="1.0" encoding="utf-8"?>
<ds:datastoreItem xmlns:ds="http://schemas.openxmlformats.org/officeDocument/2006/customXml" ds:itemID="{C6D0A1FE-CF66-49C7-865C-54A24413937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Elizabeth Kiscaden</dc:creator>
  <cp:lastModifiedBy>Elizabeth Kiscaden</cp:lastModifiedBy>
  <dcterms:created xsi:type="dcterms:W3CDTF">2022-03-04T04:07:32Z</dcterms:created>
  <dcterms:modified xsi:type="dcterms:W3CDTF">2022-03-04T04:10:31Z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0x0101007FBB38ED5D0D274CB2EE2DBFB4DF27AF</vt:lpwstr>
  </property>
  <property fmtid="{D5CDD505-2E9C-101B-9397-08002B2CF9AE}" pid="3" name="Order">
    <vt:r8>287400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