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creightonuniv-my.sharepoint.com/personal/ejk60737_creighton_edu/Documents/Collections/Print Book Deselection/"/>
    </mc:Choice>
  </mc:AlternateContent>
  <xr:revisionPtr revIDLastSave="0" documentId="8_{70CE69FD-410E-4D3D-B02D-B1ED8DA3BA8B}" xr6:coauthVersionLast="47" xr6:coauthVersionMax="47" xr10:uidLastSave="{00000000-0000-0000-0000-000000000000}"/>
  <bookViews>
    <workbookView xWindow="-120" yWindow="-120" windowWidth="29040" windowHeight="15840" xr2:uid="{8AC67369-9252-459F-8F4A-30210B327A1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T621" i="1" l="1"/>
  <c r="AS621" i="1"/>
  <c r="AT620" i="1"/>
  <c r="AS620" i="1"/>
  <c r="AR620" i="1"/>
  <c r="AT619" i="1"/>
  <c r="AS619" i="1"/>
  <c r="AT618" i="1"/>
  <c r="AS618" i="1"/>
  <c r="AT617" i="1"/>
  <c r="AS617" i="1"/>
  <c r="AT616" i="1"/>
  <c r="AS616" i="1"/>
  <c r="AT615" i="1"/>
  <c r="AS615" i="1"/>
  <c r="AR615" i="1"/>
  <c r="AT614" i="1"/>
  <c r="AS614" i="1"/>
  <c r="AT613" i="1"/>
  <c r="AS613" i="1"/>
  <c r="AT612" i="1"/>
  <c r="AS612" i="1"/>
  <c r="AR612" i="1"/>
  <c r="AT611" i="1"/>
  <c r="AS611" i="1"/>
  <c r="AT610" i="1"/>
  <c r="AS610" i="1"/>
  <c r="AR610" i="1"/>
  <c r="AT609" i="1"/>
  <c r="AS609" i="1"/>
  <c r="AT608" i="1"/>
  <c r="AS608" i="1"/>
  <c r="AT607" i="1"/>
  <c r="AS607" i="1"/>
  <c r="AT606" i="1"/>
  <c r="AS606" i="1"/>
  <c r="AT605" i="1"/>
  <c r="AS605" i="1"/>
  <c r="AT604" i="1"/>
  <c r="AS604" i="1"/>
  <c r="AR604" i="1"/>
  <c r="AT603" i="1"/>
  <c r="AS603" i="1"/>
  <c r="AR603" i="1"/>
  <c r="AT602" i="1"/>
  <c r="AS602" i="1"/>
  <c r="AR602" i="1"/>
  <c r="AT601" i="1"/>
  <c r="AS601" i="1"/>
  <c r="AT600" i="1"/>
  <c r="AS600" i="1"/>
  <c r="AT599" i="1"/>
  <c r="AS599" i="1"/>
  <c r="AR599" i="1"/>
  <c r="AT598" i="1"/>
  <c r="AS598" i="1"/>
  <c r="AT597" i="1"/>
  <c r="AS597" i="1"/>
  <c r="AT596" i="1"/>
  <c r="AS596" i="1"/>
  <c r="AT595" i="1"/>
  <c r="AS595" i="1"/>
  <c r="AR595" i="1"/>
  <c r="AT594" i="1"/>
  <c r="AS594" i="1"/>
  <c r="AR594" i="1"/>
  <c r="AT593" i="1"/>
  <c r="AS593" i="1"/>
  <c r="AR593" i="1"/>
  <c r="AT592" i="1"/>
  <c r="AS592" i="1"/>
  <c r="AR592" i="1"/>
  <c r="AT591" i="1"/>
  <c r="AS591" i="1"/>
  <c r="AR591" i="1"/>
  <c r="AT590" i="1"/>
  <c r="AS590" i="1"/>
  <c r="AT589" i="1"/>
  <c r="AS589" i="1"/>
  <c r="AR589" i="1"/>
  <c r="AT588" i="1"/>
  <c r="AS588" i="1"/>
  <c r="AT587" i="1"/>
  <c r="AS587" i="1"/>
  <c r="AR587" i="1"/>
  <c r="AT586" i="1"/>
  <c r="AS586" i="1"/>
  <c r="AT585" i="1"/>
  <c r="AS585" i="1"/>
  <c r="AR585" i="1"/>
  <c r="AT584" i="1"/>
  <c r="AS584" i="1"/>
  <c r="AR584" i="1"/>
  <c r="AT583" i="1"/>
  <c r="AS583" i="1"/>
  <c r="AR583" i="1"/>
  <c r="AT582" i="1"/>
  <c r="AS582" i="1"/>
  <c r="AT581" i="1"/>
  <c r="AS581" i="1"/>
  <c r="AT580" i="1"/>
  <c r="AS580" i="1"/>
  <c r="AT579" i="1"/>
  <c r="AS579" i="1"/>
  <c r="AT578" i="1"/>
  <c r="AS578" i="1"/>
  <c r="AT577" i="1"/>
  <c r="AS577" i="1"/>
  <c r="AR577" i="1"/>
  <c r="AT576" i="1"/>
  <c r="AS576" i="1"/>
  <c r="AR576" i="1"/>
  <c r="AT575" i="1"/>
  <c r="AS575" i="1"/>
  <c r="AR575" i="1"/>
  <c r="AT574" i="1"/>
  <c r="AS574" i="1"/>
  <c r="AT573" i="1"/>
  <c r="AS573" i="1"/>
  <c r="AT572" i="1"/>
  <c r="AS572" i="1"/>
  <c r="AR572" i="1"/>
  <c r="AT571" i="1"/>
  <c r="AS571" i="1"/>
  <c r="AR571" i="1"/>
  <c r="AT570" i="1"/>
  <c r="AS570" i="1"/>
  <c r="AT569" i="1"/>
  <c r="AS569" i="1"/>
  <c r="AT568" i="1"/>
  <c r="AS568" i="1"/>
  <c r="AR568" i="1"/>
  <c r="AT567" i="1"/>
  <c r="AS567" i="1"/>
  <c r="AT566" i="1"/>
  <c r="AS566" i="1"/>
  <c r="AR566" i="1"/>
  <c r="AT565" i="1"/>
  <c r="AS565" i="1"/>
  <c r="AR565" i="1"/>
  <c r="AT564" i="1"/>
  <c r="AS564" i="1"/>
  <c r="AT563" i="1"/>
  <c r="AS563" i="1"/>
  <c r="AR563" i="1"/>
  <c r="AT562" i="1"/>
  <c r="AS562" i="1"/>
  <c r="AR562" i="1"/>
  <c r="AT561" i="1"/>
  <c r="AS561" i="1"/>
  <c r="AR561" i="1"/>
  <c r="AT560" i="1"/>
  <c r="AS560" i="1"/>
  <c r="AT559" i="1"/>
  <c r="AS559" i="1"/>
  <c r="AR559" i="1"/>
  <c r="AT558" i="1"/>
  <c r="AS558" i="1"/>
  <c r="AT557" i="1"/>
  <c r="AS557" i="1"/>
  <c r="AT556" i="1"/>
  <c r="AS556" i="1"/>
  <c r="AT555" i="1"/>
  <c r="AS555" i="1"/>
  <c r="AR555" i="1"/>
  <c r="AT554" i="1"/>
  <c r="AS554" i="1"/>
  <c r="AR554" i="1"/>
  <c r="AT553" i="1"/>
  <c r="AS553" i="1"/>
  <c r="AR553" i="1"/>
  <c r="AT552" i="1"/>
  <c r="AS552" i="1"/>
  <c r="AT551" i="1"/>
  <c r="AS551" i="1"/>
  <c r="AR551" i="1"/>
  <c r="AT550" i="1"/>
  <c r="AS550" i="1"/>
  <c r="AR550" i="1"/>
  <c r="AT549" i="1"/>
  <c r="AS549" i="1"/>
  <c r="AT548" i="1"/>
  <c r="AS548" i="1"/>
  <c r="AT547" i="1"/>
  <c r="AS547" i="1"/>
  <c r="AR547" i="1"/>
  <c r="AT546" i="1"/>
  <c r="AS546" i="1"/>
  <c r="AR546" i="1"/>
  <c r="AT545" i="1"/>
  <c r="AS545" i="1"/>
  <c r="AR545" i="1"/>
  <c r="AT544" i="1"/>
  <c r="AS544" i="1"/>
  <c r="AT543" i="1"/>
  <c r="AS543" i="1"/>
  <c r="AR543" i="1"/>
  <c r="AT542" i="1"/>
  <c r="AS542" i="1"/>
  <c r="AR542" i="1"/>
  <c r="AT541" i="1"/>
  <c r="AS541" i="1"/>
  <c r="AT540" i="1"/>
  <c r="AS540" i="1"/>
  <c r="AT539" i="1"/>
  <c r="AS539" i="1"/>
  <c r="AT538" i="1"/>
  <c r="AS538" i="1"/>
  <c r="AR538" i="1"/>
  <c r="AT537" i="1"/>
  <c r="AS537" i="1"/>
  <c r="AR537" i="1"/>
  <c r="AT536" i="1"/>
  <c r="AS536" i="1"/>
  <c r="AT535" i="1"/>
  <c r="AS535" i="1"/>
  <c r="AR535" i="1"/>
  <c r="AT534" i="1"/>
  <c r="AS534" i="1"/>
  <c r="AR534" i="1"/>
  <c r="AT533" i="1"/>
  <c r="AS533" i="1"/>
  <c r="AT532" i="1"/>
  <c r="AS532" i="1"/>
  <c r="AR532" i="1"/>
  <c r="AT531" i="1"/>
  <c r="AS531" i="1"/>
  <c r="AT530" i="1"/>
  <c r="AS530" i="1"/>
  <c r="AR530" i="1"/>
  <c r="AT529" i="1"/>
  <c r="AS529" i="1"/>
  <c r="AT528" i="1"/>
  <c r="AS528" i="1"/>
  <c r="AR528" i="1"/>
  <c r="AT527" i="1"/>
  <c r="AS527" i="1"/>
  <c r="AR527" i="1"/>
  <c r="AT526" i="1"/>
  <c r="AS526" i="1"/>
  <c r="AR526" i="1"/>
  <c r="AT525" i="1"/>
  <c r="AS525" i="1"/>
  <c r="AT524" i="1"/>
  <c r="AS524" i="1"/>
  <c r="AR524" i="1"/>
  <c r="AT523" i="1"/>
  <c r="AS523" i="1"/>
  <c r="AR523" i="1"/>
  <c r="AT522" i="1"/>
  <c r="AS522" i="1"/>
  <c r="AT521" i="1"/>
  <c r="AS521" i="1"/>
  <c r="AR521" i="1"/>
  <c r="AT520" i="1"/>
  <c r="AS520" i="1"/>
  <c r="AT519" i="1"/>
  <c r="AS519" i="1"/>
  <c r="AR519" i="1"/>
  <c r="AT518" i="1"/>
  <c r="AS518" i="1"/>
  <c r="AT517" i="1"/>
  <c r="AS517" i="1"/>
  <c r="AT516" i="1"/>
  <c r="AS516" i="1"/>
  <c r="AR516" i="1"/>
  <c r="AT515" i="1"/>
  <c r="AS515" i="1"/>
  <c r="AT514" i="1"/>
  <c r="AS514" i="1"/>
  <c r="AT513" i="1"/>
  <c r="AS513" i="1"/>
  <c r="AR513" i="1"/>
  <c r="AT512" i="1"/>
  <c r="AS512" i="1"/>
  <c r="AT511" i="1"/>
  <c r="AS511" i="1"/>
  <c r="AT510" i="1"/>
  <c r="AS510" i="1"/>
  <c r="AT509" i="1"/>
  <c r="AS509" i="1"/>
  <c r="AT508" i="1"/>
  <c r="AS508" i="1"/>
  <c r="AR508" i="1"/>
  <c r="AT507" i="1"/>
  <c r="AS507" i="1"/>
  <c r="AR507" i="1"/>
  <c r="AT506" i="1"/>
  <c r="AS506" i="1"/>
  <c r="AT505" i="1"/>
  <c r="AS505" i="1"/>
  <c r="AT504" i="1"/>
  <c r="AS504" i="1"/>
  <c r="AR504" i="1"/>
  <c r="AT503" i="1"/>
  <c r="AS503" i="1"/>
  <c r="AR503" i="1"/>
  <c r="AT502" i="1"/>
  <c r="AS502" i="1"/>
  <c r="AR502" i="1"/>
  <c r="AT501" i="1"/>
  <c r="AS501" i="1"/>
  <c r="AR501" i="1"/>
  <c r="AT500" i="1"/>
  <c r="AS500" i="1"/>
  <c r="AT499" i="1"/>
  <c r="AS499" i="1"/>
  <c r="AT498" i="1"/>
  <c r="AS498" i="1"/>
  <c r="AT497" i="1"/>
  <c r="AS497" i="1"/>
  <c r="AT496" i="1"/>
  <c r="AS496" i="1"/>
  <c r="AT495" i="1"/>
  <c r="AS495" i="1"/>
  <c r="AR495" i="1"/>
  <c r="AT494" i="1"/>
  <c r="AS494" i="1"/>
  <c r="AR494" i="1"/>
  <c r="AT493" i="1"/>
  <c r="AS493" i="1"/>
  <c r="AR493" i="1"/>
  <c r="AT492" i="1"/>
  <c r="AS492" i="1"/>
  <c r="AT491" i="1"/>
  <c r="AS491" i="1"/>
  <c r="AT490" i="1"/>
  <c r="AS490" i="1"/>
  <c r="AT489" i="1"/>
  <c r="AS489" i="1"/>
  <c r="AR489" i="1"/>
  <c r="AT488" i="1"/>
  <c r="AS488" i="1"/>
  <c r="AR488" i="1"/>
  <c r="AT487" i="1"/>
  <c r="AS487" i="1"/>
  <c r="AT486" i="1"/>
  <c r="AS486" i="1"/>
  <c r="AT485" i="1"/>
  <c r="AS485" i="1"/>
  <c r="AT484" i="1"/>
  <c r="AS484" i="1"/>
  <c r="AT483" i="1"/>
  <c r="AS483" i="1"/>
  <c r="AR483" i="1"/>
  <c r="AT482" i="1"/>
  <c r="AS482" i="1"/>
  <c r="AT481" i="1"/>
  <c r="AS481" i="1"/>
  <c r="AR481" i="1"/>
  <c r="AT480" i="1"/>
  <c r="AS480" i="1"/>
  <c r="AT479" i="1"/>
  <c r="AS479" i="1"/>
  <c r="AR479" i="1"/>
  <c r="AT478" i="1"/>
  <c r="AS478" i="1"/>
  <c r="AT477" i="1"/>
  <c r="AS477" i="1"/>
  <c r="AT476" i="1"/>
  <c r="AS476" i="1"/>
  <c r="AT475" i="1"/>
  <c r="AS475" i="1"/>
  <c r="AR475" i="1"/>
  <c r="AT474" i="1"/>
  <c r="AS474" i="1"/>
  <c r="AR474" i="1"/>
  <c r="AT473" i="1"/>
  <c r="AS473" i="1"/>
  <c r="AR473" i="1"/>
  <c r="AT472" i="1"/>
  <c r="AS472" i="1"/>
  <c r="AT471" i="1"/>
  <c r="AS471" i="1"/>
  <c r="AR471" i="1"/>
  <c r="AT470" i="1"/>
  <c r="AS470" i="1"/>
  <c r="AT469" i="1"/>
  <c r="AS469" i="1"/>
  <c r="AT468" i="1"/>
  <c r="AS468" i="1"/>
  <c r="AR468" i="1"/>
  <c r="AT467" i="1"/>
  <c r="AS467" i="1"/>
  <c r="AT466" i="1"/>
  <c r="AS466" i="1"/>
  <c r="AR466" i="1"/>
  <c r="AT465" i="1"/>
  <c r="AS465" i="1"/>
  <c r="AR465" i="1"/>
  <c r="AT464" i="1"/>
  <c r="AS464" i="1"/>
  <c r="AT463" i="1"/>
  <c r="AS463" i="1"/>
  <c r="AT462" i="1"/>
  <c r="AS462" i="1"/>
  <c r="AR462" i="1"/>
  <c r="AT461" i="1"/>
  <c r="AS461" i="1"/>
  <c r="AR461" i="1"/>
  <c r="AT460" i="1"/>
  <c r="AS460" i="1"/>
  <c r="AT459" i="1"/>
  <c r="AS459" i="1"/>
  <c r="AR459" i="1"/>
  <c r="AT458" i="1"/>
  <c r="AS458" i="1"/>
  <c r="AT457" i="1"/>
  <c r="AS457" i="1"/>
  <c r="AR457" i="1"/>
  <c r="AT456" i="1"/>
  <c r="AS456" i="1"/>
  <c r="AT455" i="1"/>
  <c r="AS455" i="1"/>
  <c r="AT454" i="1"/>
  <c r="AS454" i="1"/>
  <c r="AT453" i="1"/>
  <c r="AS453" i="1"/>
  <c r="AT452" i="1"/>
  <c r="AS452" i="1"/>
  <c r="AT451" i="1"/>
  <c r="AS451" i="1"/>
  <c r="AR451" i="1"/>
  <c r="AT450" i="1"/>
  <c r="AS450" i="1"/>
  <c r="AR450" i="1"/>
  <c r="AT449" i="1"/>
  <c r="AS449" i="1"/>
  <c r="AT448" i="1"/>
  <c r="AS448" i="1"/>
  <c r="AR448" i="1"/>
  <c r="AT447" i="1"/>
  <c r="AS447" i="1"/>
  <c r="AR447" i="1"/>
  <c r="AT446" i="1"/>
  <c r="AS446" i="1"/>
  <c r="AT445" i="1"/>
  <c r="AS445" i="1"/>
  <c r="AT444" i="1"/>
  <c r="AS444" i="1"/>
  <c r="AR444" i="1"/>
  <c r="AT443" i="1"/>
  <c r="AS443" i="1"/>
  <c r="AT442" i="1"/>
  <c r="AS442" i="1"/>
  <c r="AT441" i="1"/>
  <c r="AS441" i="1"/>
  <c r="AR441" i="1"/>
  <c r="AT440" i="1"/>
  <c r="AS440" i="1"/>
  <c r="AT439" i="1"/>
  <c r="AS439" i="1"/>
  <c r="AT438" i="1"/>
  <c r="AS438" i="1"/>
  <c r="AT437" i="1"/>
  <c r="AS437" i="1"/>
  <c r="AT436" i="1"/>
  <c r="AS436" i="1"/>
  <c r="AR436" i="1"/>
  <c r="AT435" i="1"/>
  <c r="AS435" i="1"/>
  <c r="AR435" i="1"/>
  <c r="AT434" i="1"/>
  <c r="AS434" i="1"/>
  <c r="AR434" i="1"/>
  <c r="AT433" i="1"/>
  <c r="AS433" i="1"/>
  <c r="AR433" i="1"/>
  <c r="AT432" i="1"/>
  <c r="AS432" i="1"/>
  <c r="AR432" i="1"/>
  <c r="AT431" i="1"/>
  <c r="AS431" i="1"/>
  <c r="AR431" i="1"/>
  <c r="AT430" i="1"/>
  <c r="AS430" i="1"/>
  <c r="AT429" i="1"/>
  <c r="AS429" i="1"/>
  <c r="AR429" i="1"/>
  <c r="AT428" i="1"/>
  <c r="AS428" i="1"/>
  <c r="AR428" i="1"/>
  <c r="AT427" i="1"/>
  <c r="AS427" i="1"/>
  <c r="AR427" i="1"/>
  <c r="AT426" i="1"/>
  <c r="AS426" i="1"/>
  <c r="AR426" i="1"/>
  <c r="AT425" i="1"/>
  <c r="AS425" i="1"/>
  <c r="AR425" i="1"/>
  <c r="AT424" i="1"/>
  <c r="AS424" i="1"/>
  <c r="AR424" i="1"/>
  <c r="AT423" i="1"/>
  <c r="AS423" i="1"/>
  <c r="AR423" i="1"/>
  <c r="AT422" i="1"/>
  <c r="AS422" i="1"/>
  <c r="AR422" i="1"/>
  <c r="AT421" i="1"/>
  <c r="AS421" i="1"/>
  <c r="AR421" i="1"/>
  <c r="AT420" i="1"/>
  <c r="AS420" i="1"/>
  <c r="AT419" i="1"/>
  <c r="AS419" i="1"/>
  <c r="AT418" i="1"/>
  <c r="AS418" i="1"/>
  <c r="AT417" i="1"/>
  <c r="AS417" i="1"/>
  <c r="AR417" i="1"/>
  <c r="AT416" i="1"/>
  <c r="AS416" i="1"/>
  <c r="AT415" i="1"/>
  <c r="AS415" i="1"/>
  <c r="AT414" i="1"/>
  <c r="AS414" i="1"/>
  <c r="AT413" i="1"/>
  <c r="AS413" i="1"/>
  <c r="AR413" i="1"/>
  <c r="AT412" i="1"/>
  <c r="AS412" i="1"/>
  <c r="AT411" i="1"/>
  <c r="AS411" i="1"/>
  <c r="AT410" i="1"/>
  <c r="AS410" i="1"/>
  <c r="AT409" i="1"/>
  <c r="AS409" i="1"/>
  <c r="AR409" i="1"/>
  <c r="AT408" i="1"/>
  <c r="AS408" i="1"/>
  <c r="AT407" i="1"/>
  <c r="AS407" i="1"/>
  <c r="AT406" i="1"/>
  <c r="AS406" i="1"/>
  <c r="AR406" i="1"/>
  <c r="AT405" i="1"/>
  <c r="AS405" i="1"/>
  <c r="AR405" i="1"/>
  <c r="AT404" i="1"/>
  <c r="AS404" i="1"/>
  <c r="AR404" i="1"/>
  <c r="AT403" i="1"/>
  <c r="AS403" i="1"/>
  <c r="AT402" i="1"/>
  <c r="AS402" i="1"/>
  <c r="AR402" i="1"/>
  <c r="AT401" i="1"/>
  <c r="AS401" i="1"/>
  <c r="AT400" i="1"/>
  <c r="AS400" i="1"/>
  <c r="AT399" i="1"/>
  <c r="AS399" i="1"/>
  <c r="AT398" i="1"/>
  <c r="AS398" i="1"/>
  <c r="AR398" i="1"/>
  <c r="AT397" i="1"/>
  <c r="AS397" i="1"/>
  <c r="AT396" i="1"/>
  <c r="AS396" i="1"/>
  <c r="AR396" i="1"/>
  <c r="AT395" i="1"/>
  <c r="AS395" i="1"/>
  <c r="AR395" i="1"/>
  <c r="AT394" i="1"/>
  <c r="AS394" i="1"/>
  <c r="AR394" i="1"/>
  <c r="AT393" i="1"/>
  <c r="AS393" i="1"/>
  <c r="AR393" i="1"/>
  <c r="AT392" i="1"/>
  <c r="AS392" i="1"/>
  <c r="AT391" i="1"/>
  <c r="AS391" i="1"/>
  <c r="AR391" i="1"/>
  <c r="AT390" i="1"/>
  <c r="AS390" i="1"/>
  <c r="AT389" i="1"/>
  <c r="AS389" i="1"/>
  <c r="AR389" i="1"/>
  <c r="AT388" i="1"/>
  <c r="AS388" i="1"/>
  <c r="AR388" i="1"/>
  <c r="AT387" i="1"/>
  <c r="AS387" i="1"/>
  <c r="AT386" i="1"/>
  <c r="AS386" i="1"/>
  <c r="AR386" i="1"/>
  <c r="AT385" i="1"/>
  <c r="AS385" i="1"/>
  <c r="AR385" i="1"/>
  <c r="AT384" i="1"/>
  <c r="AS384" i="1"/>
  <c r="AR384" i="1"/>
  <c r="AT383" i="1"/>
  <c r="AS383" i="1"/>
  <c r="AR383" i="1"/>
  <c r="AT382" i="1"/>
  <c r="AS382" i="1"/>
  <c r="AR382" i="1"/>
  <c r="AT381" i="1"/>
  <c r="AS381" i="1"/>
  <c r="AT380" i="1"/>
  <c r="AS380" i="1"/>
  <c r="AT379" i="1"/>
  <c r="AS379" i="1"/>
  <c r="AT378" i="1"/>
  <c r="AS378" i="1"/>
  <c r="AT377" i="1"/>
  <c r="AS377" i="1"/>
  <c r="AT376" i="1"/>
  <c r="AS376" i="1"/>
  <c r="AR376" i="1"/>
  <c r="AT375" i="1"/>
  <c r="AS375" i="1"/>
  <c r="AT374" i="1"/>
  <c r="AS374" i="1"/>
  <c r="AR374" i="1"/>
  <c r="AT373" i="1"/>
  <c r="AS373" i="1"/>
  <c r="AT372" i="1"/>
  <c r="AS372" i="1"/>
  <c r="AT371" i="1"/>
  <c r="AS371" i="1"/>
  <c r="AT370" i="1"/>
  <c r="AS370" i="1"/>
  <c r="AR370" i="1"/>
  <c r="AT369" i="1"/>
  <c r="AS369" i="1"/>
  <c r="AT368" i="1"/>
  <c r="AS368" i="1"/>
  <c r="AR368" i="1"/>
  <c r="AT367" i="1"/>
  <c r="AS367" i="1"/>
  <c r="AR367" i="1"/>
  <c r="AT366" i="1"/>
  <c r="AS366" i="1"/>
  <c r="AT365" i="1"/>
  <c r="AS365" i="1"/>
  <c r="AT364" i="1"/>
  <c r="AS364" i="1"/>
  <c r="AR364" i="1"/>
  <c r="AT363" i="1"/>
  <c r="AS363" i="1"/>
  <c r="AT362" i="1"/>
  <c r="AS362" i="1"/>
  <c r="AT361" i="1"/>
  <c r="AS361" i="1"/>
  <c r="AT360" i="1"/>
  <c r="AS360" i="1"/>
  <c r="AT359" i="1"/>
  <c r="AS359" i="1"/>
  <c r="AR359" i="1"/>
  <c r="AT358" i="1"/>
  <c r="AS358" i="1"/>
  <c r="AR358" i="1"/>
  <c r="AT357" i="1"/>
  <c r="AS357" i="1"/>
  <c r="AR357" i="1"/>
  <c r="AT356" i="1"/>
  <c r="AS356" i="1"/>
  <c r="AT355" i="1"/>
  <c r="AS355" i="1"/>
  <c r="AR355" i="1"/>
  <c r="AT354" i="1"/>
  <c r="AS354" i="1"/>
  <c r="AT353" i="1"/>
  <c r="AS353" i="1"/>
  <c r="AT352" i="1"/>
  <c r="AS352" i="1"/>
  <c r="AT351" i="1"/>
  <c r="AS351" i="1"/>
  <c r="AT350" i="1"/>
  <c r="AS350" i="1"/>
  <c r="AR350" i="1"/>
  <c r="AT349" i="1"/>
  <c r="AS349" i="1"/>
  <c r="AR349" i="1"/>
  <c r="AT348" i="1"/>
  <c r="AS348" i="1"/>
  <c r="AR348" i="1"/>
  <c r="AT347" i="1"/>
  <c r="AS347" i="1"/>
  <c r="AT346" i="1"/>
  <c r="AS346" i="1"/>
  <c r="AR346" i="1"/>
  <c r="AT345" i="1"/>
  <c r="AS345" i="1"/>
  <c r="AR345" i="1"/>
  <c r="AT344" i="1"/>
  <c r="AS344" i="1"/>
  <c r="AT343" i="1"/>
  <c r="AS343" i="1"/>
  <c r="AT342" i="1"/>
  <c r="AS342" i="1"/>
  <c r="AR342" i="1"/>
  <c r="AT341" i="1"/>
  <c r="AS341" i="1"/>
  <c r="AT340" i="1"/>
  <c r="AS340" i="1"/>
  <c r="AR340" i="1"/>
  <c r="AT339" i="1"/>
  <c r="AS339" i="1"/>
  <c r="AR339" i="1"/>
  <c r="AT338" i="1"/>
  <c r="AS338" i="1"/>
  <c r="AR338" i="1"/>
  <c r="AT337" i="1"/>
  <c r="AS337" i="1"/>
  <c r="AT336" i="1"/>
  <c r="AS336" i="1"/>
  <c r="AT335" i="1"/>
  <c r="AS335" i="1"/>
  <c r="AR335" i="1"/>
  <c r="AT334" i="1"/>
  <c r="AS334" i="1"/>
  <c r="AR334" i="1"/>
  <c r="AT333" i="1"/>
  <c r="AS333" i="1"/>
  <c r="AR333" i="1"/>
  <c r="AT332" i="1"/>
  <c r="AS332" i="1"/>
  <c r="AT331" i="1"/>
  <c r="AS331" i="1"/>
  <c r="AT330" i="1"/>
  <c r="AS330" i="1"/>
  <c r="AT329" i="1"/>
  <c r="AS329" i="1"/>
  <c r="AR329" i="1"/>
  <c r="AT328" i="1"/>
  <c r="AS328" i="1"/>
  <c r="AT327" i="1"/>
  <c r="AS327" i="1"/>
  <c r="AR327" i="1"/>
  <c r="AT326" i="1"/>
  <c r="AS326" i="1"/>
  <c r="AT325" i="1"/>
  <c r="AS325" i="1"/>
  <c r="AR325" i="1"/>
  <c r="AT324" i="1"/>
  <c r="AS324" i="1"/>
  <c r="AR324" i="1"/>
  <c r="AT323" i="1"/>
  <c r="AS323" i="1"/>
  <c r="AT322" i="1"/>
  <c r="AS322" i="1"/>
  <c r="AT321" i="1"/>
  <c r="AS321" i="1"/>
  <c r="AR321" i="1"/>
  <c r="AT320" i="1"/>
  <c r="AS320" i="1"/>
  <c r="AT319" i="1"/>
  <c r="AS319" i="1"/>
  <c r="AT318" i="1"/>
  <c r="AS318" i="1"/>
  <c r="AT317" i="1"/>
  <c r="AS317" i="1"/>
  <c r="AR317" i="1"/>
  <c r="AT316" i="1"/>
  <c r="AS316" i="1"/>
  <c r="AR316" i="1"/>
  <c r="AT315" i="1"/>
  <c r="AS315" i="1"/>
  <c r="AR315" i="1"/>
  <c r="AT314" i="1"/>
  <c r="AS314" i="1"/>
  <c r="AT313" i="1"/>
  <c r="AS313" i="1"/>
  <c r="AR313" i="1"/>
  <c r="AT312" i="1"/>
  <c r="AS312" i="1"/>
  <c r="AT311" i="1"/>
  <c r="AS311" i="1"/>
  <c r="AT310" i="1"/>
  <c r="AS310" i="1"/>
  <c r="AR310" i="1"/>
  <c r="AT309" i="1"/>
  <c r="AS309" i="1"/>
  <c r="AR309" i="1"/>
  <c r="AT308" i="1"/>
  <c r="AS308" i="1"/>
  <c r="AR308" i="1"/>
  <c r="AT307" i="1"/>
  <c r="AS307" i="1"/>
  <c r="AR307" i="1"/>
  <c r="AT306" i="1"/>
  <c r="AS306" i="1"/>
  <c r="AT305" i="1"/>
  <c r="AS305" i="1"/>
  <c r="AT304" i="1"/>
  <c r="AS304" i="1"/>
  <c r="AR304" i="1"/>
  <c r="AT303" i="1"/>
  <c r="AS303" i="1"/>
  <c r="AR303" i="1"/>
  <c r="AT302" i="1"/>
  <c r="AS302" i="1"/>
  <c r="AT301" i="1"/>
  <c r="AS301" i="1"/>
  <c r="AR301" i="1"/>
  <c r="AT300" i="1"/>
  <c r="AS300" i="1"/>
  <c r="AT299" i="1"/>
  <c r="AS299" i="1"/>
  <c r="AT298" i="1"/>
  <c r="AS298" i="1"/>
  <c r="AT297" i="1"/>
  <c r="AS297" i="1"/>
  <c r="AR297" i="1"/>
  <c r="AT296" i="1"/>
  <c r="AS296" i="1"/>
  <c r="AT295" i="1"/>
  <c r="AS295" i="1"/>
  <c r="AR295" i="1"/>
  <c r="AT294" i="1"/>
  <c r="AS294" i="1"/>
  <c r="AR294" i="1"/>
  <c r="AT293" i="1"/>
  <c r="AS293" i="1"/>
  <c r="AT292" i="1"/>
  <c r="AS292" i="1"/>
  <c r="AT291" i="1"/>
  <c r="AS291" i="1"/>
  <c r="AT290" i="1"/>
  <c r="AS290" i="1"/>
  <c r="AR290" i="1"/>
  <c r="AT289" i="1"/>
  <c r="AS289" i="1"/>
  <c r="AT288" i="1"/>
  <c r="AS288" i="1"/>
  <c r="AT287" i="1"/>
  <c r="AS287" i="1"/>
  <c r="AR287" i="1"/>
  <c r="AT286" i="1"/>
  <c r="AS286" i="1"/>
  <c r="AT285" i="1"/>
  <c r="AS285" i="1"/>
  <c r="AR285" i="1"/>
  <c r="AT284" i="1"/>
  <c r="AS284" i="1"/>
  <c r="AT283" i="1"/>
  <c r="AS283" i="1"/>
  <c r="AR283" i="1"/>
  <c r="AT282" i="1"/>
  <c r="AS282" i="1"/>
  <c r="AT281" i="1"/>
  <c r="AS281" i="1"/>
  <c r="AT280" i="1"/>
  <c r="AS280" i="1"/>
  <c r="AR280" i="1"/>
  <c r="AT279" i="1"/>
  <c r="AS279" i="1"/>
  <c r="AR279" i="1"/>
  <c r="AT278" i="1"/>
  <c r="AS278" i="1"/>
  <c r="AT277" i="1"/>
  <c r="AS277" i="1"/>
  <c r="AR277" i="1"/>
  <c r="AT276" i="1"/>
  <c r="AS276" i="1"/>
  <c r="AR276" i="1"/>
  <c r="AT275" i="1"/>
  <c r="AS275" i="1"/>
  <c r="AT274" i="1"/>
  <c r="AS274" i="1"/>
  <c r="AR274" i="1"/>
  <c r="AT273" i="1"/>
  <c r="AS273" i="1"/>
  <c r="AR273" i="1"/>
  <c r="AT272" i="1"/>
  <c r="AS272" i="1"/>
  <c r="AR272" i="1"/>
  <c r="AT271" i="1"/>
  <c r="AS271" i="1"/>
  <c r="AR271" i="1"/>
  <c r="AT270" i="1"/>
  <c r="AS270" i="1"/>
  <c r="AT269" i="1"/>
  <c r="AS269" i="1"/>
  <c r="AT268" i="1"/>
  <c r="AS268" i="1"/>
  <c r="AT267" i="1"/>
  <c r="AS267" i="1"/>
  <c r="AR267" i="1"/>
  <c r="AT266" i="1"/>
  <c r="AS266" i="1"/>
  <c r="AT265" i="1"/>
  <c r="AS265" i="1"/>
  <c r="AR265" i="1"/>
  <c r="AT264" i="1"/>
  <c r="AS264" i="1"/>
  <c r="AT263" i="1"/>
  <c r="AS263" i="1"/>
  <c r="AR263" i="1"/>
  <c r="AT262" i="1"/>
  <c r="AS262" i="1"/>
  <c r="AR262" i="1"/>
  <c r="AT261" i="1"/>
  <c r="AS261" i="1"/>
  <c r="AR261" i="1"/>
  <c r="AT260" i="1"/>
  <c r="AS260" i="1"/>
  <c r="AT259" i="1"/>
  <c r="AS259" i="1"/>
  <c r="AR259" i="1"/>
  <c r="AT258" i="1"/>
  <c r="AS258" i="1"/>
  <c r="AR258" i="1"/>
  <c r="AT257" i="1"/>
  <c r="AS257" i="1"/>
  <c r="AR257" i="1"/>
  <c r="AT256" i="1"/>
  <c r="AS256" i="1"/>
  <c r="AR256" i="1"/>
  <c r="AT255" i="1"/>
  <c r="AS255" i="1"/>
  <c r="AT254" i="1"/>
  <c r="AS254" i="1"/>
  <c r="AR254" i="1"/>
  <c r="AT253" i="1"/>
  <c r="AS253" i="1"/>
  <c r="AT252" i="1"/>
  <c r="AS252" i="1"/>
  <c r="AR252" i="1"/>
  <c r="AT251" i="1"/>
  <c r="AS251" i="1"/>
  <c r="AR251" i="1"/>
  <c r="AT250" i="1"/>
  <c r="AS250" i="1"/>
  <c r="AR250" i="1"/>
  <c r="AT249" i="1"/>
  <c r="AS249" i="1"/>
  <c r="AT248" i="1"/>
  <c r="AS248" i="1"/>
  <c r="AT247" i="1"/>
  <c r="AS247" i="1"/>
  <c r="AR247" i="1"/>
  <c r="AT246" i="1"/>
  <c r="AS246" i="1"/>
  <c r="AT245" i="1"/>
  <c r="AS245" i="1"/>
  <c r="AT244" i="1"/>
  <c r="AS244" i="1"/>
  <c r="AR244" i="1"/>
  <c r="AT243" i="1"/>
  <c r="AS243" i="1"/>
  <c r="AR243" i="1"/>
  <c r="AT242" i="1"/>
  <c r="AS242" i="1"/>
  <c r="AR242" i="1"/>
  <c r="AT241" i="1"/>
  <c r="AS241" i="1"/>
  <c r="AT240" i="1"/>
  <c r="AS240" i="1"/>
  <c r="AR240" i="1"/>
  <c r="AT239" i="1"/>
  <c r="AS239" i="1"/>
  <c r="AR239" i="1"/>
  <c r="AT238" i="1"/>
  <c r="AS238" i="1"/>
  <c r="AT237" i="1"/>
  <c r="AS237" i="1"/>
  <c r="AR237" i="1"/>
  <c r="AT236" i="1"/>
  <c r="AS236" i="1"/>
  <c r="AR236" i="1"/>
  <c r="AT235" i="1"/>
  <c r="AS235" i="1"/>
  <c r="AR235" i="1"/>
  <c r="AT234" i="1"/>
  <c r="AS234" i="1"/>
  <c r="AT233" i="1"/>
  <c r="AS233" i="1"/>
  <c r="AR233" i="1"/>
  <c r="AT232" i="1"/>
  <c r="AS232" i="1"/>
  <c r="AT231" i="1"/>
  <c r="AS231" i="1"/>
  <c r="AR231" i="1"/>
  <c r="AT230" i="1"/>
  <c r="AS230" i="1"/>
  <c r="AT229" i="1"/>
  <c r="AS229" i="1"/>
  <c r="AR229" i="1"/>
  <c r="AT228" i="1"/>
  <c r="AS228" i="1"/>
  <c r="AT227" i="1"/>
  <c r="AS227" i="1"/>
  <c r="AR227" i="1"/>
  <c r="AT226" i="1"/>
  <c r="AS226" i="1"/>
  <c r="AR226" i="1"/>
  <c r="AT225" i="1"/>
  <c r="AS225" i="1"/>
  <c r="AT224" i="1"/>
  <c r="AS224" i="1"/>
  <c r="AR224" i="1"/>
  <c r="AT223" i="1"/>
  <c r="AS223" i="1"/>
  <c r="AT222" i="1"/>
  <c r="AS222" i="1"/>
  <c r="AR222" i="1"/>
  <c r="AT221" i="1"/>
  <c r="AS221" i="1"/>
  <c r="AR221" i="1"/>
  <c r="AT220" i="1"/>
  <c r="AS220" i="1"/>
  <c r="AR220" i="1"/>
  <c r="AT219" i="1"/>
  <c r="AS219" i="1"/>
  <c r="AR219" i="1"/>
  <c r="AT218" i="1"/>
  <c r="AS218" i="1"/>
  <c r="AT217" i="1"/>
  <c r="AS217" i="1"/>
  <c r="AR217" i="1"/>
  <c r="AT216" i="1"/>
  <c r="AS216" i="1"/>
  <c r="AR216" i="1"/>
  <c r="AT215" i="1"/>
  <c r="AS215" i="1"/>
  <c r="AR215" i="1"/>
  <c r="AT214" i="1"/>
  <c r="AS214" i="1"/>
  <c r="AT213" i="1"/>
  <c r="AS213" i="1"/>
  <c r="AR213" i="1"/>
  <c r="AT212" i="1"/>
  <c r="AS212" i="1"/>
  <c r="AT211" i="1"/>
  <c r="AS211" i="1"/>
  <c r="AT210" i="1"/>
  <c r="AS210" i="1"/>
  <c r="AT209" i="1"/>
  <c r="AS209" i="1"/>
  <c r="AT208" i="1"/>
  <c r="AS208" i="1"/>
  <c r="AT207" i="1"/>
  <c r="AS207" i="1"/>
  <c r="AT206" i="1"/>
  <c r="AS206" i="1"/>
  <c r="AR206" i="1"/>
  <c r="AT205" i="1"/>
  <c r="AS205" i="1"/>
  <c r="AT204" i="1"/>
  <c r="AS204" i="1"/>
  <c r="AT203" i="1"/>
  <c r="AS203" i="1"/>
  <c r="AT202" i="1"/>
  <c r="AS202" i="1"/>
  <c r="AT201" i="1"/>
  <c r="AS201" i="1"/>
  <c r="AR201" i="1"/>
  <c r="AT200" i="1"/>
  <c r="AS200" i="1"/>
  <c r="AR200" i="1"/>
  <c r="AT199" i="1"/>
  <c r="AS199" i="1"/>
  <c r="AR199" i="1"/>
  <c r="AT198" i="1"/>
  <c r="AS198" i="1"/>
  <c r="AR198" i="1"/>
  <c r="AT197" i="1"/>
  <c r="AS197" i="1"/>
  <c r="AR197" i="1"/>
  <c r="AT196" i="1"/>
  <c r="AS196" i="1"/>
  <c r="AR196" i="1"/>
  <c r="AT195" i="1"/>
  <c r="AS195" i="1"/>
  <c r="AR195" i="1"/>
  <c r="AT194" i="1"/>
  <c r="AS194" i="1"/>
  <c r="AR194" i="1"/>
  <c r="AT193" i="1"/>
  <c r="AS193" i="1"/>
  <c r="AR193" i="1"/>
  <c r="AT192" i="1"/>
  <c r="AS192" i="1"/>
  <c r="AR192" i="1"/>
  <c r="AT191" i="1"/>
  <c r="AS191" i="1"/>
  <c r="AT190" i="1"/>
  <c r="AS190" i="1"/>
  <c r="AT189" i="1"/>
  <c r="AS189" i="1"/>
  <c r="AT188" i="1"/>
  <c r="AS188" i="1"/>
  <c r="AT187" i="1"/>
  <c r="AS187" i="1"/>
  <c r="AR187" i="1"/>
  <c r="AT186" i="1"/>
  <c r="AS186" i="1"/>
  <c r="AT185" i="1"/>
  <c r="AS185" i="1"/>
  <c r="AT184" i="1"/>
  <c r="AS184" i="1"/>
  <c r="AT183" i="1"/>
  <c r="AS183" i="1"/>
  <c r="AR183" i="1"/>
  <c r="AT182" i="1"/>
  <c r="AS182" i="1"/>
  <c r="AR182" i="1"/>
  <c r="AT181" i="1"/>
  <c r="AS181" i="1"/>
  <c r="AR181" i="1"/>
  <c r="AT180" i="1"/>
  <c r="AS180" i="1"/>
  <c r="AT179" i="1"/>
  <c r="AS179" i="1"/>
  <c r="AR179" i="1"/>
  <c r="AT178" i="1"/>
  <c r="AS178" i="1"/>
  <c r="AR178" i="1"/>
  <c r="AT177" i="1"/>
  <c r="AS177" i="1"/>
  <c r="AT176" i="1"/>
  <c r="AS176" i="1"/>
  <c r="AT175" i="1"/>
  <c r="AS175" i="1"/>
  <c r="AR175" i="1"/>
  <c r="AT174" i="1"/>
  <c r="AS174" i="1"/>
  <c r="AR174" i="1"/>
  <c r="AT173" i="1"/>
  <c r="AS173" i="1"/>
  <c r="AT172" i="1"/>
  <c r="AS172" i="1"/>
  <c r="AR172" i="1"/>
  <c r="AT171" i="1"/>
  <c r="AS171" i="1"/>
  <c r="AR171" i="1"/>
  <c r="AT170" i="1"/>
  <c r="AS170" i="1"/>
  <c r="AR170" i="1"/>
  <c r="AT169" i="1"/>
  <c r="AS169" i="1"/>
  <c r="AT168" i="1"/>
  <c r="AS168" i="1"/>
  <c r="AR168" i="1"/>
  <c r="AT167" i="1"/>
  <c r="AS167" i="1"/>
  <c r="AR167" i="1"/>
  <c r="AT166" i="1"/>
  <c r="AS166" i="1"/>
  <c r="AR166" i="1"/>
  <c r="AT165" i="1"/>
  <c r="AS165" i="1"/>
  <c r="AT164" i="1"/>
  <c r="AS164" i="1"/>
  <c r="AR164" i="1"/>
  <c r="AT163" i="1"/>
  <c r="AS163" i="1"/>
  <c r="AR163" i="1"/>
  <c r="AT162" i="1"/>
  <c r="AS162" i="1"/>
  <c r="AR162" i="1"/>
  <c r="AT161" i="1"/>
  <c r="AS161" i="1"/>
  <c r="AT160" i="1"/>
  <c r="AS160" i="1"/>
  <c r="AR160" i="1"/>
  <c r="AT159" i="1"/>
  <c r="AS159" i="1"/>
  <c r="AT158" i="1"/>
  <c r="AS158" i="1"/>
  <c r="AR158" i="1"/>
  <c r="AT157" i="1"/>
  <c r="AS157" i="1"/>
  <c r="AR157" i="1"/>
  <c r="AT156" i="1"/>
  <c r="AS156" i="1"/>
  <c r="AR156" i="1"/>
  <c r="AT155" i="1"/>
  <c r="AS155" i="1"/>
  <c r="AR155" i="1"/>
  <c r="AT154" i="1"/>
  <c r="AS154" i="1"/>
  <c r="AR154" i="1"/>
  <c r="AT153" i="1"/>
  <c r="AS153" i="1"/>
  <c r="AR153" i="1"/>
  <c r="AT152" i="1"/>
  <c r="AS152" i="1"/>
  <c r="AR152" i="1"/>
  <c r="AT151" i="1"/>
  <c r="AS151" i="1"/>
  <c r="AT150" i="1"/>
  <c r="AS150" i="1"/>
  <c r="AR150" i="1"/>
  <c r="AT149" i="1"/>
  <c r="AS149" i="1"/>
  <c r="AR149" i="1"/>
  <c r="AT148" i="1"/>
  <c r="AS148" i="1"/>
  <c r="AT147" i="1"/>
  <c r="AS147" i="1"/>
  <c r="AT146" i="1"/>
  <c r="AS146" i="1"/>
  <c r="AR146" i="1"/>
  <c r="AT145" i="1"/>
  <c r="AS145" i="1"/>
  <c r="AT144" i="1"/>
  <c r="AS144" i="1"/>
  <c r="AR144" i="1"/>
  <c r="AT143" i="1"/>
  <c r="AS143" i="1"/>
  <c r="AR143" i="1"/>
  <c r="AT142" i="1"/>
  <c r="AS142" i="1"/>
  <c r="AR142" i="1"/>
  <c r="AT141" i="1"/>
  <c r="AS141" i="1"/>
  <c r="AR141" i="1"/>
  <c r="AT140" i="1"/>
  <c r="AS140" i="1"/>
  <c r="AT139" i="1"/>
  <c r="AS139" i="1"/>
  <c r="AR139" i="1"/>
  <c r="AT138" i="1"/>
  <c r="AS138" i="1"/>
  <c r="AR138" i="1"/>
  <c r="AT137" i="1"/>
  <c r="AS137" i="1"/>
  <c r="AT136" i="1"/>
  <c r="AS136" i="1"/>
  <c r="AT135" i="1"/>
  <c r="AS135" i="1"/>
  <c r="AT134" i="1"/>
  <c r="AS134" i="1"/>
  <c r="AT133" i="1"/>
  <c r="AS133" i="1"/>
  <c r="AR133" i="1"/>
  <c r="AT132" i="1"/>
  <c r="AS132" i="1"/>
  <c r="AT131" i="1"/>
  <c r="AS131" i="1"/>
  <c r="AT130" i="1"/>
  <c r="AS130" i="1"/>
  <c r="AT129" i="1"/>
  <c r="AS129" i="1"/>
  <c r="AR129" i="1"/>
  <c r="AT128" i="1"/>
  <c r="AS128" i="1"/>
  <c r="AT127" i="1"/>
  <c r="AS127" i="1"/>
  <c r="AR127" i="1"/>
  <c r="AT126" i="1"/>
  <c r="AS126" i="1"/>
  <c r="AR126" i="1"/>
  <c r="AT125" i="1"/>
  <c r="AS125" i="1"/>
  <c r="AT124" i="1"/>
  <c r="AS124" i="1"/>
  <c r="AT123" i="1"/>
  <c r="AS123" i="1"/>
  <c r="AT122" i="1"/>
  <c r="AS122" i="1"/>
  <c r="AT121" i="1"/>
  <c r="AS121" i="1"/>
  <c r="AT120" i="1"/>
  <c r="AS120" i="1"/>
  <c r="AR120" i="1"/>
  <c r="AT119" i="1"/>
  <c r="AS119" i="1"/>
  <c r="AT118" i="1"/>
  <c r="AS118" i="1"/>
  <c r="AR118" i="1"/>
  <c r="AT117" i="1"/>
  <c r="AS117" i="1"/>
  <c r="AR117" i="1"/>
  <c r="AT116" i="1"/>
  <c r="AS116" i="1"/>
  <c r="AT115" i="1"/>
  <c r="AS115" i="1"/>
  <c r="AT114" i="1"/>
  <c r="AS114" i="1"/>
  <c r="AT113" i="1"/>
  <c r="AS113" i="1"/>
  <c r="AT112" i="1"/>
  <c r="AS112" i="1"/>
  <c r="AR112" i="1"/>
  <c r="AT111" i="1"/>
  <c r="AS111" i="1"/>
  <c r="AT110" i="1"/>
  <c r="AS110" i="1"/>
  <c r="AR110" i="1"/>
  <c r="AT109" i="1"/>
  <c r="AS109" i="1"/>
  <c r="AT108" i="1"/>
  <c r="AS108" i="1"/>
  <c r="AR108" i="1"/>
  <c r="AT107" i="1"/>
  <c r="AS107" i="1"/>
  <c r="AR107" i="1"/>
  <c r="AT106" i="1"/>
  <c r="AS106" i="1"/>
  <c r="AR106" i="1"/>
  <c r="AT105" i="1"/>
  <c r="AS105" i="1"/>
  <c r="AR105" i="1"/>
  <c r="AT104" i="1"/>
  <c r="AS104" i="1"/>
  <c r="AR104" i="1"/>
  <c r="AT103" i="1"/>
  <c r="AS103" i="1"/>
  <c r="AT102" i="1"/>
  <c r="AS102" i="1"/>
  <c r="AR102" i="1"/>
  <c r="AT101" i="1"/>
  <c r="AS101" i="1"/>
  <c r="AR101" i="1"/>
  <c r="AT100" i="1"/>
  <c r="AS100" i="1"/>
  <c r="AR100" i="1"/>
  <c r="AT99" i="1"/>
  <c r="AS99" i="1"/>
  <c r="AR99" i="1"/>
  <c r="AT98" i="1"/>
  <c r="AS98" i="1"/>
  <c r="AR98" i="1"/>
  <c r="AT97" i="1"/>
  <c r="AS97" i="1"/>
  <c r="AR97" i="1"/>
  <c r="AT96" i="1"/>
  <c r="AS96" i="1"/>
  <c r="AR96" i="1"/>
  <c r="AT95" i="1"/>
  <c r="AS95" i="1"/>
  <c r="AR95" i="1"/>
  <c r="AT94" i="1"/>
  <c r="AS94" i="1"/>
  <c r="AR94" i="1"/>
  <c r="AT93" i="1"/>
  <c r="AS93" i="1"/>
  <c r="AR93" i="1"/>
  <c r="AT92" i="1"/>
  <c r="AS92" i="1"/>
  <c r="AR92" i="1"/>
  <c r="AT91" i="1"/>
  <c r="AS91" i="1"/>
  <c r="AT90" i="1"/>
  <c r="AS90" i="1"/>
  <c r="AR90" i="1"/>
  <c r="AT89" i="1"/>
  <c r="AS89" i="1"/>
  <c r="AR89" i="1"/>
  <c r="AT88" i="1"/>
  <c r="AS88" i="1"/>
  <c r="AT87" i="1"/>
  <c r="AS87" i="1"/>
  <c r="AT86" i="1"/>
  <c r="AS86" i="1"/>
  <c r="AR86" i="1"/>
  <c r="AT85" i="1"/>
  <c r="AS85" i="1"/>
  <c r="AR85" i="1"/>
  <c r="AT84" i="1"/>
  <c r="AS84" i="1"/>
  <c r="AT83" i="1"/>
  <c r="AS83" i="1"/>
  <c r="AR83" i="1"/>
  <c r="AT82" i="1"/>
  <c r="AS82" i="1"/>
  <c r="AR82" i="1"/>
  <c r="AT81" i="1"/>
  <c r="AS81" i="1"/>
  <c r="AR81" i="1"/>
  <c r="AT80" i="1"/>
  <c r="AS80" i="1"/>
  <c r="AR80" i="1"/>
  <c r="AT79" i="1"/>
  <c r="AS79" i="1"/>
  <c r="AT78" i="1"/>
  <c r="AS78" i="1"/>
  <c r="AT77" i="1"/>
  <c r="AS77" i="1"/>
  <c r="AR77" i="1"/>
  <c r="AT76" i="1"/>
  <c r="AS76" i="1"/>
  <c r="AR76" i="1"/>
  <c r="AT75" i="1"/>
  <c r="AS75" i="1"/>
  <c r="AR75" i="1"/>
  <c r="AT74" i="1"/>
  <c r="AS74" i="1"/>
  <c r="AR74" i="1"/>
  <c r="AT73" i="1"/>
  <c r="AS73" i="1"/>
  <c r="AR73" i="1"/>
  <c r="AT72" i="1"/>
  <c r="AS72" i="1"/>
  <c r="AT71" i="1"/>
  <c r="AS71" i="1"/>
  <c r="AT70" i="1"/>
  <c r="AS70" i="1"/>
  <c r="AT69" i="1"/>
  <c r="AS69" i="1"/>
  <c r="AT68" i="1"/>
  <c r="AS68" i="1"/>
  <c r="AT67" i="1"/>
  <c r="AS67" i="1"/>
  <c r="AT66" i="1"/>
  <c r="AS66" i="1"/>
  <c r="AT65" i="1"/>
  <c r="AS65" i="1"/>
  <c r="AT64" i="1"/>
  <c r="AS64" i="1"/>
  <c r="AT63" i="1"/>
  <c r="AS63" i="1"/>
  <c r="AT62" i="1"/>
  <c r="AS62" i="1"/>
  <c r="AT61" i="1"/>
  <c r="AS61" i="1"/>
  <c r="AT60" i="1"/>
  <c r="AS60" i="1"/>
  <c r="AT59" i="1"/>
  <c r="AS59" i="1"/>
  <c r="AT58" i="1"/>
  <c r="AS58" i="1"/>
  <c r="AT57" i="1"/>
  <c r="AS57" i="1"/>
  <c r="AT56" i="1"/>
  <c r="AS56" i="1"/>
  <c r="AT55" i="1"/>
  <c r="AS55" i="1"/>
  <c r="AT54" i="1"/>
  <c r="AS54" i="1"/>
  <c r="AT53" i="1"/>
  <c r="AS53" i="1"/>
  <c r="AT52" i="1"/>
  <c r="AS52" i="1"/>
  <c r="AT51" i="1"/>
  <c r="AS51" i="1"/>
  <c r="AT50" i="1"/>
  <c r="AS50" i="1"/>
  <c r="AT49" i="1"/>
  <c r="AS49" i="1"/>
  <c r="AT48" i="1"/>
  <c r="AS48" i="1"/>
  <c r="AT47" i="1"/>
  <c r="AS47" i="1"/>
  <c r="AT46" i="1"/>
  <c r="AS46" i="1"/>
  <c r="AR46" i="1"/>
  <c r="AT45" i="1"/>
  <c r="AS45" i="1"/>
  <c r="AR45" i="1"/>
  <c r="AT44" i="1"/>
  <c r="AS44" i="1"/>
  <c r="AR44" i="1"/>
  <c r="AT43" i="1"/>
  <c r="AS43" i="1"/>
  <c r="AT42" i="1"/>
  <c r="AS42" i="1"/>
  <c r="AR42" i="1"/>
  <c r="AT41" i="1"/>
  <c r="AS41" i="1"/>
  <c r="AT40" i="1"/>
  <c r="AS40" i="1"/>
  <c r="AR40" i="1"/>
  <c r="AT39" i="1"/>
  <c r="AS39" i="1"/>
  <c r="AT38" i="1"/>
  <c r="AS38" i="1"/>
  <c r="AR38" i="1"/>
  <c r="AT37" i="1"/>
  <c r="AS37" i="1"/>
  <c r="AR37" i="1"/>
  <c r="AT36" i="1"/>
  <c r="AS36" i="1"/>
  <c r="AR36" i="1"/>
  <c r="AT35" i="1"/>
  <c r="AS35" i="1"/>
  <c r="AT34" i="1"/>
  <c r="AS34" i="1"/>
  <c r="AT33" i="1"/>
  <c r="AS33" i="1"/>
  <c r="AT32" i="1"/>
  <c r="AS32" i="1"/>
  <c r="AT31" i="1"/>
  <c r="AS31" i="1"/>
  <c r="AR31" i="1"/>
  <c r="AT30" i="1"/>
  <c r="AS30" i="1"/>
  <c r="AT29" i="1"/>
  <c r="AS29" i="1"/>
  <c r="AT28" i="1"/>
  <c r="AS28" i="1"/>
  <c r="AT27" i="1"/>
  <c r="AS27" i="1"/>
  <c r="AR27" i="1"/>
  <c r="AT26" i="1"/>
  <c r="AS26" i="1"/>
  <c r="AR26" i="1"/>
  <c r="AT25" i="1"/>
  <c r="AS25" i="1"/>
  <c r="AR25" i="1"/>
  <c r="AT24" i="1"/>
  <c r="AS24" i="1"/>
  <c r="AT23" i="1"/>
  <c r="AS23" i="1"/>
  <c r="AT22" i="1"/>
  <c r="AS22" i="1"/>
  <c r="AT21" i="1"/>
  <c r="AS21" i="1"/>
  <c r="AT20" i="1"/>
  <c r="AS20" i="1"/>
  <c r="AR20" i="1"/>
  <c r="AT19" i="1"/>
  <c r="AS19" i="1"/>
  <c r="AR19" i="1"/>
  <c r="AT18" i="1"/>
  <c r="AS18" i="1"/>
  <c r="AR18" i="1"/>
  <c r="AT17" i="1"/>
  <c r="AS17" i="1"/>
  <c r="AR17" i="1"/>
  <c r="AT16" i="1"/>
  <c r="AS16" i="1"/>
  <c r="AT15" i="1"/>
  <c r="AS15" i="1"/>
  <c r="AT14" i="1"/>
  <c r="AS14" i="1"/>
  <c r="AR14" i="1"/>
  <c r="AT13" i="1"/>
  <c r="AS13" i="1"/>
  <c r="AR13" i="1"/>
  <c r="AT12" i="1"/>
  <c r="AS12" i="1"/>
  <c r="AR12" i="1"/>
  <c r="AT11" i="1"/>
  <c r="AS11" i="1"/>
  <c r="AR11" i="1"/>
  <c r="AT10" i="1"/>
  <c r="AS10" i="1"/>
  <c r="AR10" i="1"/>
  <c r="AT9" i="1"/>
  <c r="AS9" i="1"/>
  <c r="AT8" i="1"/>
  <c r="AS8" i="1"/>
  <c r="AR8" i="1"/>
  <c r="AT7" i="1"/>
  <c r="AS7" i="1"/>
  <c r="AR7" i="1"/>
  <c r="AT6" i="1"/>
  <c r="AS6" i="1"/>
  <c r="AT5" i="1"/>
  <c r="AS5" i="1"/>
  <c r="AR5" i="1"/>
  <c r="AT4" i="1"/>
  <c r="AS4" i="1"/>
  <c r="AR4" i="1"/>
  <c r="AT3" i="1"/>
  <c r="AS3" i="1"/>
  <c r="AR3" i="1"/>
  <c r="AT2" i="1"/>
  <c r="AS2" i="1"/>
  <c r="AR2" i="1"/>
</calcChain>
</file>

<file path=xl/sharedStrings.xml><?xml version="1.0" encoding="utf-8"?>
<sst xmlns="http://schemas.openxmlformats.org/spreadsheetml/2006/main" count="18775" uniqueCount="7807">
  <si>
    <t>Display Call Number</t>
  </si>
  <si>
    <t>Display Call Number Normalized</t>
  </si>
  <si>
    <t>Title</t>
  </si>
  <si>
    <t>Enumeration</t>
  </si>
  <si>
    <t>Possible Multi-Volume Set</t>
  </si>
  <si>
    <t>Copy Number</t>
  </si>
  <si>
    <t>Possible Duplicate</t>
  </si>
  <si>
    <t>Multi-Edition Title</t>
  </si>
  <si>
    <t>Number of Related Ebooks</t>
  </si>
  <si>
    <t>Author</t>
  </si>
  <si>
    <t>Publisher</t>
  </si>
  <si>
    <t>Publication Year</t>
  </si>
  <si>
    <t>Edition</t>
  </si>
  <si>
    <t>Primary Language</t>
  </si>
  <si>
    <t>Place of Publication</t>
  </si>
  <si>
    <t>Series</t>
  </si>
  <si>
    <t>LC Subclass</t>
  </si>
  <si>
    <t>Recorded Uses - Item</t>
  </si>
  <si>
    <t>Recorded Uses - Title</t>
  </si>
  <si>
    <t>Last Charge Date - Item</t>
  </si>
  <si>
    <t>Last Charge Date - Title</t>
  </si>
  <si>
    <t>Last Add Date - Item</t>
  </si>
  <si>
    <t>Last Add Date - Title</t>
  </si>
  <si>
    <t>Global Holdings - Same Edition</t>
  </si>
  <si>
    <t>US Holdings - Same Edition</t>
  </si>
  <si>
    <t>US Holdings</t>
  </si>
  <si>
    <t>Nebraska Holdings - Same Edition</t>
  </si>
  <si>
    <t>Nebraska Holdings</t>
  </si>
  <si>
    <t>All Comparator Library Holdings - Same Edition</t>
  </si>
  <si>
    <t>All Comparator Library Holdings</t>
  </si>
  <si>
    <t>Affinity Libraries - Same Edition</t>
  </si>
  <si>
    <t>Affinity Libraries - Any Edition</t>
  </si>
  <si>
    <t>Big East - Same Edition</t>
  </si>
  <si>
    <t>Big East - Any Edition</t>
  </si>
  <si>
    <t>AJCU - Same Edition</t>
  </si>
  <si>
    <t>AJCU - Any Edition</t>
  </si>
  <si>
    <t>Nebraska Colleges &amp; Universities - Same Edition</t>
  </si>
  <si>
    <t>Nebraska Colleges &amp; Universities - Any Edition</t>
  </si>
  <si>
    <t>MALLCO - Same Edition</t>
  </si>
  <si>
    <t>MALLCO - Any Edition</t>
  </si>
  <si>
    <t>HathiTrust Public Domain</t>
  </si>
  <si>
    <t>HathiTrust In Copyright</t>
  </si>
  <si>
    <t>HathiTrust URL</t>
  </si>
  <si>
    <t>OPAC URL</t>
  </si>
  <si>
    <t>WorldCat URL</t>
  </si>
  <si>
    <t>OCLC Work ID</t>
  </si>
  <si>
    <t>WorldCat OCLC Number</t>
  </si>
  <si>
    <t>Bib Record Number</t>
  </si>
  <si>
    <t>Bib Control Number</t>
  </si>
  <si>
    <t>Item Control Number</t>
  </si>
  <si>
    <t>Item Type Code</t>
  </si>
  <si>
    <t>Item Status Code</t>
  </si>
  <si>
    <t>ISBN</t>
  </si>
  <si>
    <t>Barcode</t>
  </si>
  <si>
    <t>SCS Item ID</t>
  </si>
  <si>
    <t>QB1 .A28593 1999</t>
  </si>
  <si>
    <t>0                      QB 0001000A  28593       1999</t>
  </si>
  <si>
    <t>The American Astronomical Society's first century / editor, David H. DeVorkin.</t>
  </si>
  <si>
    <t>No</t>
  </si>
  <si>
    <t>1</t>
  </si>
  <si>
    <t>0</t>
  </si>
  <si>
    <t>[New York, N.Y.] : Published for the American Astronomical Society through the American Institute of Physics, [Washington, D.C.], c1999.</t>
  </si>
  <si>
    <t>1999</t>
  </si>
  <si>
    <t>eng</t>
  </si>
  <si>
    <t>nyu</t>
  </si>
  <si>
    <t xml:space="preserve">QB </t>
  </si>
  <si>
    <t>2007-03-30</t>
  </si>
  <si>
    <t>2000-03-13</t>
  </si>
  <si>
    <t>Yes</t>
  </si>
  <si>
    <t>364494237:eng</t>
  </si>
  <si>
    <t>39890335</t>
  </si>
  <si>
    <t>991002974869702656</t>
  </si>
  <si>
    <t>2261154830002656</t>
  </si>
  <si>
    <t>BOOK</t>
  </si>
  <si>
    <t>9781563966835</t>
  </si>
  <si>
    <t>32285003668968</t>
  </si>
  <si>
    <t>893710918</t>
  </si>
  <si>
    <t>QB103 .C37 2002</t>
  </si>
  <si>
    <t>0                      QB 0103000C  37          2002</t>
  </si>
  <si>
    <t>Latitude : how American astronomers solved the mystery of variation / Bill Carter and Merri Sue Carter.</t>
  </si>
  <si>
    <t>Carter, William E. (William Eugene), 1939-</t>
  </si>
  <si>
    <t>Annapolis, Md. : Naval Institute Press, c2002.</t>
  </si>
  <si>
    <t>2002</t>
  </si>
  <si>
    <t>mdu</t>
  </si>
  <si>
    <t>2003-06-10</t>
  </si>
  <si>
    <t>311071706:eng</t>
  </si>
  <si>
    <t>50041441</t>
  </si>
  <si>
    <t>991004058129702656</t>
  </si>
  <si>
    <t>2259482470002656</t>
  </si>
  <si>
    <t>9781557500168</t>
  </si>
  <si>
    <t>32285004751466</t>
  </si>
  <si>
    <t>893318751</t>
  </si>
  <si>
    <t>QB12 .M6613 1989</t>
  </si>
  <si>
    <t>0                      QB 0012000M  6613        1989</t>
  </si>
  <si>
    <t>Practical ephemeris calculations / Oliver Montenbruck ; [translator, A.H. Armstrong].</t>
  </si>
  <si>
    <t>Montenbruck, Oliver, 1961-</t>
  </si>
  <si>
    <t>Berlin ; New York : Springer-Verlag, c1989.</t>
  </si>
  <si>
    <t>1989</t>
  </si>
  <si>
    <t xml:space="preserve">gw </t>
  </si>
  <si>
    <t>1993-09-14</t>
  </si>
  <si>
    <t>1989-11-16</t>
  </si>
  <si>
    <t>1152337914:eng</t>
  </si>
  <si>
    <t>19262808</t>
  </si>
  <si>
    <t>991001441659702656</t>
  </si>
  <si>
    <t>2272780760002656</t>
  </si>
  <si>
    <t>9780387507040</t>
  </si>
  <si>
    <t>32285000013978</t>
  </si>
  <si>
    <t>893608872</t>
  </si>
  <si>
    <t>QB121 .A75 2003</t>
  </si>
  <si>
    <t>0                      QB 0121000A  75          2003</t>
  </si>
  <si>
    <t>Astrophotography : an introduction to film and digital imaging / H.J.P. Arnold.</t>
  </si>
  <si>
    <t>Arnold, H. J. P. (Harry John Philip), 1932-2006.</t>
  </si>
  <si>
    <t>Toronto, Ont. ; Buffalo, N.Y. : Firefly Books, 2003.</t>
  </si>
  <si>
    <t>2003</t>
  </si>
  <si>
    <t>onc</t>
  </si>
  <si>
    <t>2008-12-17</t>
  </si>
  <si>
    <t>33076400:eng</t>
  </si>
  <si>
    <t>51042897</t>
  </si>
  <si>
    <t>991005285319702656</t>
  </si>
  <si>
    <t>2272372490002656</t>
  </si>
  <si>
    <t>9781552978016</t>
  </si>
  <si>
    <t>32285005474563</t>
  </si>
  <si>
    <t>893320381</t>
  </si>
  <si>
    <t>QB121 .M34 1993</t>
  </si>
  <si>
    <t>0                      QB 0121000M  34          1993</t>
  </si>
  <si>
    <t>A view of the universe / David Malin.</t>
  </si>
  <si>
    <t>Malin, David, 1941-</t>
  </si>
  <si>
    <t>Cambridge, Mass. : Sky Pub. Corp. ; New York, NY, USA : Cambridge University Press, 1993.</t>
  </si>
  <si>
    <t>1993</t>
  </si>
  <si>
    <t>mau</t>
  </si>
  <si>
    <t>1997-02-23</t>
  </si>
  <si>
    <t>1994-08-11</t>
  </si>
  <si>
    <t>343282:eng</t>
  </si>
  <si>
    <t>27186135</t>
  </si>
  <si>
    <t>991002121199702656</t>
  </si>
  <si>
    <t>2270579650002656</t>
  </si>
  <si>
    <t>9780521444774</t>
  </si>
  <si>
    <t>32285001942456</t>
  </si>
  <si>
    <t>893433503</t>
  </si>
  <si>
    <t>QB135 .G47 1982</t>
  </si>
  <si>
    <t>0                      QB 0135000G  47          1982</t>
  </si>
  <si>
    <t>Software for photometric astronomy / Silvano Ghedini ; foreword by Russell M. Genet.</t>
  </si>
  <si>
    <t>Ghedini, Silvano, 1955-</t>
  </si>
  <si>
    <t>Richmond, Va. : Willmann-Bell, c1982.</t>
  </si>
  <si>
    <t>1982</t>
  </si>
  <si>
    <t>vau</t>
  </si>
  <si>
    <t>1992-10-27</t>
  </si>
  <si>
    <t>1992-09-30</t>
  </si>
  <si>
    <t>565608:eng</t>
  </si>
  <si>
    <t>8475758</t>
  </si>
  <si>
    <t>991005248719702656</t>
  </si>
  <si>
    <t>2259594530002656</t>
  </si>
  <si>
    <t>9780943396002</t>
  </si>
  <si>
    <t>32285001323517</t>
  </si>
  <si>
    <t>893619692</t>
  </si>
  <si>
    <t>QB135 .S68 1983</t>
  </si>
  <si>
    <t>0                      QB 0135000S  68          1983</t>
  </si>
  <si>
    <t>Solar system photometry handbook / edited by Russell M. Genet.</t>
  </si>
  <si>
    <t>Richmond, Va. : Willmann-Bell, c1983.</t>
  </si>
  <si>
    <t>1983</t>
  </si>
  <si>
    <t>2005-11-27</t>
  </si>
  <si>
    <t>1992-11-18</t>
  </si>
  <si>
    <t>3782715:eng</t>
  </si>
  <si>
    <t>10046242</t>
  </si>
  <si>
    <t>991000304739702656</t>
  </si>
  <si>
    <t>2258546250002656</t>
  </si>
  <si>
    <t>9780943396033</t>
  </si>
  <si>
    <t>32285001432383</t>
  </si>
  <si>
    <t>893339451</t>
  </si>
  <si>
    <t>QB136 .A79 1983</t>
  </si>
  <si>
    <t>0                      QB 0136000A  79          1983</t>
  </si>
  <si>
    <t>Astronomy from space : Sputnik to space telescope / edited by James Cornell and Paul Gorenstein.</t>
  </si>
  <si>
    <t>Cambridge, Mass. : MIT Press, c1983, 1984 printing.</t>
  </si>
  <si>
    <t>836721915:eng</t>
  </si>
  <si>
    <t>9441394</t>
  </si>
  <si>
    <t>991000196079702656</t>
  </si>
  <si>
    <t>2264878510002656</t>
  </si>
  <si>
    <t>9780262030977</t>
  </si>
  <si>
    <t>32285001432391</t>
  </si>
  <si>
    <t>893431781</t>
  </si>
  <si>
    <t>QB136 .D38 1988</t>
  </si>
  <si>
    <t>0                      QB 0136000D  38          1988</t>
  </si>
  <si>
    <t>Satellite astronomy : the principles and practice of astronomy from space / John K. Davies.</t>
  </si>
  <si>
    <t>Davies, John Keith.</t>
  </si>
  <si>
    <t>Chichester : E. Horwood ; New York : Halsted Press, 1988.</t>
  </si>
  <si>
    <t>1988</t>
  </si>
  <si>
    <t>enk</t>
  </si>
  <si>
    <t>Ellis Horwood library of space science and space technology. Series in astronomy</t>
  </si>
  <si>
    <t>1989-12-18</t>
  </si>
  <si>
    <t>889448889:eng</t>
  </si>
  <si>
    <t>18223548</t>
  </si>
  <si>
    <t>991001320649702656</t>
  </si>
  <si>
    <t>2261420960002656</t>
  </si>
  <si>
    <t>9780470211748</t>
  </si>
  <si>
    <t>32285000018092</t>
  </si>
  <si>
    <t>893809033</t>
  </si>
  <si>
    <t>QB14 .W413 1976</t>
  </si>
  <si>
    <t>0                      QB 0014000W  413         1976</t>
  </si>
  <si>
    <t>Concise encyclopedia of astronomy / A. Weigert and H. Zimmermann ; translated by J. Home Dickson.</t>
  </si>
  <si>
    <t>Weigert, A. (Alfred), 1927-1992.</t>
  </si>
  <si>
    <t>London : A. Hilger, 1976.</t>
  </si>
  <si>
    <t>1976</t>
  </si>
  <si>
    <t>2d English ed. / rev. by H. Zimmermann.</t>
  </si>
  <si>
    <t>1996-11-11</t>
  </si>
  <si>
    <t>1992-11-16</t>
  </si>
  <si>
    <t>4160124214:eng</t>
  </si>
  <si>
    <t>2735470</t>
  </si>
  <si>
    <t>991004227219702656</t>
  </si>
  <si>
    <t>2259523770002656</t>
  </si>
  <si>
    <t>9780852740996</t>
  </si>
  <si>
    <t>32285001430858</t>
  </si>
  <si>
    <t>893888445</t>
  </si>
  <si>
    <t>QB14.5 .T74 1988</t>
  </si>
  <si>
    <t>0                      QB 0014500T  74          1988</t>
  </si>
  <si>
    <t>The dark side of the universe : a scientist explores the mysteries of the cosmos / by James Trefil ; illustrations by Judith Peatross.</t>
  </si>
  <si>
    <t>Trefil, James, 1938-</t>
  </si>
  <si>
    <t>New York : Scribner's, c1988.</t>
  </si>
  <si>
    <t>1997-10-31</t>
  </si>
  <si>
    <t>792576816:eng</t>
  </si>
  <si>
    <t>17439477</t>
  </si>
  <si>
    <t>991005408889702656</t>
  </si>
  <si>
    <t>2265781950002656</t>
  </si>
  <si>
    <t>9780684187952</t>
  </si>
  <si>
    <t>32285001430866</t>
  </si>
  <si>
    <t>893242700</t>
  </si>
  <si>
    <t>QB145 .B75</t>
  </si>
  <si>
    <t>0                      QB 0145000B  75</t>
  </si>
  <si>
    <t>Man and the stars / Hanbury Brown.</t>
  </si>
  <si>
    <t>Brown, R. Hanbury (Robert Hanbury)</t>
  </si>
  <si>
    <t>Oxford ; New York : Oxford University Press, 1978.</t>
  </si>
  <si>
    <t>1978</t>
  </si>
  <si>
    <t>1996-11-10</t>
  </si>
  <si>
    <t>3769658045:eng</t>
  </si>
  <si>
    <t>4004209</t>
  </si>
  <si>
    <t>991004564749702656</t>
  </si>
  <si>
    <t>2265241040002656</t>
  </si>
  <si>
    <t>9780198510017</t>
  </si>
  <si>
    <t>32285001432409</t>
  </si>
  <si>
    <t>893343999</t>
  </si>
  <si>
    <t>QB149 .T33</t>
  </si>
  <si>
    <t>0                      QB 0149000T  33</t>
  </si>
  <si>
    <t>Computational spherical astronomy / Laurence G. Taff.</t>
  </si>
  <si>
    <t>Taff, Laurence G., 1947-</t>
  </si>
  <si>
    <t>New York : Wiley, c1981.</t>
  </si>
  <si>
    <t>1981</t>
  </si>
  <si>
    <t>1996-09-30</t>
  </si>
  <si>
    <t>22909622:eng</t>
  </si>
  <si>
    <t>6532537</t>
  </si>
  <si>
    <t>991004998449702656</t>
  </si>
  <si>
    <t>2261976520002656</t>
  </si>
  <si>
    <t>9780471062578</t>
  </si>
  <si>
    <t>32285001432417</t>
  </si>
  <si>
    <t>893332260</t>
  </si>
  <si>
    <t>QB15 .C36 1997</t>
  </si>
  <si>
    <t>0                      QB 0015000C  36          1997</t>
  </si>
  <si>
    <t>The Cambridge illustrated history of astronomy / edited by Michael Hoskin.</t>
  </si>
  <si>
    <t>Cambridge ; New York : Cambridge University Press, 1997.</t>
  </si>
  <si>
    <t>1997</t>
  </si>
  <si>
    <t>Cambridge illustrated history</t>
  </si>
  <si>
    <t>2007-10-02</t>
  </si>
  <si>
    <t>1997-03-04</t>
  </si>
  <si>
    <t>10342523:eng</t>
  </si>
  <si>
    <t>33102402</t>
  </si>
  <si>
    <t>991002547839702656</t>
  </si>
  <si>
    <t>2272145910002656</t>
  </si>
  <si>
    <t>9780521411585</t>
  </si>
  <si>
    <t>32285002434446</t>
  </si>
  <si>
    <t>893530145</t>
  </si>
  <si>
    <t>QB15 .C44</t>
  </si>
  <si>
    <t>0                      QB 0015000C  44</t>
  </si>
  <si>
    <t>This wild abyss : the story of the men who made modern astronomy / Gale E. Christianson. --</t>
  </si>
  <si>
    <t>Christianson, Gale E.</t>
  </si>
  <si>
    <t>New York : Free Press, c1978.</t>
  </si>
  <si>
    <t>1995-10-14</t>
  </si>
  <si>
    <t>400424:eng</t>
  </si>
  <si>
    <t>3326749</t>
  </si>
  <si>
    <t>991004406959702656</t>
  </si>
  <si>
    <t>2270334270002656</t>
  </si>
  <si>
    <t>9780029053805</t>
  </si>
  <si>
    <t>32285001430874</t>
  </si>
  <si>
    <t>893693914</t>
  </si>
  <si>
    <t>QB15 .G563 1993</t>
  </si>
  <si>
    <t>0                      QB 0015000G  563         1993</t>
  </si>
  <si>
    <t>The eye of heaven : Ptolemy, Copernicus, Kepler / Owen Gingerich.</t>
  </si>
  <si>
    <t>Gingerich, Owen.</t>
  </si>
  <si>
    <t>New York, NY : American Institute of Physics, c1993.</t>
  </si>
  <si>
    <t>Masters of modern physics ; v. 7</t>
  </si>
  <si>
    <t>2003-03-17</t>
  </si>
  <si>
    <t>1994-05-11</t>
  </si>
  <si>
    <t>890088635:eng</t>
  </si>
  <si>
    <t>24247242</t>
  </si>
  <si>
    <t>991005413839702656</t>
  </si>
  <si>
    <t>2261910750002656</t>
  </si>
  <si>
    <t>9780883188637</t>
  </si>
  <si>
    <t>32285001895076</t>
  </si>
  <si>
    <t>893443988</t>
  </si>
  <si>
    <t>QB15 .L54 1992</t>
  </si>
  <si>
    <t>0                      QB 0015000L  54          1992</t>
  </si>
  <si>
    <t>Time for the stars : astronomy in the 1990s / Alan Lightman ; with a foreword by John Bahcall.</t>
  </si>
  <si>
    <t>Lightman, Alan P., 1948-</t>
  </si>
  <si>
    <t>New York, N.Y., U.S.A. : Viking, 1992.</t>
  </si>
  <si>
    <t>1992</t>
  </si>
  <si>
    <t>1994-05-02</t>
  </si>
  <si>
    <t>1994-04-05</t>
  </si>
  <si>
    <t>24837330:eng</t>
  </si>
  <si>
    <t>23902128</t>
  </si>
  <si>
    <t>991001893349702656</t>
  </si>
  <si>
    <t>2263966630002656</t>
  </si>
  <si>
    <t>9780670839766</t>
  </si>
  <si>
    <t>32285001858884</t>
  </si>
  <si>
    <t>893420709</t>
  </si>
  <si>
    <t>QB15 .M63 1983</t>
  </si>
  <si>
    <t>0                      QB 0015000M  63          1983</t>
  </si>
  <si>
    <t>Patrick Moore's History of astronomy.</t>
  </si>
  <si>
    <t>Moore, Patrick.</t>
  </si>
  <si>
    <t>London : Macdonald, 1983.</t>
  </si>
  <si>
    <t>6th rev. ed.</t>
  </si>
  <si>
    <t>1994-01-12</t>
  </si>
  <si>
    <t>3855331638:eng</t>
  </si>
  <si>
    <t>10800852</t>
  </si>
  <si>
    <t>991000438529702656</t>
  </si>
  <si>
    <t>2268921900002656</t>
  </si>
  <si>
    <t>9780356086071</t>
  </si>
  <si>
    <t>32285001430916</t>
  </si>
  <si>
    <t>893607905</t>
  </si>
  <si>
    <t>QB15 .N48 1983</t>
  </si>
  <si>
    <t>0                      QB 0015000N  48          1983</t>
  </si>
  <si>
    <t>Astronomy and history : selected essays / O. Neugebauer.</t>
  </si>
  <si>
    <t>Neugebauer, O. (Otto), 1899-1990.</t>
  </si>
  <si>
    <t>New York : Springer-Verlag, c1983.</t>
  </si>
  <si>
    <t>1996-01-22</t>
  </si>
  <si>
    <t>1992-01-10</t>
  </si>
  <si>
    <t>196511313:eng</t>
  </si>
  <si>
    <t>9441899</t>
  </si>
  <si>
    <t>991000196709702656</t>
  </si>
  <si>
    <t>2265119040002656</t>
  </si>
  <si>
    <t>9780387908441</t>
  </si>
  <si>
    <t>32285000911254</t>
  </si>
  <si>
    <t>893431782</t>
  </si>
  <si>
    <t>QB15 .N67 1995</t>
  </si>
  <si>
    <t>0                      QB 0015000N  67          1995</t>
  </si>
  <si>
    <t>The Norton history of astronomy and cosmology / [John North]</t>
  </si>
  <si>
    <t>North, John David.</t>
  </si>
  <si>
    <t>New York : Norton, 1994, c1995.</t>
  </si>
  <si>
    <t>1994</t>
  </si>
  <si>
    <t>1st American ed.</t>
  </si>
  <si>
    <t>Norton history of science</t>
  </si>
  <si>
    <t>1995-08-30</t>
  </si>
  <si>
    <t>196789968:eng</t>
  </si>
  <si>
    <t>31854784</t>
  </si>
  <si>
    <t>991002441999702656</t>
  </si>
  <si>
    <t>2259767340002656</t>
  </si>
  <si>
    <t>9780393036565</t>
  </si>
  <si>
    <t>32285002091196</t>
  </si>
  <si>
    <t>893316813</t>
  </si>
  <si>
    <t>QB15 .R59 1982</t>
  </si>
  <si>
    <t>0                      QB 0015000R  59          1982</t>
  </si>
  <si>
    <t>Astronomy for the inquiring mind : the growth and use of theory in science / by Eric M. Rogers.</t>
  </si>
  <si>
    <t>Rogers, Eric M.</t>
  </si>
  <si>
    <t>Princeton, N.J. : Princeton University Press, c1982.</t>
  </si>
  <si>
    <t>nju</t>
  </si>
  <si>
    <t>2010-04-27</t>
  </si>
  <si>
    <t>836700062:eng</t>
  </si>
  <si>
    <t>8686819</t>
  </si>
  <si>
    <t>991000050519702656</t>
  </si>
  <si>
    <t>2267286550002656</t>
  </si>
  <si>
    <t>9780691023700</t>
  </si>
  <si>
    <t>32285001430924</t>
  </si>
  <si>
    <t>893339215</t>
  </si>
  <si>
    <t>QB16 .A88 1997</t>
  </si>
  <si>
    <t>0                      QB 0016000A  88          1997</t>
  </si>
  <si>
    <t>Stairways to the stars : skywatching in three great ancient cultures / Anthony Aveni.</t>
  </si>
  <si>
    <t>Aveni, Anthony F.</t>
  </si>
  <si>
    <t>New York : J. Wiley, 1997.</t>
  </si>
  <si>
    <t>2007-11-05</t>
  </si>
  <si>
    <t>1997-12-15</t>
  </si>
  <si>
    <t>39975430:eng</t>
  </si>
  <si>
    <t>35559005</t>
  </si>
  <si>
    <t>991002711649702656</t>
  </si>
  <si>
    <t>2271483830002656</t>
  </si>
  <si>
    <t>9780471159421</t>
  </si>
  <si>
    <t>32285003283321</t>
  </si>
  <si>
    <t>893317160</t>
  </si>
  <si>
    <t>QB16 .H33 1983</t>
  </si>
  <si>
    <t>0                      QB 0016000H  33          1983</t>
  </si>
  <si>
    <t>Early man and the cosmos / Evan Hadingham.</t>
  </si>
  <si>
    <t>Hadingham, Evan.</t>
  </si>
  <si>
    <t>London : Heinemann, 1983.</t>
  </si>
  <si>
    <t>1990-07-09</t>
  </si>
  <si>
    <t>3749540:eng</t>
  </si>
  <si>
    <t>11306590</t>
  </si>
  <si>
    <t>991000518209702656</t>
  </si>
  <si>
    <t>2257639770002656</t>
  </si>
  <si>
    <t>9780434311088</t>
  </si>
  <si>
    <t>32285000222132</t>
  </si>
  <si>
    <t>893896953</t>
  </si>
  <si>
    <t>QB16 .N47 1972</t>
  </si>
  <si>
    <t>0                      QB 0016000N  47          1972</t>
  </si>
  <si>
    <t>The astronomical significance of Stonehenge / by C. A. Newham.</t>
  </si>
  <si>
    <t>Newham, C. A. (Cecil Augustus)</t>
  </si>
  <si>
    <t>Leeds : John Blackburn, c1972.</t>
  </si>
  <si>
    <t>1972</t>
  </si>
  <si>
    <t>1996-11-24</t>
  </si>
  <si>
    <t>1993-08-17</t>
  </si>
  <si>
    <t>1742530:eng</t>
  </si>
  <si>
    <t>584326</t>
  </si>
  <si>
    <t>991003019739702656</t>
  </si>
  <si>
    <t>2268989600002656</t>
  </si>
  <si>
    <t>9780950143514</t>
  </si>
  <si>
    <t>32285001754877</t>
  </si>
  <si>
    <t>893610621</t>
  </si>
  <si>
    <t>QB16 .N48</t>
  </si>
  <si>
    <t>0                      QB 0016000N  48</t>
  </si>
  <si>
    <t>Ancient astronomical observations and the accelerations of the earth and moon, by Robert R. Newton.</t>
  </si>
  <si>
    <t>Newton, Robert R.</t>
  </si>
  <si>
    <t>Baltimore, Johns Hopkins Press [1970]</t>
  </si>
  <si>
    <t>1970</t>
  </si>
  <si>
    <t>2009-04-08</t>
  </si>
  <si>
    <t>1997-04-22</t>
  </si>
  <si>
    <t>1302525:eng</t>
  </si>
  <si>
    <t>91579</t>
  </si>
  <si>
    <t>991000546839702656</t>
  </si>
  <si>
    <t>2264753560002656</t>
  </si>
  <si>
    <t>9780801811807</t>
  </si>
  <si>
    <t>32285002582939</t>
  </si>
  <si>
    <t>893802872</t>
  </si>
  <si>
    <t>QB16 .P55</t>
  </si>
  <si>
    <t>0                      QB 0016000P  55</t>
  </si>
  <si>
    <t>The Place of astronomy in the ancient world : a joint symposium of the Royal Society and the British Academy / organized by D. G. Kendall ... [et al.] ; edited by F. R. Hodson.</t>
  </si>
  <si>
    <t>London : Oxford University Press for the British Academy, 1974.</t>
  </si>
  <si>
    <t>1974</t>
  </si>
  <si>
    <t>2452893668:eng</t>
  </si>
  <si>
    <t>1095484</t>
  </si>
  <si>
    <t>991003533219702656</t>
  </si>
  <si>
    <t>2267959050002656</t>
  </si>
  <si>
    <t>9780197259443</t>
  </si>
  <si>
    <t>32285002582947</t>
  </si>
  <si>
    <t>893604890</t>
  </si>
  <si>
    <t>QB175 .H69</t>
  </si>
  <si>
    <t>0                      QB 0175000H  69</t>
  </si>
  <si>
    <t>On Stonehenge / Fred Hoyle.</t>
  </si>
  <si>
    <t>Hoyle, Fred, 1915-2001.</t>
  </si>
  <si>
    <t>San Francisco : W. H. Freeman, c1977.</t>
  </si>
  <si>
    <t>1977</t>
  </si>
  <si>
    <t>cau</t>
  </si>
  <si>
    <t>1996-03-20</t>
  </si>
  <si>
    <t>1992-05-19</t>
  </si>
  <si>
    <t>352559598:eng</t>
  </si>
  <si>
    <t>2598214</t>
  </si>
  <si>
    <t>991004178319702656</t>
  </si>
  <si>
    <t>2265978160002656</t>
  </si>
  <si>
    <t>9780716703648</t>
  </si>
  <si>
    <t>32285001111466</t>
  </si>
  <si>
    <t>893775726</t>
  </si>
  <si>
    <t>QB19 .H86 1999</t>
  </si>
  <si>
    <t>0                      QB 0019000H  86          1999</t>
  </si>
  <si>
    <t>Astral sciences in Mesopotamia / by Hermann Hunger and David Pingree.</t>
  </si>
  <si>
    <t>Hunger, Hermann, 1942-</t>
  </si>
  <si>
    <t>Leiden ; Boston : Brill, 1999.</t>
  </si>
  <si>
    <t xml:space="preserve">ne </t>
  </si>
  <si>
    <t>Handbuch der Orientalistik. Erste Abteilung, Der Nahe und Mittlere Osten, 0169-9423 ; 44. Bd. = Handbook of oriental studies. The Near and Middle East</t>
  </si>
  <si>
    <t>2002-02-25</t>
  </si>
  <si>
    <t>5612768795:eng</t>
  </si>
  <si>
    <t>41712083</t>
  </si>
  <si>
    <t>991003655169702656</t>
  </si>
  <si>
    <t>2262980740002656</t>
  </si>
  <si>
    <t>9789004101272</t>
  </si>
  <si>
    <t>32285004456868</t>
  </si>
  <si>
    <t>893893961</t>
  </si>
  <si>
    <t>QB20 .L8</t>
  </si>
  <si>
    <t>0                      QB 0020000L  8</t>
  </si>
  <si>
    <t>The dawn of astronomy; a study of the temple worship and mythology of the ancient Egyptians. With a pref. by Giorgio de Santillana.</t>
  </si>
  <si>
    <t>Lockyer, Norman, Sir, 1836-1920.</t>
  </si>
  <si>
    <t>Cambridge, Mass., M.I.T. Press [1964]</t>
  </si>
  <si>
    <t>1964</t>
  </si>
  <si>
    <t>The MIT paperback series, MIT15</t>
  </si>
  <si>
    <t>2004-06-28</t>
  </si>
  <si>
    <t>1997-04-24</t>
  </si>
  <si>
    <t>1578834:eng</t>
  </si>
  <si>
    <t>841114</t>
  </si>
  <si>
    <t>991003316159702656</t>
  </si>
  <si>
    <t>2265049690002656</t>
  </si>
  <si>
    <t>32285002582954</t>
  </si>
  <si>
    <t>893623369</t>
  </si>
  <si>
    <t>QB209 .A94 1989</t>
  </si>
  <si>
    <t>0                      QB 0209000A  94          1989</t>
  </si>
  <si>
    <t>Empires of time : calendars, clocks, and cultures / Anthony F. Aveni.</t>
  </si>
  <si>
    <t>New York : Basic Books, c1989.</t>
  </si>
  <si>
    <t>1990-06-18</t>
  </si>
  <si>
    <t>792217114:eng</t>
  </si>
  <si>
    <t>19723698</t>
  </si>
  <si>
    <t>991001491519702656</t>
  </si>
  <si>
    <t>2260569990002656</t>
  </si>
  <si>
    <t>9780465019502</t>
  </si>
  <si>
    <t>32285000178425</t>
  </si>
  <si>
    <t>893684361</t>
  </si>
  <si>
    <t>QB209 .G35 2003</t>
  </si>
  <si>
    <t>0                      QB 0209000G  35          2003</t>
  </si>
  <si>
    <t>Einstein's clocks, Poincaré's maps : empires of time / Peter Galison.</t>
  </si>
  <si>
    <t>Galison, Peter, 1955-</t>
  </si>
  <si>
    <t>New York : W.W. Norton, c2003.</t>
  </si>
  <si>
    <t>1st ed.</t>
  </si>
  <si>
    <t>2003-10-15</t>
  </si>
  <si>
    <t>2003-09-11</t>
  </si>
  <si>
    <t>69335888:eng</t>
  </si>
  <si>
    <t>51177432</t>
  </si>
  <si>
    <t>991004122289702656</t>
  </si>
  <si>
    <t>2266940110002656</t>
  </si>
  <si>
    <t>9780393020014</t>
  </si>
  <si>
    <t>32285004788872</t>
  </si>
  <si>
    <t>893611947</t>
  </si>
  <si>
    <t>QB209 .I55</t>
  </si>
  <si>
    <t>0                      QB 0209000I  55</t>
  </si>
  <si>
    <t>The study of time; proceedings of the first conference of the International Society for the Study of Time, Oberwolfach (Black Forest), West Germany. Edited by J. T. Fraser, F. C. Haber [and] G. H. Müller.</t>
  </si>
  <si>
    <t>V.2</t>
  </si>
  <si>
    <t>International Society for the Study of Time.</t>
  </si>
  <si>
    <t>Berlin, New York, Springer-Verlag, 1972.</t>
  </si>
  <si>
    <t>2003-07-09</t>
  </si>
  <si>
    <t>1997-05-02</t>
  </si>
  <si>
    <t>4928973286:eng</t>
  </si>
  <si>
    <t>6585074</t>
  </si>
  <si>
    <t>991005008989702656</t>
  </si>
  <si>
    <t>2258497870002656</t>
  </si>
  <si>
    <t>9780387058245</t>
  </si>
  <si>
    <t>32285002640315</t>
  </si>
  <si>
    <t>893628456</t>
  </si>
  <si>
    <t>V.1</t>
  </si>
  <si>
    <t>32285002640307</t>
  </si>
  <si>
    <t>893628457</t>
  </si>
  <si>
    <t>V.3</t>
  </si>
  <si>
    <t>32285002640323</t>
  </si>
  <si>
    <t>893606704</t>
  </si>
  <si>
    <t>QB209 .P35 1991</t>
  </si>
  <si>
    <t>0                      QB 0209000P  35          1991</t>
  </si>
  <si>
    <t>Cosmic time travel : a scientific odyssey / Barry Parker ; drawings by Lori Scoffield.</t>
  </si>
  <si>
    <t>Parker, Barry R.</t>
  </si>
  <si>
    <t>New York : Plenum Press, c1991.</t>
  </si>
  <si>
    <t>1991</t>
  </si>
  <si>
    <t>2001-02-04</t>
  </si>
  <si>
    <t>1992-09-05</t>
  </si>
  <si>
    <t>801240685:eng</t>
  </si>
  <si>
    <t>23902133</t>
  </si>
  <si>
    <t>991001893379702656</t>
  </si>
  <si>
    <t>2263965840002656</t>
  </si>
  <si>
    <t>9780306439667</t>
  </si>
  <si>
    <t>32285001285708</t>
  </si>
  <si>
    <t>893497515</t>
  </si>
  <si>
    <t>QB209 .S48 1983</t>
  </si>
  <si>
    <t>0                      QB 0209000S  48          1983</t>
  </si>
  <si>
    <t>On time : an investigation into scientific knowledge and human experience / Michael Shallis.</t>
  </si>
  <si>
    <t>Shallis, Michael.</t>
  </si>
  <si>
    <t>New York : Schocken Books, 1983, c1982.</t>
  </si>
  <si>
    <t>1996-10-31</t>
  </si>
  <si>
    <t>5553325:eng</t>
  </si>
  <si>
    <t>8627215</t>
  </si>
  <si>
    <t>991000034769702656</t>
  </si>
  <si>
    <t>2261717410002656</t>
  </si>
  <si>
    <t>9780805238532</t>
  </si>
  <si>
    <t>32285001432441</t>
  </si>
  <si>
    <t>893607558</t>
  </si>
  <si>
    <t>QB209 .W45 1980</t>
  </si>
  <si>
    <t>0                      QB 0209000W  45          1980</t>
  </si>
  <si>
    <t>The natural philosophy of time / by G. J. Whitrow.</t>
  </si>
  <si>
    <t>Whitrow, G. J.</t>
  </si>
  <si>
    <t>Oxford : Clarendon Press ; New York : Oxford University Press, 1980.</t>
  </si>
  <si>
    <t>1980</t>
  </si>
  <si>
    <t>2d ed.</t>
  </si>
  <si>
    <t>2007-10-27</t>
  </si>
  <si>
    <t>2352559:eng</t>
  </si>
  <si>
    <t>5831897</t>
  </si>
  <si>
    <t>991004885869702656</t>
  </si>
  <si>
    <t>2255993680002656</t>
  </si>
  <si>
    <t>9780198582120</t>
  </si>
  <si>
    <t>32285001432458</t>
  </si>
  <si>
    <t>893625204</t>
  </si>
  <si>
    <t>QB215 .G5</t>
  </si>
  <si>
    <t>0                      QB 0215000G  5</t>
  </si>
  <si>
    <t>Greek and Roman sundials / Sharon L. Gibbs.</t>
  </si>
  <si>
    <t>Gibbs, Sharon L.</t>
  </si>
  <si>
    <t>New Haven, [Conn.] : Yale University Press, 1976.</t>
  </si>
  <si>
    <t>ctu</t>
  </si>
  <si>
    <t>Yale studies in the history of science and medicine ; 11</t>
  </si>
  <si>
    <t>4490648:eng</t>
  </si>
  <si>
    <t>2306590</t>
  </si>
  <si>
    <t>991004072209702656</t>
  </si>
  <si>
    <t>2266205060002656</t>
  </si>
  <si>
    <t>9780300018028</t>
  </si>
  <si>
    <t>32285001432466</t>
  </si>
  <si>
    <t>893429617</t>
  </si>
  <si>
    <t>QB215 .R613</t>
  </si>
  <si>
    <t>0                      QB 0215000R  613</t>
  </si>
  <si>
    <t>Sundials: history, theory and practice [by] René R. J. Rohr. [Translated by Gabriel Godin.</t>
  </si>
  <si>
    <t>Rohr, René R. J.</t>
  </si>
  <si>
    <t>Toronto] University of Toronto Press [1970]</t>
  </si>
  <si>
    <t>2008-01-07</t>
  </si>
  <si>
    <t>1305634:eng</t>
  </si>
  <si>
    <t>92367</t>
  </si>
  <si>
    <t>991000549919702656</t>
  </si>
  <si>
    <t>2262622650002656</t>
  </si>
  <si>
    <t>9780802015679</t>
  </si>
  <si>
    <t>32285002640364</t>
  </si>
  <si>
    <t>893521783</t>
  </si>
  <si>
    <t>QB215 .W38 1973</t>
  </si>
  <si>
    <t>0                      QB 0215000W  38          1973</t>
  </si>
  <si>
    <t>Sundials: their theory and construction [by] Albert E. Waugh.</t>
  </si>
  <si>
    <t>Waugh, Albert E. (Albert Edmund), 1902-1985.</t>
  </si>
  <si>
    <t>New York, Dover Publications [1973]</t>
  </si>
  <si>
    <t>1973</t>
  </si>
  <si>
    <t>493053:eng</t>
  </si>
  <si>
    <t>703330</t>
  </si>
  <si>
    <t>991003166049702656</t>
  </si>
  <si>
    <t>2257464970002656</t>
  </si>
  <si>
    <t>9780486229478</t>
  </si>
  <si>
    <t>32285002640372</t>
  </si>
  <si>
    <t>893793381</t>
  </si>
  <si>
    <t>QB223 .H75</t>
  </si>
  <si>
    <t>0                      QB 0223000H  75</t>
  </si>
  <si>
    <t>Greenwich time and the discovery of the longitude / Derek Howse.</t>
  </si>
  <si>
    <t>Howse, Derek.</t>
  </si>
  <si>
    <t>Oxford ; New York : Oxford University Press, 1980.</t>
  </si>
  <si>
    <t>2003-10-30</t>
  </si>
  <si>
    <t>42590615:eng</t>
  </si>
  <si>
    <t>5352913</t>
  </si>
  <si>
    <t>991004824799702656</t>
  </si>
  <si>
    <t>2258032550002656</t>
  </si>
  <si>
    <t>9780192159489</t>
  </si>
  <si>
    <t>32285001432474</t>
  </si>
  <si>
    <t>893706872</t>
  </si>
  <si>
    <t>QB225 .S64 1995</t>
  </si>
  <si>
    <t>0                      QB 0225000S  64          1995</t>
  </si>
  <si>
    <t>Longitude : the true story of a lone genius who solved the greatest scientific problem of his time / Dava Sobel.</t>
  </si>
  <si>
    <t>Sobel, Dava.</t>
  </si>
  <si>
    <t>New York : Walker, 1995.</t>
  </si>
  <si>
    <t>1995</t>
  </si>
  <si>
    <t>2004-02-25</t>
  </si>
  <si>
    <t>1996-01-10</t>
  </si>
  <si>
    <t>16158085:eng</t>
  </si>
  <si>
    <t>32469232</t>
  </si>
  <si>
    <t>991002496799702656</t>
  </si>
  <si>
    <t>2264399460002656</t>
  </si>
  <si>
    <t>9780802713124</t>
  </si>
  <si>
    <t>32285002116043</t>
  </si>
  <si>
    <t>893867284</t>
  </si>
  <si>
    <t>QB28 .S8 1972</t>
  </si>
  <si>
    <t>0                      QB 0028000S  8           1972</t>
  </si>
  <si>
    <t>The gradual acceptance of the Copernican theory of the universe.</t>
  </si>
  <si>
    <t>Stimson, Dorothy, 1890-1988.</t>
  </si>
  <si>
    <t>Gloucester, Mass. : P. Smith, 1972 [c1917]</t>
  </si>
  <si>
    <t>1992-03-23</t>
  </si>
  <si>
    <t>346661884:eng</t>
  </si>
  <si>
    <t>2656570</t>
  </si>
  <si>
    <t>991004203109702656</t>
  </si>
  <si>
    <t>2255767410002656</t>
  </si>
  <si>
    <t>32285001026508</t>
  </si>
  <si>
    <t>893624473</t>
  </si>
  <si>
    <t>QB283 .L35 1988</t>
  </si>
  <si>
    <t>0                      QB 0283000L  35          1988</t>
  </si>
  <si>
    <t>Geophysical geodesy : the slow deformations of the earth / Kurt Lambeck.</t>
  </si>
  <si>
    <t>Lambeck, Kurt, 1941-</t>
  </si>
  <si>
    <t>Oxford [England] : Clarendon Press ; New York : Oxford University Press, 1988.</t>
  </si>
  <si>
    <t>Oxford science publications</t>
  </si>
  <si>
    <t>1992-10-11</t>
  </si>
  <si>
    <t>1991-06-20</t>
  </si>
  <si>
    <t>806516954:eng</t>
  </si>
  <si>
    <t>17508218</t>
  </si>
  <si>
    <t>991001226759702656</t>
  </si>
  <si>
    <t>2272419410002656</t>
  </si>
  <si>
    <t>9780198544371</t>
  </si>
  <si>
    <t>32285000657980</t>
  </si>
  <si>
    <t>893803459</t>
  </si>
  <si>
    <t>QB29 .G73 1983</t>
  </si>
  <si>
    <t>0                      QB 0029000G  73          1983</t>
  </si>
  <si>
    <t>Gregorian reform of the calendar : proceedings of the Vatican Conference to commemorate its 400th anniversary, 1582-1982 / edited by G.V. Coyne, M.A. Hoskin and O. Pedersen.</t>
  </si>
  <si>
    <t>Città del Vaticano, Europe : Pontificia Academia Scientiarum : Specola Vaticana, 1983.</t>
  </si>
  <si>
    <t xml:space="preserve">vc </t>
  </si>
  <si>
    <t>2010-05-26</t>
  </si>
  <si>
    <t>3524774:eng</t>
  </si>
  <si>
    <t>10885693</t>
  </si>
  <si>
    <t>991000451309702656</t>
  </si>
  <si>
    <t>2254717210002656</t>
  </si>
  <si>
    <t>32285001431013</t>
  </si>
  <si>
    <t>893431951</t>
  </si>
  <si>
    <t>QB291 .A43 2002</t>
  </si>
  <si>
    <t>0                      QB 0291000A  43          2002</t>
  </si>
  <si>
    <t>The measure of all things : the seven-year odyssey and hidden error that transformed the world / Ken Alder.</t>
  </si>
  <si>
    <t>Alder, Ken.</t>
  </si>
  <si>
    <t>New York : Free Press, c2002.</t>
  </si>
  <si>
    <t>2003-07-17</t>
  </si>
  <si>
    <t>47346294:eng</t>
  </si>
  <si>
    <t>49699440</t>
  </si>
  <si>
    <t>991003843159702656</t>
  </si>
  <si>
    <t>2270603060002656</t>
  </si>
  <si>
    <t>9780743216753</t>
  </si>
  <si>
    <t>32285004756143</t>
  </si>
  <si>
    <t>893531663</t>
  </si>
  <si>
    <t>QB296.I5 K43 2000</t>
  </si>
  <si>
    <t>0                      QB 0296000I  5                  K  43          2000</t>
  </si>
  <si>
    <t>The great arc : the dramatic tale of how India was mapped and Everest was named / John Keay.</t>
  </si>
  <si>
    <t>Keay, John.</t>
  </si>
  <si>
    <t>New York : HarperCollins, c2000.</t>
  </si>
  <si>
    <t>2000</t>
  </si>
  <si>
    <t>2000-11-02</t>
  </si>
  <si>
    <t>20661513:eng</t>
  </si>
  <si>
    <t>43851477</t>
  </si>
  <si>
    <t>991003302469702656</t>
  </si>
  <si>
    <t>2272161900002656</t>
  </si>
  <si>
    <t>9780060195182</t>
  </si>
  <si>
    <t>32285004262555</t>
  </si>
  <si>
    <t>893499163</t>
  </si>
  <si>
    <t>QB3 .B35</t>
  </si>
  <si>
    <t>0                      QB 0003000B  35</t>
  </si>
  <si>
    <t>Vistas in astronomy.</t>
  </si>
  <si>
    <t>V.10</t>
  </si>
  <si>
    <t>Beer, Arthur, 1900-1980 editor.</t>
  </si>
  <si>
    <t>London, New York, Pergamon Press, 1955.</t>
  </si>
  <si>
    <t>1955</t>
  </si>
  <si>
    <t>Special supplement no. 3 to the Journal of atmospheric and terrestrial physics</t>
  </si>
  <si>
    <t>375826739:eng</t>
  </si>
  <si>
    <t>251036</t>
  </si>
  <si>
    <t>991001947949702656</t>
  </si>
  <si>
    <t>2268750530002656</t>
  </si>
  <si>
    <t>32285001430635</t>
  </si>
  <si>
    <t>893244578</t>
  </si>
  <si>
    <t>32285001430544</t>
  </si>
  <si>
    <t>893256671</t>
  </si>
  <si>
    <t>V.21</t>
  </si>
  <si>
    <t>32285001430742</t>
  </si>
  <si>
    <t>893232405</t>
  </si>
  <si>
    <t>V.8</t>
  </si>
  <si>
    <t>32285001430619</t>
  </si>
  <si>
    <t>893256673</t>
  </si>
  <si>
    <t>V.12</t>
  </si>
  <si>
    <t>32285001430650</t>
  </si>
  <si>
    <t>893256677</t>
  </si>
  <si>
    <t>V.20</t>
  </si>
  <si>
    <t>32285001430734</t>
  </si>
  <si>
    <t>893256666</t>
  </si>
  <si>
    <t>V.4</t>
  </si>
  <si>
    <t>32285001430577</t>
  </si>
  <si>
    <t>893256651</t>
  </si>
  <si>
    <t>32285001430536</t>
  </si>
  <si>
    <t>893250644</t>
  </si>
  <si>
    <t>V.14</t>
  </si>
  <si>
    <t>32285001430676</t>
  </si>
  <si>
    <t>893256669</t>
  </si>
  <si>
    <t>V.9</t>
  </si>
  <si>
    <t>32285001430627</t>
  </si>
  <si>
    <t>893232403</t>
  </si>
  <si>
    <t>V.22</t>
  </si>
  <si>
    <t>32285001430759</t>
  </si>
  <si>
    <t>893256675</t>
  </si>
  <si>
    <t>V.19</t>
  </si>
  <si>
    <t>32285001430726</t>
  </si>
  <si>
    <t>893256676</t>
  </si>
  <si>
    <t>V.7</t>
  </si>
  <si>
    <t>32285001430601</t>
  </si>
  <si>
    <t>893226256</t>
  </si>
  <si>
    <t>V.11</t>
  </si>
  <si>
    <t>32285001430643</t>
  </si>
  <si>
    <t>893256672</t>
  </si>
  <si>
    <t>V.24</t>
  </si>
  <si>
    <t>32285001430775</t>
  </si>
  <si>
    <t>893256670</t>
  </si>
  <si>
    <t>V.6</t>
  </si>
  <si>
    <t>32285001430593</t>
  </si>
  <si>
    <t>893226257</t>
  </si>
  <si>
    <t>V.17</t>
  </si>
  <si>
    <t>32285001430700</t>
  </si>
  <si>
    <t>893256667</t>
  </si>
  <si>
    <t>V.5</t>
  </si>
  <si>
    <t>32285001430585</t>
  </si>
  <si>
    <t>893256674</t>
  </si>
  <si>
    <t>32285001430551</t>
  </si>
  <si>
    <t>893232404</t>
  </si>
  <si>
    <t>V.18</t>
  </si>
  <si>
    <t>32285001430718</t>
  </si>
  <si>
    <t>893232406</t>
  </si>
  <si>
    <t>V.15</t>
  </si>
  <si>
    <t>32285001430684</t>
  </si>
  <si>
    <t>893226258</t>
  </si>
  <si>
    <t>V.23</t>
  </si>
  <si>
    <t>32285001430767</t>
  </si>
  <si>
    <t>893256665</t>
  </si>
  <si>
    <t>V.16</t>
  </si>
  <si>
    <t>32285001430692</t>
  </si>
  <si>
    <t>893256668</t>
  </si>
  <si>
    <t>V.13</t>
  </si>
  <si>
    <t>32285001430668</t>
  </si>
  <si>
    <t>893244577</t>
  </si>
  <si>
    <t>QB3 .D22</t>
  </si>
  <si>
    <t>0                      QB 0003000D  22</t>
  </si>
  <si>
    <t>Scientific papers, by Sir George Howard Darwin...</t>
  </si>
  <si>
    <t>V. 3</t>
  </si>
  <si>
    <t>Darwin, George Howard, Sir, 1845-1912.</t>
  </si>
  <si>
    <t>Cambridge, University press, 1907-16.</t>
  </si>
  <si>
    <t>1907</t>
  </si>
  <si>
    <t xml:space="preserve">xx </t>
  </si>
  <si>
    <t>2009-11-19</t>
  </si>
  <si>
    <t>3376690412:eng</t>
  </si>
  <si>
    <t>825366</t>
  </si>
  <si>
    <t>991003302289702656</t>
  </si>
  <si>
    <t>2267031840002656</t>
  </si>
  <si>
    <t>32285002582616</t>
  </si>
  <si>
    <t>893598459</t>
  </si>
  <si>
    <t>V. 4</t>
  </si>
  <si>
    <t>32285002582624</t>
  </si>
  <si>
    <t>893623356</t>
  </si>
  <si>
    <t>V. 5</t>
  </si>
  <si>
    <t>32285002582632</t>
  </si>
  <si>
    <t>893617202</t>
  </si>
  <si>
    <t>V. 2</t>
  </si>
  <si>
    <t>32285002582608</t>
  </si>
  <si>
    <t>893592396</t>
  </si>
  <si>
    <t>V. 1</t>
  </si>
  <si>
    <t>32285002582590</t>
  </si>
  <si>
    <t>893598460</t>
  </si>
  <si>
    <t>QB32 .B47 1984</t>
  </si>
  <si>
    <t>0                      QB 0032000B  47          1984</t>
  </si>
  <si>
    <t>Man discovers the galaxies / Richard Berendzen, Richard Hart, Daniel Seeley.</t>
  </si>
  <si>
    <t>Berendzen, Richard.</t>
  </si>
  <si>
    <t>New York : Columbia University Press, 1984.</t>
  </si>
  <si>
    <t>1984</t>
  </si>
  <si>
    <t>[Morningside ed.].</t>
  </si>
  <si>
    <t>1061245:eng</t>
  </si>
  <si>
    <t>10375021</t>
  </si>
  <si>
    <t>991000362109702656</t>
  </si>
  <si>
    <t>2258096220002656</t>
  </si>
  <si>
    <t>9780231058278</t>
  </si>
  <si>
    <t>32285001431047</t>
  </si>
  <si>
    <t>893320985</t>
  </si>
  <si>
    <t>QB33.A7 M32 1998</t>
  </si>
  <si>
    <t>0                      QB 0033000A  7                  M  32          1998</t>
  </si>
  <si>
    <t>The Arctic sky : Inuit astronomy, star lore, and legend / John MacDonald.</t>
  </si>
  <si>
    <t>MacDonald, John, 1940-</t>
  </si>
  <si>
    <t>Toronto : Royal Ontario Museum/Nunavut Research Institute, 1998.</t>
  </si>
  <si>
    <t>1998</t>
  </si>
  <si>
    <t>2005-11-22</t>
  </si>
  <si>
    <t>1999-03-29</t>
  </si>
  <si>
    <t>20839698:eng</t>
  </si>
  <si>
    <t>38885238</t>
  </si>
  <si>
    <t>991002925589702656</t>
  </si>
  <si>
    <t>2263790130002656</t>
  </si>
  <si>
    <t>9780888544278</t>
  </si>
  <si>
    <t>32285003547212</t>
  </si>
  <si>
    <t>893604228</t>
  </si>
  <si>
    <t>QB33.C5 E413</t>
  </si>
  <si>
    <t>0                      QB 0033000C  5                  E  413</t>
  </si>
  <si>
    <t>Galileo in China; relations through the Roman College between Galileo and the Jesuit scientist-missionaries (1610-1640) Translated by Rufus Suter and Matthew Sciascia. Foreword by Donald H. Menzel.</t>
  </si>
  <si>
    <t>Elia, Pasquale M. d', 1890-</t>
  </si>
  <si>
    <t>Cambridge, Harvard University, 1960.</t>
  </si>
  <si>
    <t>1960</t>
  </si>
  <si>
    <t>2006-10-29</t>
  </si>
  <si>
    <t>499891174:eng</t>
  </si>
  <si>
    <t>1235566</t>
  </si>
  <si>
    <t>991003639429702656</t>
  </si>
  <si>
    <t>2263466570002656</t>
  </si>
  <si>
    <t>32285002583044</t>
  </si>
  <si>
    <t>893605029</t>
  </si>
  <si>
    <t>QB33.G7 J6 1968</t>
  </si>
  <si>
    <t>0                      QB 0033000G  7                  J  6           1968</t>
  </si>
  <si>
    <t>Astronomical thought in Renaissance England; a study of the English scientific writings from 1500 to 1645.</t>
  </si>
  <si>
    <t>Johnson, Francis R. (Francis Rarick), 1901-1960.</t>
  </si>
  <si>
    <t>New York, Octagon Books, 1968 [c1937]</t>
  </si>
  <si>
    <t>1968</t>
  </si>
  <si>
    <t>Huntington Library publications</t>
  </si>
  <si>
    <t>2000-11-06</t>
  </si>
  <si>
    <t>451215:eng</t>
  </si>
  <si>
    <t>374924</t>
  </si>
  <si>
    <t>991002577299702656</t>
  </si>
  <si>
    <t>2262236440002656</t>
  </si>
  <si>
    <t>32285002583077</t>
  </si>
  <si>
    <t>893697973</t>
  </si>
  <si>
    <t>QB33.G7 M9 1985</t>
  </si>
  <si>
    <t>0                      QB 0033000G  7                  M  9           1985</t>
  </si>
  <si>
    <t>Under Newton's shadow : astronomical practices in the seventeenth century / Lesley Murdin.</t>
  </si>
  <si>
    <t>Murdin, Lesley.</t>
  </si>
  <si>
    <t>Bristol : Adam Hilger, c1985.</t>
  </si>
  <si>
    <t>1985</t>
  </si>
  <si>
    <t>2000-04-25</t>
  </si>
  <si>
    <t>227293052:eng</t>
  </si>
  <si>
    <t>15631819</t>
  </si>
  <si>
    <t>991000599719702656</t>
  </si>
  <si>
    <t>2271237360002656</t>
  </si>
  <si>
    <t>9780852744567</t>
  </si>
  <si>
    <t>32285001431062</t>
  </si>
  <si>
    <t>893884556</t>
  </si>
  <si>
    <t>QB331 .C63</t>
  </si>
  <si>
    <t>0                      QB 0331000C  63</t>
  </si>
  <si>
    <t>Gravity and the earth / [by] A. H. Cook.</t>
  </si>
  <si>
    <t>Cook, Alan H.</t>
  </si>
  <si>
    <t>London : Wykeham Publications, 1969.</t>
  </si>
  <si>
    <t>1969</t>
  </si>
  <si>
    <t>The Wykeham science series for schools and universities ;6</t>
  </si>
  <si>
    <t>1994-11-28</t>
  </si>
  <si>
    <t>1172308:eng</t>
  </si>
  <si>
    <t>101672</t>
  </si>
  <si>
    <t>991000615939702656</t>
  </si>
  <si>
    <t>2261349250002656</t>
  </si>
  <si>
    <t>9780851090702</t>
  </si>
  <si>
    <t>32285001967941</t>
  </si>
  <si>
    <t>893884579</t>
  </si>
  <si>
    <t>QB331 .N37 1982</t>
  </si>
  <si>
    <t>0                      QB 0331000N  37          1982</t>
  </si>
  <si>
    <t>The lighter side of gravity / Jayant V. Narlikar.</t>
  </si>
  <si>
    <t>Narlikar, Jayant Vishnu, 1938-</t>
  </si>
  <si>
    <t>San Francisco : W.H. Freeman, c1982.</t>
  </si>
  <si>
    <t>447278:eng</t>
  </si>
  <si>
    <t>8031953</t>
  </si>
  <si>
    <t>991005193049702656</t>
  </si>
  <si>
    <t>2259588460002656</t>
  </si>
  <si>
    <t>9780716713432</t>
  </si>
  <si>
    <t>32285005174221</t>
  </si>
  <si>
    <t>893896034</t>
  </si>
  <si>
    <t>QB331 .T7313 1983</t>
  </si>
  <si>
    <t>0                      QB 0331000T  7313        1983</t>
  </si>
  <si>
    <t>Gravity / Chuji Tsuboi.</t>
  </si>
  <si>
    <t>Tsuboi, Chūji, 1902-1982.</t>
  </si>
  <si>
    <t>London ; Boston : G. Allen &amp; Unwin, 1983.</t>
  </si>
  <si>
    <t>2009-04-06</t>
  </si>
  <si>
    <t>32567117:eng</t>
  </si>
  <si>
    <t>8627979</t>
  </si>
  <si>
    <t>991000037079702656</t>
  </si>
  <si>
    <t>2261505820002656</t>
  </si>
  <si>
    <t>9780045510733</t>
  </si>
  <si>
    <t>32285001432490</t>
  </si>
  <si>
    <t>893877737</t>
  </si>
  <si>
    <t>QB331 .W47</t>
  </si>
  <si>
    <t>0                      QB 0331000W  47</t>
  </si>
  <si>
    <t>Gravity, particles, and astrophysics : a review of modern theories of gravity and G-variability, and their relation to elementary particle physics and astrophysics / Paul S. Wesson.</t>
  </si>
  <si>
    <t>Wesson, Paul S.</t>
  </si>
  <si>
    <t>Dordrecht, Holland ; Boston : D. Reidel ; Hingham, MA : distributed in the U.S.A. and Canada by Kluwer Boston, c1980.</t>
  </si>
  <si>
    <t>Astrophysics and space science library ; v. 79</t>
  </si>
  <si>
    <t>364475948:eng</t>
  </si>
  <si>
    <t>6277682</t>
  </si>
  <si>
    <t>991004955029702656</t>
  </si>
  <si>
    <t>2268752510002656</t>
  </si>
  <si>
    <t>9789027710833</t>
  </si>
  <si>
    <t>32285001432508</t>
  </si>
  <si>
    <t>893883149</t>
  </si>
  <si>
    <t>QB334 .W49 1990</t>
  </si>
  <si>
    <t>0                      QB 0334000W  49          1990</t>
  </si>
  <si>
    <t>A journey into gravity and spacetime / John Archibald Wheeler.</t>
  </si>
  <si>
    <t>Wheeler, John Archibald, 1911-2008.</t>
  </si>
  <si>
    <t>New York : Scientific American Library : Distributed by W. H. Freeman and Co., c1990.</t>
  </si>
  <si>
    <t>1990</t>
  </si>
  <si>
    <t>Scientific American Library series ; no. 31</t>
  </si>
  <si>
    <t>1991-04-03</t>
  </si>
  <si>
    <t>134891647:eng</t>
  </si>
  <si>
    <t>20528681</t>
  </si>
  <si>
    <t>991001585749702656</t>
  </si>
  <si>
    <t>2264440710002656</t>
  </si>
  <si>
    <t>9780716750161</t>
  </si>
  <si>
    <t>32285000514579</t>
  </si>
  <si>
    <t>893621478</t>
  </si>
  <si>
    <t>QB341 .D38</t>
  </si>
  <si>
    <t>0                      QB 0341000D  38</t>
  </si>
  <si>
    <t>The search for gravity waves / P. C. W. Davies.</t>
  </si>
  <si>
    <t>Davies, P. C. W.</t>
  </si>
  <si>
    <t>Cambridge [Eng.] ; New York : Cambridge University Press, 1980.</t>
  </si>
  <si>
    <t>2005-04-26</t>
  </si>
  <si>
    <t>1992-02-19</t>
  </si>
  <si>
    <t>9381628699:eng</t>
  </si>
  <si>
    <t>6223524</t>
  </si>
  <si>
    <t>991004948749702656</t>
  </si>
  <si>
    <t>2268412500002656</t>
  </si>
  <si>
    <t>9780521231978</t>
  </si>
  <si>
    <t>32285000971464</t>
  </si>
  <si>
    <t>893807655</t>
  </si>
  <si>
    <t>QB35 .K613 1973</t>
  </si>
  <si>
    <t>0                      QB 0035000K  613         1973</t>
  </si>
  <si>
    <t>The astronomical revolution : Copernicus, Kepler, Borelli / translated by R. E. W. Maddison.</t>
  </si>
  <si>
    <t>Koyré, Alexandre, 1892-1964.</t>
  </si>
  <si>
    <t>Paris : Hermann ; Ithaca, N.Y. : Cornell University Press, [1973]</t>
  </si>
  <si>
    <t xml:space="preserve">fr </t>
  </si>
  <si>
    <t>1996-11-03</t>
  </si>
  <si>
    <t>1990-04-02</t>
  </si>
  <si>
    <t>1752834:eng</t>
  </si>
  <si>
    <t>730506</t>
  </si>
  <si>
    <t>991003205159702656</t>
  </si>
  <si>
    <t>2270477550002656</t>
  </si>
  <si>
    <t>9780801405044</t>
  </si>
  <si>
    <t>32285000100072</t>
  </si>
  <si>
    <t>893410005</t>
  </si>
  <si>
    <t>QB35 .L82 1960</t>
  </si>
  <si>
    <t>0                      QB 0035000L  82          1960</t>
  </si>
  <si>
    <t>Pioneers of science : and the development of their scientific theories.</t>
  </si>
  <si>
    <t>Lodge, Oliver, Sir, 1851-1940.</t>
  </si>
  <si>
    <t>New York : Dover Publications, [1960]</t>
  </si>
  <si>
    <t>1998-12-01</t>
  </si>
  <si>
    <t>3817975076:eng</t>
  </si>
  <si>
    <t>10543769</t>
  </si>
  <si>
    <t>991000390319702656</t>
  </si>
  <si>
    <t>2267601910002656</t>
  </si>
  <si>
    <t>32285001967966</t>
  </si>
  <si>
    <t>893496172</t>
  </si>
  <si>
    <t>QB35 .M55 2005</t>
  </si>
  <si>
    <t>0                      QB 0035000M  55          2005</t>
  </si>
  <si>
    <t>Empire of the stars : obsession, friendship, and betrayal in the quest for black holes / Arthur I. Miller.</t>
  </si>
  <si>
    <t>Miller, Arthur I.</t>
  </si>
  <si>
    <t>Boston : Houghton Mifflin, 2005.</t>
  </si>
  <si>
    <t>2005</t>
  </si>
  <si>
    <t>2005-05-17</t>
  </si>
  <si>
    <t>864148441:eng</t>
  </si>
  <si>
    <t>57243361</t>
  </si>
  <si>
    <t>991004531369702656</t>
  </si>
  <si>
    <t>2258502930002656</t>
  </si>
  <si>
    <t>9780618341511</t>
  </si>
  <si>
    <t>32285005038327</t>
  </si>
  <si>
    <t>893235618</t>
  </si>
  <si>
    <t>QB351 .C65 1989</t>
  </si>
  <si>
    <t>0                      QB 0351000C  65          1989</t>
  </si>
  <si>
    <t>The foundations of celestial mechanics / by George W. Collins II.</t>
  </si>
  <si>
    <t>Collins, George W. (George William), 1937-</t>
  </si>
  <si>
    <t>Tucson : Pachart Pub. House, c1989.</t>
  </si>
  <si>
    <t>azu</t>
  </si>
  <si>
    <t>Astronomy and astrophysics series ; 16</t>
  </si>
  <si>
    <t>1990-07-25</t>
  </si>
  <si>
    <t>18600534:eng</t>
  </si>
  <si>
    <t>19581251</t>
  </si>
  <si>
    <t>991001476989702656</t>
  </si>
  <si>
    <t>2266675330002656</t>
  </si>
  <si>
    <t>9780881260090</t>
  </si>
  <si>
    <t>32285000240233</t>
  </si>
  <si>
    <t>893503443</t>
  </si>
  <si>
    <t>QB351 .D3</t>
  </si>
  <si>
    <t>0                      QB 0351000D  3</t>
  </si>
  <si>
    <t>Fundamentals of celestial mechanics.</t>
  </si>
  <si>
    <t>Danby, J. M. A.</t>
  </si>
  <si>
    <t>New York : Macmillan, [1962]</t>
  </si>
  <si>
    <t>1962</t>
  </si>
  <si>
    <t>2000-07-31</t>
  </si>
  <si>
    <t>1993-04-27</t>
  </si>
  <si>
    <t>1604834:eng</t>
  </si>
  <si>
    <t>753277</t>
  </si>
  <si>
    <t>991003228099702656</t>
  </si>
  <si>
    <t>2270390800002656</t>
  </si>
  <si>
    <t>32285001627511</t>
  </si>
  <si>
    <t>893598385</t>
  </si>
  <si>
    <t>QB351 .H26 V. 2 PT. 1</t>
  </si>
  <si>
    <t>0                      QB 0351000H  26                                                      V. 2 PT. 1</t>
  </si>
  <si>
    <t>Celestial mechanics.</t>
  </si>
  <si>
    <t>V. 2 PT. 1*</t>
  </si>
  <si>
    <t>Hagihara, Yūsuke, 1897-1979.</t>
  </si>
  <si>
    <t>Cambridge, Mass., MIT Press [1970- ]</t>
  </si>
  <si>
    <t>2001-04-11</t>
  </si>
  <si>
    <t>3855301669:eng</t>
  </si>
  <si>
    <t>101594</t>
  </si>
  <si>
    <t>991000615519702656</t>
  </si>
  <si>
    <t>2261301710002656</t>
  </si>
  <si>
    <t>9780262080378</t>
  </si>
  <si>
    <t>32285002640455</t>
  </si>
  <si>
    <t>893438429</t>
  </si>
  <si>
    <t>QB351 .H26 V. 2 PT. 2</t>
  </si>
  <si>
    <t>0                      QB 0351000H  26                                                      V. 2 PT. 2</t>
  </si>
  <si>
    <t>V. 2 PT. 2*</t>
  </si>
  <si>
    <t>32285002640463</t>
  </si>
  <si>
    <t>893438430</t>
  </si>
  <si>
    <t>QB351 .H26 V. 3 PT. 1</t>
  </si>
  <si>
    <t>0                      QB 0351000H  26                                                      V. 3 PT. 1</t>
  </si>
  <si>
    <t>V. 3 PT. 1*</t>
  </si>
  <si>
    <t>32285002640471</t>
  </si>
  <si>
    <t>893438428</t>
  </si>
  <si>
    <t>QB351 .H26 V. 3 PT. 2</t>
  </si>
  <si>
    <t>0                      QB 0351000H  26                                                      V. 3 PT. 2</t>
  </si>
  <si>
    <t>V. 3 PT. 2*</t>
  </si>
  <si>
    <t>32285002640489</t>
  </si>
  <si>
    <t>893407364</t>
  </si>
  <si>
    <t>QB351 .H26 V. 4 PT. 1</t>
  </si>
  <si>
    <t>0                      QB 0351000H  26                                                      V. 4 PT. 1</t>
  </si>
  <si>
    <t>V. 4 PT. 1*</t>
  </si>
  <si>
    <t>32285002640497</t>
  </si>
  <si>
    <t>893419627</t>
  </si>
  <si>
    <t>QB351 .H26 V. 4 PT. 2</t>
  </si>
  <si>
    <t>0                      QB 0351000H  26                                                      V. 4 PT. 2</t>
  </si>
  <si>
    <t>V. 4 PT. 2*</t>
  </si>
  <si>
    <t>32285002640505</t>
  </si>
  <si>
    <t>893407363</t>
  </si>
  <si>
    <t>QB351 .H26 V. 5 PT. 1</t>
  </si>
  <si>
    <t>0                      QB 0351000H  26                                                      V. 5 PT. 1</t>
  </si>
  <si>
    <t>V. 5 PT. 1*</t>
  </si>
  <si>
    <t>32285002640513</t>
  </si>
  <si>
    <t>893413518</t>
  </si>
  <si>
    <t>QB351 .H26 V. 5 PT. 2</t>
  </si>
  <si>
    <t>0                      QB 0351000H  26                                                      V. 5 PT. 2</t>
  </si>
  <si>
    <t>V. 5 PT. 2*</t>
  </si>
  <si>
    <t>32285002640521</t>
  </si>
  <si>
    <t>893419626</t>
  </si>
  <si>
    <t>QB351 .H26 v..., pt...</t>
  </si>
  <si>
    <t>0                      QB 0351000H  26                                                      v..., pt...</t>
  </si>
  <si>
    <t>v..., pt...*</t>
  </si>
  <si>
    <t>32285002640448</t>
  </si>
  <si>
    <t>893438431</t>
  </si>
  <si>
    <t>QB351 .P48 1993</t>
  </si>
  <si>
    <t>0                      QB 0351000P  48          1993</t>
  </si>
  <si>
    <t>Newton's clock : chaos in the solar system / Ivars Peterson.</t>
  </si>
  <si>
    <t>Peterson, Ivars.</t>
  </si>
  <si>
    <t>New York : W.H. Freeman and Co., c1993.</t>
  </si>
  <si>
    <t>1997-11-15</t>
  </si>
  <si>
    <t>1996-02-08</t>
  </si>
  <si>
    <t>348759:eng</t>
  </si>
  <si>
    <t>27727301</t>
  </si>
  <si>
    <t>991002151959702656</t>
  </si>
  <si>
    <t>2264323360002656</t>
  </si>
  <si>
    <t>9780716723967</t>
  </si>
  <si>
    <t>32285002128592</t>
  </si>
  <si>
    <t>893879555</t>
  </si>
  <si>
    <t>QB351 .S75</t>
  </si>
  <si>
    <t>0                      QB 0351000S  75</t>
  </si>
  <si>
    <t>An introduction to celestial mechanics.</t>
  </si>
  <si>
    <t>Sterne, Theodore E.</t>
  </si>
  <si>
    <t>New York, Interscience Publishers, 1960.</t>
  </si>
  <si>
    <t>___</t>
  </si>
  <si>
    <t>Interscience tracts on physics and astronomy ; 9</t>
  </si>
  <si>
    <t>1995-08-28</t>
  </si>
  <si>
    <t>1544163:eng</t>
  </si>
  <si>
    <t>530860</t>
  </si>
  <si>
    <t>991002930849702656</t>
  </si>
  <si>
    <t>2266525020002656</t>
  </si>
  <si>
    <t>32285001432698</t>
  </si>
  <si>
    <t>893786763</t>
  </si>
  <si>
    <t>QB351 .T34 1985</t>
  </si>
  <si>
    <t>0                      QB 0351000T  34          1985</t>
  </si>
  <si>
    <t>Celestial mechanics : a computational guide for the practitioner / Laurence G. Taff.</t>
  </si>
  <si>
    <t>New York : Wiley, c1985.</t>
  </si>
  <si>
    <t>2009-04-09</t>
  </si>
  <si>
    <t>793344820:eng</t>
  </si>
  <si>
    <t>11234163</t>
  </si>
  <si>
    <t>991000509089702656</t>
  </si>
  <si>
    <t>2257794590002656</t>
  </si>
  <si>
    <t>9780471893165</t>
  </si>
  <si>
    <t>32285000222207</t>
  </si>
  <si>
    <t>893225046</t>
  </si>
  <si>
    <t>QB355 .B68 1991</t>
  </si>
  <si>
    <t>0                      QB 0355000B  68          1991</t>
  </si>
  <si>
    <t>Methods of orbit determination for the microcomputer / Dan L. Boulet.</t>
  </si>
  <si>
    <t>Boulet, Dan L.</t>
  </si>
  <si>
    <t>Richmond, Va. : Willmann-Bell, Inc., c1991.</t>
  </si>
  <si>
    <t>1st English ed.</t>
  </si>
  <si>
    <t>2007-09-05</t>
  </si>
  <si>
    <t>1993-02-09</t>
  </si>
  <si>
    <t>934302:eng</t>
  </si>
  <si>
    <t>23287041</t>
  </si>
  <si>
    <t>991001855869702656</t>
  </si>
  <si>
    <t>2272033120002656</t>
  </si>
  <si>
    <t>9780943396347</t>
  </si>
  <si>
    <t>32285001495216</t>
  </si>
  <si>
    <t>893534726</t>
  </si>
  <si>
    <t>QB355 .P78 1976</t>
  </si>
  <si>
    <t>0                      QB 0355000P  78          1976</t>
  </si>
  <si>
    <t>Celestial mechanics / by Harry Pollard.</t>
  </si>
  <si>
    <t>Pollard, Harry, 1919-1985.</t>
  </si>
  <si>
    <t>[Washington] : Mathematical Association of America, c1976.</t>
  </si>
  <si>
    <t>dcu</t>
  </si>
  <si>
    <t>The Carus mathematical monographs ; no. 18</t>
  </si>
  <si>
    <t>2001-06-14</t>
  </si>
  <si>
    <t>3944201300:eng</t>
  </si>
  <si>
    <t>2862987</t>
  </si>
  <si>
    <t>991003553739702656</t>
  </si>
  <si>
    <t>2268238510002656</t>
  </si>
  <si>
    <t>9780883850190</t>
  </si>
  <si>
    <t>32285004327655</t>
  </si>
  <si>
    <t>893717785</t>
  </si>
  <si>
    <t>QB355 .R68</t>
  </si>
  <si>
    <t>0                      QB 0355000R  68</t>
  </si>
  <si>
    <t>Orbital motion / A. E. Roy.</t>
  </si>
  <si>
    <t>Roy, A. E. (Archie E.), 1924-2012.</t>
  </si>
  <si>
    <t>New York : Wiley, c1978.</t>
  </si>
  <si>
    <t>1998-11-20</t>
  </si>
  <si>
    <t>1041582:eng</t>
  </si>
  <si>
    <t>3202661</t>
  </si>
  <si>
    <t>991004373099702656</t>
  </si>
  <si>
    <t>2270284590002656</t>
  </si>
  <si>
    <t>9780470992517</t>
  </si>
  <si>
    <t>32285002640687</t>
  </si>
  <si>
    <t>893241344</t>
  </si>
  <si>
    <t>QB355 .S974 1998</t>
  </si>
  <si>
    <t>0                      QB 0355000S  974         1998</t>
  </si>
  <si>
    <t>Adventures in celestial mechanics / Victor G. Szebehely, Hans Mark.</t>
  </si>
  <si>
    <t>Szebehely, Victor G., 1921-</t>
  </si>
  <si>
    <t>New York : J. Wiley, c1998.</t>
  </si>
  <si>
    <t>2nd ed.</t>
  </si>
  <si>
    <t>2009-03-05</t>
  </si>
  <si>
    <t>1999-03-25</t>
  </si>
  <si>
    <t>26127:eng</t>
  </si>
  <si>
    <t>36573836</t>
  </si>
  <si>
    <t>991002785629702656</t>
  </si>
  <si>
    <t>2266304890002656</t>
  </si>
  <si>
    <t>9780471133179</t>
  </si>
  <si>
    <t>32285003546289</t>
  </si>
  <si>
    <t>893251610</t>
  </si>
  <si>
    <t>QB36.B8 D7</t>
  </si>
  <si>
    <t>0                      QB 0036000B  8                  D  7</t>
  </si>
  <si>
    <t>Tycho Brahe : a picture of scientific life and work in the sixteenth century.</t>
  </si>
  <si>
    <t>Dreyer, J. L. E. (John Louis Emil), 1852-1926.</t>
  </si>
  <si>
    <t>New York : Dover Publications, [1963]</t>
  </si>
  <si>
    <t>1963</t>
  </si>
  <si>
    <t>2007-11-12</t>
  </si>
  <si>
    <t>1994-11-30</t>
  </si>
  <si>
    <t>8909908423:eng</t>
  </si>
  <si>
    <t>530360</t>
  </si>
  <si>
    <t>991002929279702656</t>
  </si>
  <si>
    <t>2266610050002656</t>
  </si>
  <si>
    <t>32285001968998</t>
  </si>
  <si>
    <t>893717103</t>
  </si>
  <si>
    <t>QB36.B8 F47 2002</t>
  </si>
  <si>
    <t>0                      QB 0036000B  8                  F  47          2002</t>
  </si>
  <si>
    <t>Tycho &amp; Kepler : the unlikely partnership that forever changed our understanding of the heavens / Kitty Ferguson.</t>
  </si>
  <si>
    <t>Ferguson, Kitty.</t>
  </si>
  <si>
    <t>New York : Walker &amp; Co., c2002.</t>
  </si>
  <si>
    <t>2005-03-15</t>
  </si>
  <si>
    <t>364510811:eng</t>
  </si>
  <si>
    <t>50410222</t>
  </si>
  <si>
    <t>991004470909702656</t>
  </si>
  <si>
    <t>2262259590002656</t>
  </si>
  <si>
    <t>9780802713902</t>
  </si>
  <si>
    <t>32285005041396</t>
  </si>
  <si>
    <t>893700283</t>
  </si>
  <si>
    <t>QB36.B8 G2</t>
  </si>
  <si>
    <t>0                      QB 0036000B  8                  G  2</t>
  </si>
  <si>
    <t>The life and times of Tycho Brahe.</t>
  </si>
  <si>
    <t>Gade, John A. (John Allyne), 1875-1955.</t>
  </si>
  <si>
    <t>Princeton : Princeton Univ. Press for the American-Scandinavian Foundation, New York, 1947.</t>
  </si>
  <si>
    <t>1947</t>
  </si>
  <si>
    <t>2007-12-03</t>
  </si>
  <si>
    <t>48081394:eng</t>
  </si>
  <si>
    <t>530422</t>
  </si>
  <si>
    <t>991002929459702656</t>
  </si>
  <si>
    <t>2266474750002656</t>
  </si>
  <si>
    <t>32285001967958</t>
  </si>
  <si>
    <t>893717104</t>
  </si>
  <si>
    <t>QB36.B8 G55 2004</t>
  </si>
  <si>
    <t>0                      QB 0036000B  8                  G  55          2004</t>
  </si>
  <si>
    <t>Heavenly intrigue : Johannes Kepler, Tycho Brahe, and the murder behind one of history's greatest scientific discoveries / Joshua Gilder and Anne-Lee Gilder.</t>
  </si>
  <si>
    <t>Gilder, Joshua.</t>
  </si>
  <si>
    <t>New York : Doubleday : 2004.</t>
  </si>
  <si>
    <t>2004</t>
  </si>
  <si>
    <t>2007-04-22</t>
  </si>
  <si>
    <t>2005-04-25</t>
  </si>
  <si>
    <t>11203662:eng</t>
  </si>
  <si>
    <t>53469663</t>
  </si>
  <si>
    <t>991004528109702656</t>
  </si>
  <si>
    <t>2259235070002656</t>
  </si>
  <si>
    <t>9780385508445</t>
  </si>
  <si>
    <t>32285005033179</t>
  </si>
  <si>
    <t>893259823</t>
  </si>
  <si>
    <t>QB36.B8 T49 1990</t>
  </si>
  <si>
    <t>0                      QB 0036000B  8                  T  49          1990</t>
  </si>
  <si>
    <t>The Lord of Uraniborg : a biography of Tycho Brahe / Victor E. Thoren ; with contributions by John R. Christianson.</t>
  </si>
  <si>
    <t>Thoren, Victor E.</t>
  </si>
  <si>
    <t>Cambridge [England] ; New York : Cambridge University Press, 1990.</t>
  </si>
  <si>
    <t>1991-11-26</t>
  </si>
  <si>
    <t>809249120:eng</t>
  </si>
  <si>
    <t>21116731</t>
  </si>
  <si>
    <t>991001653159702656</t>
  </si>
  <si>
    <t>2264249810002656</t>
  </si>
  <si>
    <t>9780521351584</t>
  </si>
  <si>
    <t>32285000817287</t>
  </si>
  <si>
    <t>893715589</t>
  </si>
  <si>
    <t>QB36.C46 S22 1997</t>
  </si>
  <si>
    <t>0                      QB 0036000C  46                 S  22          1997</t>
  </si>
  <si>
    <t>S. Chandrasekhar : the man behind the legend / editor, Kameshwar C. Wali.</t>
  </si>
  <si>
    <t>London : Imperial College Press ; Singapore ; River Edge, NJ : Distributed by World Scientific Pub. Co. , 1997.</t>
  </si>
  <si>
    <t>2005-02-21</t>
  </si>
  <si>
    <t>961534422:eng</t>
  </si>
  <si>
    <t>38847561</t>
  </si>
  <si>
    <t>991002922889702656</t>
  </si>
  <si>
    <t>2257444510002656</t>
  </si>
  <si>
    <t>9781860940385</t>
  </si>
  <si>
    <t>32285003546313</t>
  </si>
  <si>
    <t>893886905</t>
  </si>
  <si>
    <t>QB36.C46 W35 1991</t>
  </si>
  <si>
    <t>0                      QB 0036000C  46                 W  35          1991</t>
  </si>
  <si>
    <t>Chandra : a biography of S. Chandrasekhar / Kameshwar C. Wali.</t>
  </si>
  <si>
    <t>Wali, K. C. (Kameshwar C.)</t>
  </si>
  <si>
    <t>Chicago : University of Chicago Press, 1991.</t>
  </si>
  <si>
    <t>ilu</t>
  </si>
  <si>
    <t>1991-05-09</t>
  </si>
  <si>
    <t>23826557:eng</t>
  </si>
  <si>
    <t>21297960</t>
  </si>
  <si>
    <t>991001672229702656</t>
  </si>
  <si>
    <t>2266542140002656</t>
  </si>
  <si>
    <t>9780226870557</t>
  </si>
  <si>
    <t>32285000571801</t>
  </si>
  <si>
    <t>893226015</t>
  </si>
  <si>
    <t>QB36.C8 H75 1973</t>
  </si>
  <si>
    <t>0                      QB 0036000C  8                  H  75          1973</t>
  </si>
  <si>
    <t>Nicolaus Copernicus : an essay on his life and work.</t>
  </si>
  <si>
    <t>New York : Harper &amp; Row, [1973]</t>
  </si>
  <si>
    <t>[1st U.S. ed.]</t>
  </si>
  <si>
    <t>1996-10-05</t>
  </si>
  <si>
    <t>1994-03-14</t>
  </si>
  <si>
    <t>1711757:eng</t>
  </si>
  <si>
    <t>658916</t>
  </si>
  <si>
    <t>991003113689702656</t>
  </si>
  <si>
    <t>2260402700002656</t>
  </si>
  <si>
    <t>9780060119713</t>
  </si>
  <si>
    <t>32285001853240</t>
  </si>
  <si>
    <t>893342244</t>
  </si>
  <si>
    <t>QB36.C8 M59</t>
  </si>
  <si>
    <t>0                      QB 0036000C  8                  M  59</t>
  </si>
  <si>
    <t>Nicholas Copernicus : a tribute of nations / edited by Stephen P. Mizwa.</t>
  </si>
  <si>
    <t>Mizwa, Stephen P. (Stephen Paul), 1892-1971, editor.</t>
  </si>
  <si>
    <t>New York : The Kosciuszko foundation, 1945.</t>
  </si>
  <si>
    <t>1945</t>
  </si>
  <si>
    <t>1996-11-04</t>
  </si>
  <si>
    <t>1993-09-18</t>
  </si>
  <si>
    <t>4020283563:eng</t>
  </si>
  <si>
    <t>2301508</t>
  </si>
  <si>
    <t>991004071189702656</t>
  </si>
  <si>
    <t>2259933510002656</t>
  </si>
  <si>
    <t>32285001770485</t>
  </si>
  <si>
    <t>893705961</t>
  </si>
  <si>
    <t>QB36.C8 R36</t>
  </si>
  <si>
    <t>0                      QB 0036000C  8                  R  36</t>
  </si>
  <si>
    <t>The reception of Copernicus' heliocentric theory : proceedings of a symposium organized by the Nicolas Copernicus Committee of the International Union of the History and Philosophy of Science, Toruń, Poland, 1973 / edited by Jerzy Dobrzycki.</t>
  </si>
  <si>
    <t>Dordrecht ; Boston : D. Reidel Pub. Co., [c1972]</t>
  </si>
  <si>
    <t>2008-10-12</t>
  </si>
  <si>
    <t>1990-05-09</t>
  </si>
  <si>
    <t>479608157:eng</t>
  </si>
  <si>
    <t>814446</t>
  </si>
  <si>
    <t>991003292549702656</t>
  </si>
  <si>
    <t>2270135780002656</t>
  </si>
  <si>
    <t>9789027703118</t>
  </si>
  <si>
    <t>32285000136753</t>
  </si>
  <si>
    <t>893441134</t>
  </si>
  <si>
    <t>QB36.G2 A233</t>
  </si>
  <si>
    <t>0                      QB 0036000G  2                  A  233</t>
  </si>
  <si>
    <t>The achievement of Galileo / edited with notes by James Brophy and Henry Paolucci ; with an introd. by Henry Paolucci.</t>
  </si>
  <si>
    <t>Galilei, Galileo, 1564-1642.</t>
  </si>
  <si>
    <t>New York : Twayne Publishers, [1962]</t>
  </si>
  <si>
    <t>1996-11-07</t>
  </si>
  <si>
    <t>1990-10-01</t>
  </si>
  <si>
    <t>1038959:eng</t>
  </si>
  <si>
    <t>530430</t>
  </si>
  <si>
    <t>991002929529702656</t>
  </si>
  <si>
    <t>2266470720002656</t>
  </si>
  <si>
    <t>32285000278902</t>
  </si>
  <si>
    <t>893409729</t>
  </si>
  <si>
    <t>QB36.G2 B54 1993</t>
  </si>
  <si>
    <t>0                      QB 0036000G  2                  B  54          1993</t>
  </si>
  <si>
    <t>Galileo, courtier : the practice of science in the culture of absolutism / Mario Biagioli.</t>
  </si>
  <si>
    <t>Biagioli, Mario, 1955-</t>
  </si>
  <si>
    <t>Chicago : University of Chicago Press, c1993.</t>
  </si>
  <si>
    <t>Science and its conceptual foundations</t>
  </si>
  <si>
    <t>1999-06-17</t>
  </si>
  <si>
    <t>1997-09-26</t>
  </si>
  <si>
    <t>505091507:eng</t>
  </si>
  <si>
    <t>26767743</t>
  </si>
  <si>
    <t>991002086909702656</t>
  </si>
  <si>
    <t>2268987430002656</t>
  </si>
  <si>
    <t>9780226045597</t>
  </si>
  <si>
    <t>32285001787505</t>
  </si>
  <si>
    <t>893779407</t>
  </si>
  <si>
    <t>QB36.G2 B54 1994</t>
  </si>
  <si>
    <t>0                      QB 0036000G  2                  B  54          1994</t>
  </si>
  <si>
    <t>Chicago : University of Chicago Press, 1994.</t>
  </si>
  <si>
    <t>Paperback ed.</t>
  </si>
  <si>
    <t>2001-05-16</t>
  </si>
  <si>
    <t>2001-03-26</t>
  </si>
  <si>
    <t>31847204</t>
  </si>
  <si>
    <t>991003490359702656</t>
  </si>
  <si>
    <t>2259709580002656</t>
  </si>
  <si>
    <t>9780226045603</t>
  </si>
  <si>
    <t>32285004307251</t>
  </si>
  <si>
    <t>893499347</t>
  </si>
  <si>
    <t>QB36.G2 C32 1975</t>
  </si>
  <si>
    <t>0                      QB 0036000G  2                  C  32          1975</t>
  </si>
  <si>
    <t>The defense of Galileo / Thomas Campanella ; [translated and edited, with introd. and notes by Grant McColley].</t>
  </si>
  <si>
    <t>Campanella, Tommaso, 1568-1639.</t>
  </si>
  <si>
    <t>New York : Arno Press, 1975.</t>
  </si>
  <si>
    <t>1975</t>
  </si>
  <si>
    <t>History, philosophy and sociology of science</t>
  </si>
  <si>
    <t>2000-11-19</t>
  </si>
  <si>
    <t>1993-09-23</t>
  </si>
  <si>
    <t>2863436066:eng</t>
  </si>
  <si>
    <t>1175930</t>
  </si>
  <si>
    <t>991003597189702656</t>
  </si>
  <si>
    <t>2271984650002656</t>
  </si>
  <si>
    <t>9780405065828</t>
  </si>
  <si>
    <t>32285001770741</t>
  </si>
  <si>
    <t>893499464</t>
  </si>
  <si>
    <t>QB36.G2 D72</t>
  </si>
  <si>
    <t>0                      QB 0036000G  2                  D  72</t>
  </si>
  <si>
    <t>Galileo / by Stillman Drake; general editor, Keith Thomas.</t>
  </si>
  <si>
    <t>Drake, Stillman.</t>
  </si>
  <si>
    <t>New York : Hill and Wang, 1980.</t>
  </si>
  <si>
    <t>Past masters</t>
  </si>
  <si>
    <t>1990-02-15</t>
  </si>
  <si>
    <t>465968:eng</t>
  </si>
  <si>
    <t>7107840</t>
  </si>
  <si>
    <t>991005075509702656</t>
  </si>
  <si>
    <t>2260734610002656</t>
  </si>
  <si>
    <t>9780809014163</t>
  </si>
  <si>
    <t>32285000053503</t>
  </si>
  <si>
    <t>893507566</t>
  </si>
  <si>
    <t>QB36.G2 D75 1990</t>
  </si>
  <si>
    <t>0                      QB 0036000G  2                  D  75          1990</t>
  </si>
  <si>
    <t>Galileo : pioneer scientist / Stillman Drake.</t>
  </si>
  <si>
    <t>Toronto : University of Toronto Press, c1990.</t>
  </si>
  <si>
    <t>1997-03-20</t>
  </si>
  <si>
    <t>1990-10-26</t>
  </si>
  <si>
    <t>26131841</t>
  </si>
  <si>
    <t>991001640669702656</t>
  </si>
  <si>
    <t>2266551320002656</t>
  </si>
  <si>
    <t>9780802027252</t>
  </si>
  <si>
    <t>32285000296318</t>
  </si>
  <si>
    <t>893785266</t>
  </si>
  <si>
    <t>QB36.G2 K3</t>
  </si>
  <si>
    <t>0                      QB 0036000G  2                  K  3</t>
  </si>
  <si>
    <t>Homage to Galileo : papers presented at the Galileo Quadricentennial, University of Rochester, October 8 and 9, 1964 / Morton F. Kaplon, editor.</t>
  </si>
  <si>
    <t>Kaplon, Morton F., editor.</t>
  </si>
  <si>
    <t>Cambridge, Mass. : M.I.T. Press, [1965]</t>
  </si>
  <si>
    <t>1965</t>
  </si>
  <si>
    <t>1993-10-18</t>
  </si>
  <si>
    <t>365612735:eng</t>
  </si>
  <si>
    <t>1265080</t>
  </si>
  <si>
    <t>991003658639702656</t>
  </si>
  <si>
    <t>2264088910002656</t>
  </si>
  <si>
    <t>32285001793495</t>
  </si>
  <si>
    <t>893525071</t>
  </si>
  <si>
    <t>QB36.G2 K6813 1978</t>
  </si>
  <si>
    <t>0                      QB 0036000G  2                  K  6813        1978</t>
  </si>
  <si>
    <t>Galileo studies / Alexandre Koyré ; translated from the French by John Mepham.</t>
  </si>
  <si>
    <t>Atlantic Highlands, N.J. : Humanities Press, 1978.</t>
  </si>
  <si>
    <t>European philosophy and the human sciences</t>
  </si>
  <si>
    <t>1405793:eng</t>
  </si>
  <si>
    <t>3481244</t>
  </si>
  <si>
    <t>991004445389702656</t>
  </si>
  <si>
    <t>2264378680002656</t>
  </si>
  <si>
    <t>9780391007604</t>
  </si>
  <si>
    <t>32285001431112</t>
  </si>
  <si>
    <t>893782252</t>
  </si>
  <si>
    <t>QB36.G2 P22 1992</t>
  </si>
  <si>
    <t>0                      QB 0036000G  2                  P  22          1992</t>
  </si>
  <si>
    <t>Galileo and the universe / Steve Parker.</t>
  </si>
  <si>
    <t>Parker, Steve, 1952-</t>
  </si>
  <si>
    <t>New York, NY : HarperCollins, 1992.</t>
  </si>
  <si>
    <t>Science discoveries</t>
  </si>
  <si>
    <t>2002-12-16</t>
  </si>
  <si>
    <t>1994-04-21</t>
  </si>
  <si>
    <t>27085519:eng</t>
  </si>
  <si>
    <t>24287561</t>
  </si>
  <si>
    <t>991004544539702656</t>
  </si>
  <si>
    <t>2270723980002656</t>
  </si>
  <si>
    <t>9780060207359</t>
  </si>
  <si>
    <t>32285001877009</t>
  </si>
  <si>
    <t>893770786</t>
  </si>
  <si>
    <t>QB36.G2 R27 1994</t>
  </si>
  <si>
    <t>0                      QB 0036000G  2                  R  27          1994</t>
  </si>
  <si>
    <t>Galileo : a life / James Reston, Jr.</t>
  </si>
  <si>
    <t>Reston, James, Jr., 1941-</t>
  </si>
  <si>
    <t>New York : HarperCollins Publishers, c1994.</t>
  </si>
  <si>
    <t>1995-05-10</t>
  </si>
  <si>
    <t>30914903:eng</t>
  </si>
  <si>
    <t>28853371</t>
  </si>
  <si>
    <t>991002237539702656</t>
  </si>
  <si>
    <t>2263103660002656</t>
  </si>
  <si>
    <t>9780060163785</t>
  </si>
  <si>
    <t>32285002039278</t>
  </si>
  <si>
    <t>893529718</t>
  </si>
  <si>
    <t>QB36.G2 S45</t>
  </si>
  <si>
    <t>0                      QB 0036000G  2                  S  45</t>
  </si>
  <si>
    <t>Galileo : a philosophical study / Dudley Shapere.</t>
  </si>
  <si>
    <t>Shapere, Dudley.</t>
  </si>
  <si>
    <t>Chicago : University of Chicago Press, 1974.</t>
  </si>
  <si>
    <t>1996-11-02</t>
  </si>
  <si>
    <t>1993-11-30</t>
  </si>
  <si>
    <t>1908964148:eng</t>
  </si>
  <si>
    <t>1146689</t>
  </si>
  <si>
    <t>991003571579702656</t>
  </si>
  <si>
    <t>2262033240002656</t>
  </si>
  <si>
    <t>9780226750057</t>
  </si>
  <si>
    <t>32285001689602</t>
  </si>
  <si>
    <t>893428937</t>
  </si>
  <si>
    <t>QB36.G2 S453 1994</t>
  </si>
  <si>
    <t>0                      QB 0036000G  2                  S  453         1994</t>
  </si>
  <si>
    <t>Galileo : decisive innovator / Michael Sharratt.</t>
  </si>
  <si>
    <t>Sharratt, Michael.</t>
  </si>
  <si>
    <t>Oxford ; Cambridge, Mass., USA : Blackwell, 1994.</t>
  </si>
  <si>
    <t>Blackwell science biographies</t>
  </si>
  <si>
    <t>2003-02-15</t>
  </si>
  <si>
    <t>1995-03-13</t>
  </si>
  <si>
    <t>140070471:eng</t>
  </si>
  <si>
    <t>28379167</t>
  </si>
  <si>
    <t>991002207219702656</t>
  </si>
  <si>
    <t>2263607330002656</t>
  </si>
  <si>
    <t>9780631176824</t>
  </si>
  <si>
    <t>32285002007036</t>
  </si>
  <si>
    <t>893226574</t>
  </si>
  <si>
    <t>QB36.G2 S46</t>
  </si>
  <si>
    <t>0                      QB 0036000G  2                  S  46</t>
  </si>
  <si>
    <t>Galileo's intellectual revolution : middle period, 1610-1632 / [by] William R. Shea.</t>
  </si>
  <si>
    <t>Shea, William R.</t>
  </si>
  <si>
    <t>New York : Science History Publications, [1972]</t>
  </si>
  <si>
    <t>1993-07-09</t>
  </si>
  <si>
    <t>30254786:eng</t>
  </si>
  <si>
    <t>572198</t>
  </si>
  <si>
    <t>991003004879702656</t>
  </si>
  <si>
    <t>2272472160002656</t>
  </si>
  <si>
    <t>9780882020068</t>
  </si>
  <si>
    <t>32285001721777</t>
  </si>
  <si>
    <t>893880713</t>
  </si>
  <si>
    <t>QB36.G2 W47 1989</t>
  </si>
  <si>
    <t>0                      QB 0036000G  2                  W  47          1989</t>
  </si>
  <si>
    <t>Essays on the trial of Galileo / by Richard S. Westfall.</t>
  </si>
  <si>
    <t>Westfall, Richard S.</t>
  </si>
  <si>
    <t>Città del Vaticano : Specola Vaticana ; Notre Dame, Ind., USA : Distributed (except in Italy and Vatican City State) by the University of Notre Dame Press, c1989.</t>
  </si>
  <si>
    <t>Vatican Observatory publications. Special series. Studi Galileiani ; v. 1, no. 5</t>
  </si>
  <si>
    <t>2006-10-03</t>
  </si>
  <si>
    <t>1990-05-23</t>
  </si>
  <si>
    <t>23336760:eng</t>
  </si>
  <si>
    <t>24143553</t>
  </si>
  <si>
    <t>991001664839702656</t>
  </si>
  <si>
    <t>2270727390002656</t>
  </si>
  <si>
    <t>9780268009236</t>
  </si>
  <si>
    <t>32285000138320</t>
  </si>
  <si>
    <t>893696912</t>
  </si>
  <si>
    <t>QB36.K4 A8</t>
  </si>
  <si>
    <t>0                      QB 0036000K  4                  A  8</t>
  </si>
  <si>
    <t>John Kepler / Angus Armitage.</t>
  </si>
  <si>
    <t>Armitage, A. (Angus), 1902-1976.</t>
  </si>
  <si>
    <t>London : Faber, 1966.</t>
  </si>
  <si>
    <t>1966</t>
  </si>
  <si>
    <t>2005-11-16</t>
  </si>
  <si>
    <t>1999-12-06</t>
  </si>
  <si>
    <t>49918708:eng</t>
  </si>
  <si>
    <t>513225</t>
  </si>
  <si>
    <t>991002894279702656</t>
  </si>
  <si>
    <t>2260764850002656</t>
  </si>
  <si>
    <t>32285003628087</t>
  </si>
  <si>
    <t>893604181</t>
  </si>
  <si>
    <t>QB36.K4 C33</t>
  </si>
  <si>
    <t>0                      QB 0036000K  4                  C  33</t>
  </si>
  <si>
    <t>Kepler / translated and edited by C. Doris Hellman.</t>
  </si>
  <si>
    <t>Caspar, Max, 1880-1956.</t>
  </si>
  <si>
    <t>London ; New York : Abelard-Schuman, [c1959]</t>
  </si>
  <si>
    <t>1959</t>
  </si>
  <si>
    <t>The life of science library, 36</t>
  </si>
  <si>
    <t>1996-11-09</t>
  </si>
  <si>
    <t>1994-01-04</t>
  </si>
  <si>
    <t>341496:eng</t>
  </si>
  <si>
    <t>546065</t>
  </si>
  <si>
    <t>991002966319702656</t>
  </si>
  <si>
    <t>2264871870002656</t>
  </si>
  <si>
    <t>32285001827756</t>
  </si>
  <si>
    <t>893348172</t>
  </si>
  <si>
    <t>QB36.K4 C33 1993</t>
  </si>
  <si>
    <t>0                      QB 0036000K  4                  C  33          1993</t>
  </si>
  <si>
    <t>Kepler / Max Caspar ; translated and edited by C. Doris Hellman ; with a new introduction and references by Owen Gingerich ; bibliographical citations by Owen Gingerich and Alain Segonds.</t>
  </si>
  <si>
    <t>New York : Dover Publications, 1993.</t>
  </si>
  <si>
    <t>1996-03-29</t>
  </si>
  <si>
    <t>28293391</t>
  </si>
  <si>
    <t>991002200079702656</t>
  </si>
  <si>
    <t>2259478280002656</t>
  </si>
  <si>
    <t>9780486676050</t>
  </si>
  <si>
    <t>32285002148376</t>
  </si>
  <si>
    <t>893341156</t>
  </si>
  <si>
    <t>QB36.K4 C66 2004</t>
  </si>
  <si>
    <t>0                      QB 0036000K  4                  C  66          2004</t>
  </si>
  <si>
    <t>Kepler's witch : an astronomer's discovery of cosmic order amid religious war, political intrigue, and the heresy trial of his mother / James A. Connor.</t>
  </si>
  <si>
    <t>Connor, James A.</t>
  </si>
  <si>
    <t>San Francisco : HarperSanFrancisco, c2004.</t>
  </si>
  <si>
    <t>2004-11-01</t>
  </si>
  <si>
    <t>979424:eng</t>
  </si>
  <si>
    <t>53796910</t>
  </si>
  <si>
    <t>991004287449702656</t>
  </si>
  <si>
    <t>2268548610002656</t>
  </si>
  <si>
    <t>9780060522551</t>
  </si>
  <si>
    <t>32285005007447</t>
  </si>
  <si>
    <t>893343663</t>
  </si>
  <si>
    <t>QB36.K7 A33 1995</t>
  </si>
  <si>
    <t>0                      QB 0036000K  7                  A  33          1995</t>
  </si>
  <si>
    <t>Big ear two : listening for other-worlds / John Kraus.</t>
  </si>
  <si>
    <t>Kraus, John D., 1910-2004.</t>
  </si>
  <si>
    <t>Powell, Ohio : Cygnus-Quasar Books, c1995.</t>
  </si>
  <si>
    <t>ohu</t>
  </si>
  <si>
    <t>1997-06-11</t>
  </si>
  <si>
    <t>1995-07-23</t>
  </si>
  <si>
    <t>368434348:eng</t>
  </si>
  <si>
    <t>31786087</t>
  </si>
  <si>
    <t>991002439489702656</t>
  </si>
  <si>
    <t>2263360990002656</t>
  </si>
  <si>
    <t>9781882484126</t>
  </si>
  <si>
    <t>32285002075900</t>
  </si>
  <si>
    <t>893415198</t>
  </si>
  <si>
    <t>QB36.P83 N47</t>
  </si>
  <si>
    <t>0                      QB 0036000P  83                 N  47</t>
  </si>
  <si>
    <t>The crime of Claudius Ptolemy / Robert R. Newton.</t>
  </si>
  <si>
    <t>Baltimore : Johns Hopkins University Press, c1977.</t>
  </si>
  <si>
    <t>1993-10-07</t>
  </si>
  <si>
    <t>6408296:eng</t>
  </si>
  <si>
    <t>2875127</t>
  </si>
  <si>
    <t>991004270099702656</t>
  </si>
  <si>
    <t>2259449700002656</t>
  </si>
  <si>
    <t>9780801819902</t>
  </si>
  <si>
    <t>32285001790012</t>
  </si>
  <si>
    <t>893343646</t>
  </si>
  <si>
    <t>QB36.S56 A3 1991</t>
  </si>
  <si>
    <t>0                      QB 0036000S  56                 A  3           1991</t>
  </si>
  <si>
    <t>Five billion vodka bottles to the moon : tales of a Soviet scientist / Iosif Shklovsky ; translated and adapted by Mary Fleming Zirin and Harold Zirin ; introduction by Herbert Friedman.</t>
  </si>
  <si>
    <t>Shklovskiĭ, I. S.</t>
  </si>
  <si>
    <t>New York : W.W. Norton, c1991.</t>
  </si>
  <si>
    <t>2010-09-24</t>
  </si>
  <si>
    <t>1992-06-23</t>
  </si>
  <si>
    <t>9657271446:eng</t>
  </si>
  <si>
    <t>22629613</t>
  </si>
  <si>
    <t>991001800119702656</t>
  </si>
  <si>
    <t>2269012840002656</t>
  </si>
  <si>
    <t>9780393029901</t>
  </si>
  <si>
    <t>32285001155430</t>
  </si>
  <si>
    <t>893785404</t>
  </si>
  <si>
    <t>QB362 .N54 1972</t>
  </si>
  <si>
    <t>0                      QB 0362000N  54          1972</t>
  </si>
  <si>
    <t>The Titius-Bode law of planetary distances: its history and theory.</t>
  </si>
  <si>
    <t>Nieto, Michael Martin.</t>
  </si>
  <si>
    <t>Oxford, New York, Pergamon Press [1972]</t>
  </si>
  <si>
    <t>[1st ed.]</t>
  </si>
  <si>
    <t>International series of monographs in natural philosophy ; v. 47</t>
  </si>
  <si>
    <t>2000-04-15</t>
  </si>
  <si>
    <t>1681490:eng</t>
  </si>
  <si>
    <t>571856</t>
  </si>
  <si>
    <t>991003004059702656</t>
  </si>
  <si>
    <t>2272152660002656</t>
  </si>
  <si>
    <t>9780080167848</t>
  </si>
  <si>
    <t>32285002640745</t>
  </si>
  <si>
    <t>893257976</t>
  </si>
  <si>
    <t>QB391 .K65 2000</t>
  </si>
  <si>
    <t>0                      QB 0391000K  65          2000</t>
  </si>
  <si>
    <t>Newton's forgotten lunar theory : his contribution to the quest for longitude / Nicholas Kollerstrom.</t>
  </si>
  <si>
    <t>Kollerstrom, Nick.</t>
  </si>
  <si>
    <t>Santa Fe, N.M. : Green Lion Press, c2000.</t>
  </si>
  <si>
    <t>nmu</t>
  </si>
  <si>
    <t>2002-05-22</t>
  </si>
  <si>
    <t>2002-05-15</t>
  </si>
  <si>
    <t>145175361:eng</t>
  </si>
  <si>
    <t>44168913</t>
  </si>
  <si>
    <t>991003771529702656</t>
  </si>
  <si>
    <t>2260323700002656</t>
  </si>
  <si>
    <t>9781888009088</t>
  </si>
  <si>
    <t>32285004489018</t>
  </si>
  <si>
    <t>893775171</t>
  </si>
  <si>
    <t>QB401 .A5</t>
  </si>
  <si>
    <t>0                      QB 0401000A  5</t>
  </si>
  <si>
    <t>Kinematics and dynamics of satellite orbits.</t>
  </si>
  <si>
    <t>American Association of Physics Teachers.</t>
  </si>
  <si>
    <t>New York, American Institute of Physics, 1963.</t>
  </si>
  <si>
    <t>2001-11-14</t>
  </si>
  <si>
    <t>132412570:eng</t>
  </si>
  <si>
    <t>530390</t>
  </si>
  <si>
    <t>991002929339702656</t>
  </si>
  <si>
    <t>2266625090002656</t>
  </si>
  <si>
    <t>32285002640778</t>
  </si>
  <si>
    <t>893227457</t>
  </si>
  <si>
    <t>QB401 .P55</t>
  </si>
  <si>
    <t>0                      QB 0401000P  55</t>
  </si>
  <si>
    <t>Planetary satellites / Joseph A. Burns, editor ; with 33 collaborating authors.</t>
  </si>
  <si>
    <t>Tucson : University of Arizona Press, c1977.</t>
  </si>
  <si>
    <t>1995-11-10</t>
  </si>
  <si>
    <t>1992-11-19</t>
  </si>
  <si>
    <t>766857855:eng</t>
  </si>
  <si>
    <t>3312910</t>
  </si>
  <si>
    <t>991004403999702656</t>
  </si>
  <si>
    <t>2272684650002656</t>
  </si>
  <si>
    <t>9780816505524</t>
  </si>
  <si>
    <t>32285001432755</t>
  </si>
  <si>
    <t>893782201</t>
  </si>
  <si>
    <t>QB405 .M38 1983</t>
  </si>
  <si>
    <t>0                      QB 0405000M  38          1983</t>
  </si>
  <si>
    <t>Maxwell on Saturn's rings / edited by Stephen G. Brush, C.W.F. Everitt, and Elizabeth Garber.</t>
  </si>
  <si>
    <t>Maxwell, James Clerk, 1831-1879.</t>
  </si>
  <si>
    <t>Cambridge, Mass. : MIT Press, c1983.</t>
  </si>
  <si>
    <t>1994-07-18</t>
  </si>
  <si>
    <t>24133991:eng</t>
  </si>
  <si>
    <t>9110674</t>
  </si>
  <si>
    <t>991000129879702656</t>
  </si>
  <si>
    <t>2268576780002656</t>
  </si>
  <si>
    <t>9780262131902</t>
  </si>
  <si>
    <t>32285001432771</t>
  </si>
  <si>
    <t>893683183</t>
  </si>
  <si>
    <t>QB41 .C84</t>
  </si>
  <si>
    <t>0                      QB 0041000C  84</t>
  </si>
  <si>
    <t>Three Copernican treatises : the Commentariolus of Copernicus, the Letter against Werner, the Narratio prima of Rheticus / translated with introd. and notes by Edward Rosen.</t>
  </si>
  <si>
    <t>Copernicus, Nicolaus, 1473-1543.</t>
  </si>
  <si>
    <t>New York : Dover Publications, [1959]</t>
  </si>
  <si>
    <t>2d ed., rev. / with an annotated Copernicus bibliography, 1939-1958.</t>
  </si>
  <si>
    <t>2007-10-30</t>
  </si>
  <si>
    <t>5219008968:eng</t>
  </si>
  <si>
    <t>889260</t>
  </si>
  <si>
    <t>991003355779702656</t>
  </si>
  <si>
    <t>2255439940002656</t>
  </si>
  <si>
    <t>32285001770725</t>
  </si>
  <si>
    <t>893246283</t>
  </si>
  <si>
    <t>QB41 .K3363</t>
  </si>
  <si>
    <t>0                      QB 0041000K  3363</t>
  </si>
  <si>
    <t>Kepler's Conversation with Galileo's Sidereal messenger / 1st complete translation, with an introd. and notes, by Edward Rosen.</t>
  </si>
  <si>
    <t>Kepler, Johannes, 1571-1630.</t>
  </si>
  <si>
    <t>New York : Johnson Reprint Corp., 1965.</t>
  </si>
  <si>
    <t>The Sources of science ; no. 5</t>
  </si>
  <si>
    <t>2005-04-04</t>
  </si>
  <si>
    <t>1993-10-29</t>
  </si>
  <si>
    <t>1746302:eng</t>
  </si>
  <si>
    <t>728474</t>
  </si>
  <si>
    <t>991003203549702656</t>
  </si>
  <si>
    <t>2263064540002656</t>
  </si>
  <si>
    <t>32285001795680</t>
  </si>
  <si>
    <t>893434739</t>
  </si>
  <si>
    <t>QB41 .K4613 1981</t>
  </si>
  <si>
    <t>0                      QB 0041000K  4613        1981</t>
  </si>
  <si>
    <t>Mysterium cosmographicum = the secret of the universe / Johannes Kepler ; translation by A.M. Duncan ; introd. and commentary by E.J. Aiton ; with a pref. by I. Bernard Cohen.</t>
  </si>
  <si>
    <t>New York : Abaris, 1981.</t>
  </si>
  <si>
    <t>The Janus library ; v. 9</t>
  </si>
  <si>
    <t>5091264069:eng</t>
  </si>
  <si>
    <t>7818434</t>
  </si>
  <si>
    <t>991005164819702656</t>
  </si>
  <si>
    <t>2258082410002656</t>
  </si>
  <si>
    <t>9780913870648</t>
  </si>
  <si>
    <t>32285001431203</t>
  </si>
  <si>
    <t>893613236</t>
  </si>
  <si>
    <t>QB41.A73 S75213 2003</t>
  </si>
  <si>
    <t>0                      QB 0041000A  73                 S  75213       2003</t>
  </si>
  <si>
    <t>Simplicius On Aristotle's "On the Heavens 1.5-9" ; translated by R.J. Hankinson.</t>
  </si>
  <si>
    <t>Simplicius, of Cilicia</t>
  </si>
  <si>
    <t>Ithaca, N.Y. : Cornell University Press, 2004.</t>
  </si>
  <si>
    <t>Ancient commentators on Aristotle</t>
  </si>
  <si>
    <t>2004-11-08</t>
  </si>
  <si>
    <t>5615368998:eng</t>
  </si>
  <si>
    <t>51931107</t>
  </si>
  <si>
    <t>991004398139702656</t>
  </si>
  <si>
    <t>2263264250002656</t>
  </si>
  <si>
    <t>9780801442124</t>
  </si>
  <si>
    <t>32285005009534</t>
  </si>
  <si>
    <t>893349961</t>
  </si>
  <si>
    <t>QB41.C815 K8</t>
  </si>
  <si>
    <t>0                      QB 0041000C  815                K  8</t>
  </si>
  <si>
    <t>The Copernican revolution : planetary astronomy in the development of Western thought.</t>
  </si>
  <si>
    <t>Kuhn, Thomas S.</t>
  </si>
  <si>
    <t>Cambridge : Harvard University Press, 1957.</t>
  </si>
  <si>
    <t>1957</t>
  </si>
  <si>
    <t>2005-10-09</t>
  </si>
  <si>
    <t>1994-01-06</t>
  </si>
  <si>
    <t>4928923554:eng</t>
  </si>
  <si>
    <t>535467</t>
  </si>
  <si>
    <t>991002942079702656</t>
  </si>
  <si>
    <t>2263382410002656</t>
  </si>
  <si>
    <t>32285001828929</t>
  </si>
  <si>
    <t>893598079</t>
  </si>
  <si>
    <t>QB41.G178 D7 1983</t>
  </si>
  <si>
    <t>0                      QB 0041000G  178                D  7           1983</t>
  </si>
  <si>
    <t>Telescopes, tides, and tactics : a Galilean dialogue about the Starry messenger and systems of the world / Stillman Drake.</t>
  </si>
  <si>
    <t>Chicago : University of Chicago, c1983.</t>
  </si>
  <si>
    <t>1995-11-12</t>
  </si>
  <si>
    <t>1991-06-11</t>
  </si>
  <si>
    <t>1122299598:eng</t>
  </si>
  <si>
    <t>9154311</t>
  </si>
  <si>
    <t>991000139859702656</t>
  </si>
  <si>
    <t>2264522980002656</t>
  </si>
  <si>
    <t>9780226162317</t>
  </si>
  <si>
    <t>32285000655190</t>
  </si>
  <si>
    <t>893327061</t>
  </si>
  <si>
    <t>QB41.K422 L4</t>
  </si>
  <si>
    <t>0                      QB 0041000K  422                L  4</t>
  </si>
  <si>
    <t>Kepler's Dream / with the full text and notes of Somnium, sive Astronomia lunaris Joannis Kepleri. Translated by Patricia Frueh Kirkwood.</t>
  </si>
  <si>
    <t>Lear, John.</t>
  </si>
  <si>
    <t>Berkeley : University of California Press, 1965.</t>
  </si>
  <si>
    <t>2002-10-31</t>
  </si>
  <si>
    <t>375545620:eng</t>
  </si>
  <si>
    <t>553340</t>
  </si>
  <si>
    <t>991002978359702656</t>
  </si>
  <si>
    <t>2258959510002656</t>
  </si>
  <si>
    <t>32285001829463</t>
  </si>
  <si>
    <t>893498793</t>
  </si>
  <si>
    <t>QB415 .D2</t>
  </si>
  <si>
    <t>0                      QB 0415000D  2</t>
  </si>
  <si>
    <t>The tides and kindred phenomena in the solar system : the substance of lectures delivered in 1897 at the Lowell institute, Boston, Massachusetts / by George Howard Darwin.</t>
  </si>
  <si>
    <t>Boston ; New York : Houghton, Mifflin and company, 1898.</t>
  </si>
  <si>
    <t>1898</t>
  </si>
  <si>
    <t>1993-08-09</t>
  </si>
  <si>
    <t>3943536490:eng</t>
  </si>
  <si>
    <t>2855069</t>
  </si>
  <si>
    <t>991004263159702656</t>
  </si>
  <si>
    <t>2265943590002656</t>
  </si>
  <si>
    <t>32285001751253</t>
  </si>
  <si>
    <t>893331379</t>
  </si>
  <si>
    <t>QB415 .D413</t>
  </si>
  <si>
    <t>0                      QB 0415000D  413</t>
  </si>
  <si>
    <t>Ebb and flow : the tides of earth, air, and water / [Translated by A. J. Pomerans]</t>
  </si>
  <si>
    <t>Defant, Albert, 1884-1974.</t>
  </si>
  <si>
    <t>Ann Arbor : University of Michigan Press, [1958]</t>
  </si>
  <si>
    <t>1958</t>
  </si>
  <si>
    <t>miu</t>
  </si>
  <si>
    <t>Ann Arbor science library</t>
  </si>
  <si>
    <t>2008-11-19</t>
  </si>
  <si>
    <t>1994-04-12</t>
  </si>
  <si>
    <t>4714349067:eng</t>
  </si>
  <si>
    <t>229078</t>
  </si>
  <si>
    <t>991001400139702656</t>
  </si>
  <si>
    <t>2256440410002656</t>
  </si>
  <si>
    <t>32285001886091</t>
  </si>
  <si>
    <t>893772577</t>
  </si>
  <si>
    <t>QB415 .M3 1926</t>
  </si>
  <si>
    <t>0                      QB 0415000M  3           1926</t>
  </si>
  <si>
    <t>The tide / by H.A. Marmer.</t>
  </si>
  <si>
    <t>Marmer, H. A. (Harry Aaron), 1885-</t>
  </si>
  <si>
    <t>New York ; London : D. Appleton and Company, 1926.</t>
  </si>
  <si>
    <t>1926</t>
  </si>
  <si>
    <t>1995-11-13</t>
  </si>
  <si>
    <t>1993-07-08</t>
  </si>
  <si>
    <t>1510880:eng</t>
  </si>
  <si>
    <t>519059</t>
  </si>
  <si>
    <t>991002905049702656</t>
  </si>
  <si>
    <t>2256996420002656</t>
  </si>
  <si>
    <t>32285001432797</t>
  </si>
  <si>
    <t>893530617</t>
  </si>
  <si>
    <t>32285001432789</t>
  </si>
  <si>
    <t>893511338</t>
  </si>
  <si>
    <t>QB415 .W3 1922</t>
  </si>
  <si>
    <t>0                      QB 0415000W  3           1922</t>
  </si>
  <si>
    <t>Tides and tidal streams : a manual compiled for the use of seamen / by Commander H.D. Warburg.</t>
  </si>
  <si>
    <t>Warburg, Harold Dreyer.</t>
  </si>
  <si>
    <t>Cambridge, [Eng.] : The University Press, 1922.</t>
  </si>
  <si>
    <t>1922</t>
  </si>
  <si>
    <t>1994-12-22</t>
  </si>
  <si>
    <t>422823084:eng</t>
  </si>
  <si>
    <t>530316</t>
  </si>
  <si>
    <t>991002929059702656</t>
  </si>
  <si>
    <t>2266605270002656</t>
  </si>
  <si>
    <t>32285001978419</t>
  </si>
  <si>
    <t>893698445</t>
  </si>
  <si>
    <t>QB43.2 .C47 1989</t>
  </si>
  <si>
    <t>0                      QB 0043200C  47          1989</t>
  </si>
  <si>
    <t>Cosmic catastrophes / Clark R. Chapman and David Morrison.</t>
  </si>
  <si>
    <t>Chapman, Clark R.</t>
  </si>
  <si>
    <t>New York : Plenum Press, c1989.</t>
  </si>
  <si>
    <t>1992-03-21</t>
  </si>
  <si>
    <t>1990-06-13</t>
  </si>
  <si>
    <t>11146796:eng</t>
  </si>
  <si>
    <t>18739464</t>
  </si>
  <si>
    <t>991001387579702656</t>
  </si>
  <si>
    <t>2261514400002656</t>
  </si>
  <si>
    <t>9780306431630</t>
  </si>
  <si>
    <t>32285000177237</t>
  </si>
  <si>
    <t>893250212</t>
  </si>
  <si>
    <t>QB43.2 .G53 2003</t>
  </si>
  <si>
    <t>0                      QB 0043200G  53          2003</t>
  </si>
  <si>
    <t>Astronomy demystified / Stan Gibilisco.</t>
  </si>
  <si>
    <t>Gibilisco, Stan.</t>
  </si>
  <si>
    <t>New York : McGraw-Hill, c2003.</t>
  </si>
  <si>
    <t>McGraw-Hill "Demystified" series</t>
  </si>
  <si>
    <t>2004-12-03</t>
  </si>
  <si>
    <t>2002-10-30</t>
  </si>
  <si>
    <t>981339:eng</t>
  </si>
  <si>
    <t>50545002</t>
  </si>
  <si>
    <t>991003907419702656</t>
  </si>
  <si>
    <t>2256673540002656</t>
  </si>
  <si>
    <t>9780071384278</t>
  </si>
  <si>
    <t>32285004658570</t>
  </si>
  <si>
    <t>893599193</t>
  </si>
  <si>
    <t>QB43.2 .H37</t>
  </si>
  <si>
    <t>0                      QB 0043200H  37</t>
  </si>
  <si>
    <t>Cosmic discovery : the search, scope, and heritage of astronomy / Martin Harwit.</t>
  </si>
  <si>
    <t>Harwit, Martin, 1931-</t>
  </si>
  <si>
    <t>New York : Basic Books, c1981.</t>
  </si>
  <si>
    <t>502580207:eng</t>
  </si>
  <si>
    <t>7278089</t>
  </si>
  <si>
    <t>991005098599702656</t>
  </si>
  <si>
    <t>2263093580002656</t>
  </si>
  <si>
    <t>9780465014286</t>
  </si>
  <si>
    <t>32285001431278</t>
  </si>
  <si>
    <t>893613117</t>
  </si>
  <si>
    <t>QB43.2 .H7</t>
  </si>
  <si>
    <t>0                      QB 0043200H  7</t>
  </si>
  <si>
    <t>The physics-astronomy frontier / Fred Hoyle, Jayant Narlikar ; John Faulkner, editoral consultant ; [artists, Evan Gillespie and John and Jean Foster].</t>
  </si>
  <si>
    <t>San Francisco : W. H. Freeman, c1980.</t>
  </si>
  <si>
    <t>1996-03-31</t>
  </si>
  <si>
    <t>9349464570:eng</t>
  </si>
  <si>
    <t>6085857</t>
  </si>
  <si>
    <t>991004925859702656</t>
  </si>
  <si>
    <t>2261009530002656</t>
  </si>
  <si>
    <t>9780716711605</t>
  </si>
  <si>
    <t>32285001431286</t>
  </si>
  <si>
    <t>893436909</t>
  </si>
  <si>
    <t>QB43.2 .J43</t>
  </si>
  <si>
    <t>0                      QB 0043200J  43</t>
  </si>
  <si>
    <t>Discovering astronomy / William H. Jefferys, R. Robert Robbins.</t>
  </si>
  <si>
    <t>Jefferys, William H.</t>
  </si>
  <si>
    <t>1997-02-11</t>
  </si>
  <si>
    <t>11000655:eng</t>
  </si>
  <si>
    <t>6762067</t>
  </si>
  <si>
    <t>991005036529702656</t>
  </si>
  <si>
    <t>2258401280002656</t>
  </si>
  <si>
    <t>9780471441250</t>
  </si>
  <si>
    <t>32285001431294</t>
  </si>
  <si>
    <t>893507516</t>
  </si>
  <si>
    <t>QB43.2 .K555 1995</t>
  </si>
  <si>
    <t>0                      QB 0043200K  555         1995</t>
  </si>
  <si>
    <t>Telescopes and techniques : an introduction to practical astronomy / C.R. Kitchin.</t>
  </si>
  <si>
    <t>Kitchin, C. R. (Christopher R.)</t>
  </si>
  <si>
    <t>London ; New York : Springer, c1995.</t>
  </si>
  <si>
    <t>Practical astronomy</t>
  </si>
  <si>
    <t>2009-01-13</t>
  </si>
  <si>
    <t>4926303752:eng</t>
  </si>
  <si>
    <t>32201546</t>
  </si>
  <si>
    <t>991005289939702656</t>
  </si>
  <si>
    <t>2271927770002656</t>
  </si>
  <si>
    <t>9780387198989</t>
  </si>
  <si>
    <t>32285005477657</t>
  </si>
  <si>
    <t>893514395</t>
  </si>
  <si>
    <t>QB43.2 .M58 1986</t>
  </si>
  <si>
    <t>0                      QB 0043200M  58          1986</t>
  </si>
  <si>
    <t>Invitation to astronomy / Simon and Jacqueline Mitton.</t>
  </si>
  <si>
    <t>Mitton, Simon, 1946-</t>
  </si>
  <si>
    <t>Oxford [Oxfordshire] ; New York, NY : Blackwell, 1986.</t>
  </si>
  <si>
    <t>1986</t>
  </si>
  <si>
    <t>Invitation series</t>
  </si>
  <si>
    <t>4937389:eng</t>
  </si>
  <si>
    <t>12312518</t>
  </si>
  <si>
    <t>991000668949702656</t>
  </si>
  <si>
    <t>2272221460002656</t>
  </si>
  <si>
    <t>9780631146957</t>
  </si>
  <si>
    <t>32285001431310</t>
  </si>
  <si>
    <t>893808778</t>
  </si>
  <si>
    <t>QB43.2 .N53 1999</t>
  </si>
  <si>
    <t>0                      QB 0043200N  53          1999</t>
  </si>
  <si>
    <t>Unfolding our universe / Iain Nicolson ; original illustrations by Mark McLellan.</t>
  </si>
  <si>
    <t>Nicolson, Iain.</t>
  </si>
  <si>
    <t>Cambridge ; New York : Cambridge University Press, 1999.</t>
  </si>
  <si>
    <t>2001-09-17</t>
  </si>
  <si>
    <t>2000-07-06</t>
  </si>
  <si>
    <t>13634107:eng</t>
  </si>
  <si>
    <t>40668303</t>
  </si>
  <si>
    <t>991003199649702656</t>
  </si>
  <si>
    <t>2254989970002656</t>
  </si>
  <si>
    <t>9780521592703</t>
  </si>
  <si>
    <t>32285003686986</t>
  </si>
  <si>
    <t>893422275</t>
  </si>
  <si>
    <t>QB43.2 .P33 1996</t>
  </si>
  <si>
    <t>0                      QB 0043200P  33          1996</t>
  </si>
  <si>
    <t>Chaos in the cosmos : the stunning complexity of the universe / Barry Parker.</t>
  </si>
  <si>
    <t>New York : Plenum Press, c1996.</t>
  </si>
  <si>
    <t>1996</t>
  </si>
  <si>
    <t>1997-08-26</t>
  </si>
  <si>
    <t>1996-12-02</t>
  </si>
  <si>
    <t>797238256:eng</t>
  </si>
  <si>
    <t>34151612</t>
  </si>
  <si>
    <t>991002608079702656</t>
  </si>
  <si>
    <t>2260591160002656</t>
  </si>
  <si>
    <t>9780306452611</t>
  </si>
  <si>
    <t>32285002387289</t>
  </si>
  <si>
    <t>893616324</t>
  </si>
  <si>
    <t>QB43.2 .S54 1982</t>
  </si>
  <si>
    <t>0                      QB 0043200S  54          1982</t>
  </si>
  <si>
    <t>The physical universe : an introduction to astronomy / Frank H. Shu.</t>
  </si>
  <si>
    <t>Shu, Frank H.</t>
  </si>
  <si>
    <t>Mill Valley, Calif. : University Science Books, c1982.</t>
  </si>
  <si>
    <t>A Series of books in astronomy</t>
  </si>
  <si>
    <t>2005-05-01</t>
  </si>
  <si>
    <t>364486578:eng</t>
  </si>
  <si>
    <t>8805302</t>
  </si>
  <si>
    <t>991000074709702656</t>
  </si>
  <si>
    <t>2270406500002656</t>
  </si>
  <si>
    <t>9780935702057</t>
  </si>
  <si>
    <t>32285001431385</t>
  </si>
  <si>
    <t>893595242</t>
  </si>
  <si>
    <t>QB43.2 .U5713 1991</t>
  </si>
  <si>
    <t>0                      QB 0043200U  5713        1991</t>
  </si>
  <si>
    <t>The new cosmos / Albrecht Unsöld, Bodo Baschek ; translated by William D. Brewer.</t>
  </si>
  <si>
    <t>Unsöld, Albrecht, 1905-1995.</t>
  </si>
  <si>
    <t>Berlin ; New York : Springer-Verlag, c1991.</t>
  </si>
  <si>
    <t>4th completely rev. ed.</t>
  </si>
  <si>
    <t>1995-09-25</t>
  </si>
  <si>
    <t>1992-11-02</t>
  </si>
  <si>
    <t>4916418164:eng</t>
  </si>
  <si>
    <t>24175016</t>
  </si>
  <si>
    <t>991001915629702656</t>
  </si>
  <si>
    <t>2259051760002656</t>
  </si>
  <si>
    <t>9780387525938</t>
  </si>
  <si>
    <t>32285001360212</t>
  </si>
  <si>
    <t>893590738</t>
  </si>
  <si>
    <t>QB43.2 .V35613 1996</t>
  </si>
  <si>
    <t>0                      QB 0043200V  35613       1996</t>
  </si>
  <si>
    <t>Unveiling the universe : an introduction to astronomy / J.E. van Zyl.</t>
  </si>
  <si>
    <t>Van Zyl, J. E. (Johannes Ebenhaezer), 1913-</t>
  </si>
  <si>
    <t>London ; New York : Springer, c1996.</t>
  </si>
  <si>
    <t>2000-11-12</t>
  </si>
  <si>
    <t>1997-05-08</t>
  </si>
  <si>
    <t>194055800:eng</t>
  </si>
  <si>
    <t>34515156</t>
  </si>
  <si>
    <t>991002633739702656</t>
  </si>
  <si>
    <t>2271918820002656</t>
  </si>
  <si>
    <t>9783540760238</t>
  </si>
  <si>
    <t>32285002606209</t>
  </si>
  <si>
    <t>893685588</t>
  </si>
  <si>
    <t>QB43.2 .Z43 1983</t>
  </si>
  <si>
    <t>0                      QB 0043200Z  43          1983</t>
  </si>
  <si>
    <t>Astronomy, the cosmic perspective / Michael Zeilik, John Gaustad.</t>
  </si>
  <si>
    <t>Zeilik, Michael.</t>
  </si>
  <si>
    <t>New York : Harper &amp; Row, c1983.</t>
  </si>
  <si>
    <t>1996-02-12</t>
  </si>
  <si>
    <t>1990-03-29</t>
  </si>
  <si>
    <t>3901198784:eng</t>
  </si>
  <si>
    <t>9084680</t>
  </si>
  <si>
    <t>991000127679702656</t>
  </si>
  <si>
    <t>2255432530002656</t>
  </si>
  <si>
    <t>9780060473877</t>
  </si>
  <si>
    <t>32285000106459</t>
  </si>
  <si>
    <t>893896635</t>
  </si>
  <si>
    <t>QB44 .B32</t>
  </si>
  <si>
    <t>0                      QB 0044000B  32</t>
  </si>
  <si>
    <t>Astronomy / Frank N. Bash, consulting author.</t>
  </si>
  <si>
    <t>Bash, Frank N.</t>
  </si>
  <si>
    <t>New York : Harper &amp; Row, c1977.</t>
  </si>
  <si>
    <t>1996-02-10</t>
  </si>
  <si>
    <t>1992-03-31</t>
  </si>
  <si>
    <t>7090612:eng</t>
  </si>
  <si>
    <t>3015956</t>
  </si>
  <si>
    <t>991004318899702656</t>
  </si>
  <si>
    <t>2271099800002656</t>
  </si>
  <si>
    <t>9780060438531</t>
  </si>
  <si>
    <t>32285001050284</t>
  </si>
  <si>
    <t>893605873</t>
  </si>
  <si>
    <t>QB44 .K713</t>
  </si>
  <si>
    <t>0                      QB 0044000K  713</t>
  </si>
  <si>
    <t>The stars, by W. Kruse and W. Dieckvoss. [Translated by Ralph Manheim]</t>
  </si>
  <si>
    <t>Kruse, Willy, 1889-1945.</t>
  </si>
  <si>
    <t>Ann Arbor, University of Michigan Press [1957]</t>
  </si>
  <si>
    <t>1998-04-27</t>
  </si>
  <si>
    <t>1997-04-29</t>
  </si>
  <si>
    <t>1544140:eng</t>
  </si>
  <si>
    <t>530849</t>
  </si>
  <si>
    <t>991002930799702656</t>
  </si>
  <si>
    <t>2266539980002656</t>
  </si>
  <si>
    <t>32285002583788</t>
  </si>
  <si>
    <t>893698448</t>
  </si>
  <si>
    <t>QB44 .M56 1969</t>
  </si>
  <si>
    <t>0                      QB 0044000M  56          1969</t>
  </si>
  <si>
    <t>Suns, myths, and men.</t>
  </si>
  <si>
    <t>New York, Norton [1969, c1968]</t>
  </si>
  <si>
    <t>The Amateur astronomer's library</t>
  </si>
  <si>
    <t>2001-01-24</t>
  </si>
  <si>
    <t>460237:eng</t>
  </si>
  <si>
    <t>220379</t>
  </si>
  <si>
    <t>991001299159702656</t>
  </si>
  <si>
    <t>2261505690002656</t>
  </si>
  <si>
    <t>32285002583879</t>
  </si>
  <si>
    <t>893408028</t>
  </si>
  <si>
    <t>QB44 .O6 1954</t>
  </si>
  <si>
    <t>0                      QB 0044000O  6           1954</t>
  </si>
  <si>
    <t>Field book of the skies / rev. by R. Newton Mayall and Margaret W. Mayall.</t>
  </si>
  <si>
    <t>Olcott, William Tyler, 1873-1936.</t>
  </si>
  <si>
    <t>New York : Putnam, [1954]</t>
  </si>
  <si>
    <t>1954</t>
  </si>
  <si>
    <t>4th ed.</t>
  </si>
  <si>
    <t>Putnam's nature field books</t>
  </si>
  <si>
    <t>1996-10-27</t>
  </si>
  <si>
    <t>1993-06-01</t>
  </si>
  <si>
    <t>472665:eng</t>
  </si>
  <si>
    <t>536567</t>
  </si>
  <si>
    <t>991002944679702656</t>
  </si>
  <si>
    <t>2260856640002656</t>
  </si>
  <si>
    <t>32285001715076</t>
  </si>
  <si>
    <t>893251805</t>
  </si>
  <si>
    <t>QB44 .R47 1960</t>
  </si>
  <si>
    <t>0                      QB 0044000R  47          1960</t>
  </si>
  <si>
    <t>The fascinating world of astronomy / Robert S. Richardson.</t>
  </si>
  <si>
    <t>Richardson, Robert S. (Robert Shirley), 1902-1981.</t>
  </si>
  <si>
    <t>New York : McGraw-Hill, [1960]</t>
  </si>
  <si>
    <t>1993841:eng</t>
  </si>
  <si>
    <t>997380</t>
  </si>
  <si>
    <t>991003457199702656</t>
  </si>
  <si>
    <t>2271501560002656</t>
  </si>
  <si>
    <t>32285001431427</t>
  </si>
  <si>
    <t>893499308</t>
  </si>
  <si>
    <t>QB44.2 .G63 1991</t>
  </si>
  <si>
    <t>0                      QB 0044200G  63          1991</t>
  </si>
  <si>
    <t>The astronomers / Donald Goldsmith.</t>
  </si>
  <si>
    <t>Goldsmith, Donald.</t>
  </si>
  <si>
    <t>New York : St. Martin's Press, c1991.</t>
  </si>
  <si>
    <t>1993-04-02</t>
  </si>
  <si>
    <t>1991-05-31</t>
  </si>
  <si>
    <t>395464:eng</t>
  </si>
  <si>
    <t>22493115</t>
  </si>
  <si>
    <t>991001784539702656</t>
  </si>
  <si>
    <t>2256000630002656</t>
  </si>
  <si>
    <t>9780312053802</t>
  </si>
  <si>
    <t>32285000622042</t>
  </si>
  <si>
    <t>893534675</t>
  </si>
  <si>
    <t>QB44.2 .G65 1985</t>
  </si>
  <si>
    <t>0                      QB 0044200G  65          1985</t>
  </si>
  <si>
    <t>Nemesis : the death-star and other theories of mass extinction / Donald Goldsmith.</t>
  </si>
  <si>
    <t>New York : Walker, 1985.</t>
  </si>
  <si>
    <t>1996-02-18</t>
  </si>
  <si>
    <t>1992-11-17</t>
  </si>
  <si>
    <t>895845967:eng</t>
  </si>
  <si>
    <t>12342598</t>
  </si>
  <si>
    <t>991000673999702656</t>
  </si>
  <si>
    <t>2268708360002656</t>
  </si>
  <si>
    <t>9780802708724</t>
  </si>
  <si>
    <t>32285001405629</t>
  </si>
  <si>
    <t>893790750</t>
  </si>
  <si>
    <t>QB44.2 .G753</t>
  </si>
  <si>
    <t>0                      QB 0044200G  753</t>
  </si>
  <si>
    <t>Genesis : the origins of man and the universe / John Gribbin.</t>
  </si>
  <si>
    <t>Gribbin, John, 1946-</t>
  </si>
  <si>
    <t>New York : Delacorte Press/Eleanor Friede, c1981.</t>
  </si>
  <si>
    <t>1995-12-06</t>
  </si>
  <si>
    <t>796518172:eng</t>
  </si>
  <si>
    <t>6861550</t>
  </si>
  <si>
    <t>991005047919702656</t>
  </si>
  <si>
    <t>2271267070002656</t>
  </si>
  <si>
    <t>9780440028321</t>
  </si>
  <si>
    <t>32285001431443</t>
  </si>
  <si>
    <t>893446523</t>
  </si>
  <si>
    <t>QB44.2 .J36 1979</t>
  </si>
  <si>
    <t>0                      QB 0044200J  36          1979</t>
  </si>
  <si>
    <t>Red giants and white dwarfs / Robert Jastrow.</t>
  </si>
  <si>
    <t>Jastrow, Robert, 1925-2008.</t>
  </si>
  <si>
    <t>New York : W. W. Norton, c1979.</t>
  </si>
  <si>
    <t>1979</t>
  </si>
  <si>
    <t>New ed.</t>
  </si>
  <si>
    <t>1993-05-28</t>
  </si>
  <si>
    <t>119932567:eng</t>
  </si>
  <si>
    <t>5782277</t>
  </si>
  <si>
    <t>991004874969702656</t>
  </si>
  <si>
    <t>2267137680002656</t>
  </si>
  <si>
    <t>9780393850024</t>
  </si>
  <si>
    <t>32285000222181</t>
  </si>
  <si>
    <t>893338225</t>
  </si>
  <si>
    <t>QB44.2 .M43 1979</t>
  </si>
  <si>
    <t>0                      QB 0044200M  43          1979</t>
  </si>
  <si>
    <t>Astronomy and the origin of the earth / Theodore Mehlin, Charles A. Schweighauser.</t>
  </si>
  <si>
    <t>Mehlin, Theodore Grefe, 1906-</t>
  </si>
  <si>
    <t>Dubuque, Iowa : W. C. Brown Co., c1979.</t>
  </si>
  <si>
    <t>3d ed.</t>
  </si>
  <si>
    <t>iau</t>
  </si>
  <si>
    <t>1995-09-11</t>
  </si>
  <si>
    <t>1991-07-10</t>
  </si>
  <si>
    <t>1399842:eng</t>
  </si>
  <si>
    <t>4933534</t>
  </si>
  <si>
    <t>991004751019702656</t>
  </si>
  <si>
    <t>2268906670002656</t>
  </si>
  <si>
    <t>9780697050182</t>
  </si>
  <si>
    <t>32285000648583</t>
  </si>
  <si>
    <t>893594056</t>
  </si>
  <si>
    <t>QB44.2 .M869</t>
  </si>
  <si>
    <t>0                      QB 0044200M  869</t>
  </si>
  <si>
    <t>Catalogue of the universe / by Paul Murdin and David Allen ; with original photos. by David Malin.</t>
  </si>
  <si>
    <t>Murdin, Paul.</t>
  </si>
  <si>
    <t>New York : Crown Publishers, 1979.</t>
  </si>
  <si>
    <t>1996-02-29</t>
  </si>
  <si>
    <t>12161739:eng</t>
  </si>
  <si>
    <t>4638967</t>
  </si>
  <si>
    <t>991004695409702656</t>
  </si>
  <si>
    <t>2255825290002656</t>
  </si>
  <si>
    <t>9780517536162</t>
  </si>
  <si>
    <t>32285000222199</t>
  </si>
  <si>
    <t>893331920</t>
  </si>
  <si>
    <t>QB44.2 .S59 1984</t>
  </si>
  <si>
    <t>0                      QB 0044200S  59          1984</t>
  </si>
  <si>
    <t>The cosmic cycle / Theodore P. Snow.</t>
  </si>
  <si>
    <t>Snow, Theodore P. (Theodore Peck)</t>
  </si>
  <si>
    <t>Princeton, N.J. : Darwin Press, c1984.</t>
  </si>
  <si>
    <t>1995-04-11</t>
  </si>
  <si>
    <t>43221138:eng</t>
  </si>
  <si>
    <t>9827538</t>
  </si>
  <si>
    <t>991000263439702656</t>
  </si>
  <si>
    <t>2269169540002656</t>
  </si>
  <si>
    <t>9780878500413</t>
  </si>
  <si>
    <t>32285001431518</t>
  </si>
  <si>
    <t>893527931</t>
  </si>
  <si>
    <t>QB45 .F815 1997</t>
  </si>
  <si>
    <t>0                      QB 0045000F  815         1997</t>
  </si>
  <si>
    <t>Voyages through the universe / Andrew Fraknoi, David Morrison, Sidney Wolff.</t>
  </si>
  <si>
    <t>Fraknoi, Andrew.</t>
  </si>
  <si>
    <t>Fort Worth : Saunders College Pub., c1997.</t>
  </si>
  <si>
    <t>pau</t>
  </si>
  <si>
    <t>Saunders golden sunburst series</t>
  </si>
  <si>
    <t>2001-02-06</t>
  </si>
  <si>
    <t>1998-05-06</t>
  </si>
  <si>
    <t>3133963682:eng</t>
  </si>
  <si>
    <t>36411754</t>
  </si>
  <si>
    <t>991002772729702656</t>
  </si>
  <si>
    <t>2271129410002656</t>
  </si>
  <si>
    <t>32285003406468</t>
  </si>
  <si>
    <t>893622707</t>
  </si>
  <si>
    <t>QB45 .M693 1979</t>
  </si>
  <si>
    <t>0                      QB 0045000M  693         1979</t>
  </si>
  <si>
    <t>Astronomy : an introduction for the amateur astronomer / Jaqueline Mitton.</t>
  </si>
  <si>
    <t>Mitton, Jacqueline.</t>
  </si>
  <si>
    <t>New York : Scribner, [1979] c1978.</t>
  </si>
  <si>
    <t>3768899472:eng</t>
  </si>
  <si>
    <t>4136466</t>
  </si>
  <si>
    <t>991004595249702656</t>
  </si>
  <si>
    <t>2258145430002656</t>
  </si>
  <si>
    <t>9780684160429</t>
  </si>
  <si>
    <t>32285001431534</t>
  </si>
  <si>
    <t>893331810</t>
  </si>
  <si>
    <t>QB45 .P289</t>
  </si>
  <si>
    <t>0                      QB 0045000P  289</t>
  </si>
  <si>
    <t>Astronomy now / Jay M. Pasachoff. --</t>
  </si>
  <si>
    <t>Pasachoff, Jay M.</t>
  </si>
  <si>
    <t>Philadelphia : Saunders, 1978.</t>
  </si>
  <si>
    <t>1999-09-21</t>
  </si>
  <si>
    <t>3373096205:eng</t>
  </si>
  <si>
    <t>3311908</t>
  </si>
  <si>
    <t>991004403739702656</t>
  </si>
  <si>
    <t>2271541810002656</t>
  </si>
  <si>
    <t>9780721671000</t>
  </si>
  <si>
    <t>32285001431575</t>
  </si>
  <si>
    <t>893876064</t>
  </si>
  <si>
    <t>QB45 .P29</t>
  </si>
  <si>
    <t>0                      QB 0045000P  29</t>
  </si>
  <si>
    <t>Contemporary astronomy / Jay M. Pasachoff.</t>
  </si>
  <si>
    <t>Philadelphia : Saunders, 1977.</t>
  </si>
  <si>
    <t>1998-09-17</t>
  </si>
  <si>
    <t>3252644:eng</t>
  </si>
  <si>
    <t>2644671</t>
  </si>
  <si>
    <t>991004196439702656</t>
  </si>
  <si>
    <t>2255238340002656</t>
  </si>
  <si>
    <t>9780721671017</t>
  </si>
  <si>
    <t>32285002584315</t>
  </si>
  <si>
    <t>893875799</t>
  </si>
  <si>
    <t>QB45 .S587</t>
  </si>
  <si>
    <t>0                      QB 0045000S  587</t>
  </si>
  <si>
    <t>Introductory astronomy and astrophysics / [by] Elske v. P. Smith [and] Kenneth C. Jacobs.</t>
  </si>
  <si>
    <t>Smith, Elske v. P. (Elske van Panhuys), 1929-</t>
  </si>
  <si>
    <t>Philadelphia : Saunders, 1973.</t>
  </si>
  <si>
    <t>1997-05-03</t>
  </si>
  <si>
    <t>1994-06-10</t>
  </si>
  <si>
    <t>5616723995:eng</t>
  </si>
  <si>
    <t>688169</t>
  </si>
  <si>
    <t>991003148009702656</t>
  </si>
  <si>
    <t>2272222100002656</t>
  </si>
  <si>
    <t>9780721683874</t>
  </si>
  <si>
    <t>32285001928810</t>
  </si>
  <si>
    <t>893623197</t>
  </si>
  <si>
    <t>QB450 .G75 2000</t>
  </si>
  <si>
    <t>0                      QB 0450000G  75          2000</t>
  </si>
  <si>
    <t>Stardust : supernovae and life-- the cosmic connection / John Gribbin with Mary Gribbin.</t>
  </si>
  <si>
    <t>New Haven : Yale University Press, c2000.</t>
  </si>
  <si>
    <t>2008-11-18</t>
  </si>
  <si>
    <t>2002-07-09</t>
  </si>
  <si>
    <t>19198656:eng</t>
  </si>
  <si>
    <t>43701624</t>
  </si>
  <si>
    <t>991003827219702656</t>
  </si>
  <si>
    <t>2271474800002656</t>
  </si>
  <si>
    <t>9780300084191</t>
  </si>
  <si>
    <t>32285004496880</t>
  </si>
  <si>
    <t>893343069</t>
  </si>
  <si>
    <t>QB46 .D53 1987</t>
  </si>
  <si>
    <t>0                      QB 0046000D  53          1987</t>
  </si>
  <si>
    <t>Exploring the night sky : the equinox astronomy guide for beginners / Terence Dickinson ; principal illustrations by John Bianchi.</t>
  </si>
  <si>
    <t>Dickinson, Terence.</t>
  </si>
  <si>
    <t>Camden East, Ont. : Camden House, 1987.</t>
  </si>
  <si>
    <t>1987</t>
  </si>
  <si>
    <t>2009-10-07</t>
  </si>
  <si>
    <t>1993-04-13</t>
  </si>
  <si>
    <t>986885:eng</t>
  </si>
  <si>
    <t>16174200</t>
  </si>
  <si>
    <t>991004447989702656</t>
  </si>
  <si>
    <t>2269715480002656</t>
  </si>
  <si>
    <t>9780920656648</t>
  </si>
  <si>
    <t>32285001445344</t>
  </si>
  <si>
    <t>893682578</t>
  </si>
  <si>
    <t>QB460.72.T97 A3 2004</t>
  </si>
  <si>
    <t>0                      QB 0460720T  97                 A  3           2004</t>
  </si>
  <si>
    <t>The sky is not the limit : adventures of an urban astrophysicist / Neil deGrasse Tyson.</t>
  </si>
  <si>
    <t>Tyson, Neil deGrasse.</t>
  </si>
  <si>
    <t>Amherst, N.Y. : Prometheus Books, c2004.</t>
  </si>
  <si>
    <t>2005-01-04</t>
  </si>
  <si>
    <t>807836:eng</t>
  </si>
  <si>
    <t>54499923</t>
  </si>
  <si>
    <t>991004433479702656</t>
  </si>
  <si>
    <t>2267777020002656</t>
  </si>
  <si>
    <t>9781591021889</t>
  </si>
  <si>
    <t>32285005018493</t>
  </si>
  <si>
    <t>893687723</t>
  </si>
  <si>
    <t>QB461 .A568 1991</t>
  </si>
  <si>
    <t>0                      QB 0461000A  568         1991</t>
  </si>
  <si>
    <t>Atoms, stars, and nebulae / Lawrence H. Aller.</t>
  </si>
  <si>
    <t>Aller, Lawrence H. (Lawrence Hugh), 1913-2003.</t>
  </si>
  <si>
    <t>Cambridge ; New York : Cambridge University Press, 1991.</t>
  </si>
  <si>
    <t>3rd ed.</t>
  </si>
  <si>
    <t>1995-09-22</t>
  </si>
  <si>
    <t>1993-01-19</t>
  </si>
  <si>
    <t>8910230239:eng</t>
  </si>
  <si>
    <t>22112056</t>
  </si>
  <si>
    <t>991001745319702656</t>
  </si>
  <si>
    <t>2265570100002656</t>
  </si>
  <si>
    <t>9780521310406</t>
  </si>
  <si>
    <t>32285001446607</t>
  </si>
  <si>
    <t>893328341</t>
  </si>
  <si>
    <t>QB461 .C47 1989</t>
  </si>
  <si>
    <t>0                      QB 0461000C  47          1989</t>
  </si>
  <si>
    <t>Stochastic, statistical, and hydromagnetic problems in physics and astronomy / S. Chandrasekhar.</t>
  </si>
  <si>
    <t>Chandrasekhar, S. (Subrahmanyan), 1910-1995.</t>
  </si>
  <si>
    <t>Chicago : University of Chicago Press, c1989.</t>
  </si>
  <si>
    <t>Selected papers ; v. 3</t>
  </si>
  <si>
    <t>1998-12-23</t>
  </si>
  <si>
    <t>1990-06-22</t>
  </si>
  <si>
    <t>53100862:eng</t>
  </si>
  <si>
    <t>19554331</t>
  </si>
  <si>
    <t>991001472609702656</t>
  </si>
  <si>
    <t>2271081830002656</t>
  </si>
  <si>
    <t>9780226100951</t>
  </si>
  <si>
    <t>32285000179555</t>
  </si>
  <si>
    <t>893785121</t>
  </si>
  <si>
    <t>QB461 .C62 1998</t>
  </si>
  <si>
    <t>0                      QB 0461000C  62          1998</t>
  </si>
  <si>
    <t>Cosmic bullets : high energy particles in astrophysics / Roger Clay, Bruce Dawson ; foreword by Paul Davies.</t>
  </si>
  <si>
    <t>Clay, Roger, 1946-</t>
  </si>
  <si>
    <t>Reading, Mass. : Addison-Wesley, [1998]</t>
  </si>
  <si>
    <t>Frontiers of science</t>
  </si>
  <si>
    <t>2006-03-14</t>
  </si>
  <si>
    <t>1999-05-05</t>
  </si>
  <si>
    <t>8481517:eng</t>
  </si>
  <si>
    <t>38752973</t>
  </si>
  <si>
    <t>991002921059702656</t>
  </si>
  <si>
    <t>2269290440002656</t>
  </si>
  <si>
    <t>9780201360837</t>
  </si>
  <si>
    <t>32285003559167</t>
  </si>
  <si>
    <t>893233609</t>
  </si>
  <si>
    <t>QB461 .H2</t>
  </si>
  <si>
    <t>0                      QB 0461000H  2</t>
  </si>
  <si>
    <t>The study of stellar evolution; an account of some recent methods of astrophysical research, by George Ellery Hale ...</t>
  </si>
  <si>
    <t>Hale, George Ellery, 1868-1938.</t>
  </si>
  <si>
    <t>Chicago, The University of Chicago Press, 1908.</t>
  </si>
  <si>
    <t>1908</t>
  </si>
  <si>
    <t>The decennial publications of the University of Chicago. [2d series, vol. X]</t>
  </si>
  <si>
    <t>2007-11-11</t>
  </si>
  <si>
    <t>2615036:eng</t>
  </si>
  <si>
    <t>1906944</t>
  </si>
  <si>
    <t>991003933999702656</t>
  </si>
  <si>
    <t>2257256710002656</t>
  </si>
  <si>
    <t>32285002640901</t>
  </si>
  <si>
    <t>893627896</t>
  </si>
  <si>
    <t>QB461 .L36</t>
  </si>
  <si>
    <t>0                      QB 0461000L  36</t>
  </si>
  <si>
    <t>Astrophysical formulae : a compendium for the physicist and astrophysicist / Kenneth R. Lang.</t>
  </si>
  <si>
    <t>Lang, Kenneth R.</t>
  </si>
  <si>
    <t>Berlin ; New York : Springer, 1974.</t>
  </si>
  <si>
    <t>1997-12-03</t>
  </si>
  <si>
    <t>364471986:eng</t>
  </si>
  <si>
    <t>1383635</t>
  </si>
  <si>
    <t>991003732009702656</t>
  </si>
  <si>
    <t>2263909280002656</t>
  </si>
  <si>
    <t>9780387066059</t>
  </si>
  <si>
    <t>32285001432854</t>
  </si>
  <si>
    <t>893894051</t>
  </si>
  <si>
    <t>QB461 .L52</t>
  </si>
  <si>
    <t>0                      QB 0461000L  52</t>
  </si>
  <si>
    <t>Space astrophysics.</t>
  </si>
  <si>
    <t>Liller, William, 1927-, editor.</t>
  </si>
  <si>
    <t>New York, McGraw-Hill, 1961.</t>
  </si>
  <si>
    <t>1961</t>
  </si>
  <si>
    <t>The University of Michigan Institute of Science and Technology series</t>
  </si>
  <si>
    <t>2000-01-24</t>
  </si>
  <si>
    <t>1574400:eng</t>
  </si>
  <si>
    <t>543841</t>
  </si>
  <si>
    <t>991002960829702656</t>
  </si>
  <si>
    <t>2265401580002656</t>
  </si>
  <si>
    <t>32285002640950</t>
  </si>
  <si>
    <t>893622958</t>
  </si>
  <si>
    <t>QB461 .R28 1992</t>
  </si>
  <si>
    <t>0                      QB 0461000R  28          1992</t>
  </si>
  <si>
    <t>General relativity, astrophysics, and cosmology / A.K. Raychaudhuri, S. Banerji, A. Banerjee.</t>
  </si>
  <si>
    <t>Raychaudhuri, A. K.</t>
  </si>
  <si>
    <t>New York : Springer-Verlag, c1992.</t>
  </si>
  <si>
    <t>Astronomy and astrophysics library</t>
  </si>
  <si>
    <t>1996-04-01</t>
  </si>
  <si>
    <t>1993-10-26</t>
  </si>
  <si>
    <t>689986:eng</t>
  </si>
  <si>
    <t>25282848</t>
  </si>
  <si>
    <t>991001990929702656</t>
  </si>
  <si>
    <t>2271303800002656</t>
  </si>
  <si>
    <t>9780387978130</t>
  </si>
  <si>
    <t>32285001788214</t>
  </si>
  <si>
    <t>893715923</t>
  </si>
  <si>
    <t>QB461 .R58</t>
  </si>
  <si>
    <t>0                      QB 0461000R  58</t>
  </si>
  <si>
    <t>Astrophysics [by] William K. Rose.</t>
  </si>
  <si>
    <t>Rose, William K. (William Kenneth), 1935-</t>
  </si>
  <si>
    <t>New York, Holt, Rinehart and Winston [1973]</t>
  </si>
  <si>
    <t>2008-09-14</t>
  </si>
  <si>
    <t>1720880:eng</t>
  </si>
  <si>
    <t>724052</t>
  </si>
  <si>
    <t>991003199379702656</t>
  </si>
  <si>
    <t>2254788120002656</t>
  </si>
  <si>
    <t>9780030791550</t>
  </si>
  <si>
    <t>32285002640984</t>
  </si>
  <si>
    <t>893592280</t>
  </si>
  <si>
    <t>QB461 .S3913</t>
  </si>
  <si>
    <t>0                      QB 0461000S  3913</t>
  </si>
  <si>
    <t>White dwarfs--black holes : an introduction to relativistic astrophysics / by Roman Sexl, Hannelore Sexl ; translated from the German by Patrick P. Weidhaas.</t>
  </si>
  <si>
    <t>Sexl, Roman Ulrich.</t>
  </si>
  <si>
    <t>New York : Academic Press, 1979.</t>
  </si>
  <si>
    <t>2000-04-05</t>
  </si>
  <si>
    <t>324888107:eng</t>
  </si>
  <si>
    <t>5674801</t>
  </si>
  <si>
    <t>991004855869702656</t>
  </si>
  <si>
    <t>2260290060002656</t>
  </si>
  <si>
    <t>9780126373509</t>
  </si>
  <si>
    <t>32285001432888</t>
  </si>
  <si>
    <t>893895570</t>
  </si>
  <si>
    <t>QB461 .S448 1991</t>
  </si>
  <si>
    <t>0                      QB 0461000S  448         1991</t>
  </si>
  <si>
    <t>The physics of astrophysics / Frank H. Shu.</t>
  </si>
  <si>
    <t>Mill Valley, Calif. : University Science Books, c1991.</t>
  </si>
  <si>
    <t>2010-10-06</t>
  </si>
  <si>
    <t>1992-10-07</t>
  </si>
  <si>
    <t>1992-11-03</t>
  </si>
  <si>
    <t>2864816118:eng</t>
  </si>
  <si>
    <t>24524127</t>
  </si>
  <si>
    <t>991001941129702656</t>
  </si>
  <si>
    <t>2268119460002656</t>
  </si>
  <si>
    <t>9780935702644</t>
  </si>
  <si>
    <t>32285001315679</t>
  </si>
  <si>
    <t>893596861</t>
  </si>
  <si>
    <t>32285001380855</t>
  </si>
  <si>
    <t>893603017</t>
  </si>
  <si>
    <t>QB461 .U58 1997</t>
  </si>
  <si>
    <t>0                      QB 0461000U  58          1997</t>
  </si>
  <si>
    <t>Unsolved problems in astrophysics / John N. Bahcall and Jeremiah P. Ostriker, editors.</t>
  </si>
  <si>
    <t>Princeton, N.J. : Princeton University Press, c1997.</t>
  </si>
  <si>
    <t>Princeton series in astrophysics</t>
  </si>
  <si>
    <t>2007-02-08</t>
  </si>
  <si>
    <t>1998-04-07</t>
  </si>
  <si>
    <t>8908764978:eng</t>
  </si>
  <si>
    <t>35911196</t>
  </si>
  <si>
    <t>991002735929702656</t>
  </si>
  <si>
    <t>2262476650002656</t>
  </si>
  <si>
    <t>9780691016061</t>
  </si>
  <si>
    <t>32285003383428</t>
  </si>
  <si>
    <t>893610220</t>
  </si>
  <si>
    <t>QB462.65 .H4613 1997</t>
  </si>
  <si>
    <t>0                      QB 0462650H  4613        1997</t>
  </si>
  <si>
    <t>The Einstein Tower : an intertexture of dynamic construction, relativity theory, and astronomy / Klaus Hentschel ; translated by Ann M. Hentschel.</t>
  </si>
  <si>
    <t>Hentschel, Klaus.</t>
  </si>
  <si>
    <t>Stanford, Calif. : Stanford University Press, 1997.</t>
  </si>
  <si>
    <t>Writing science</t>
  </si>
  <si>
    <t>2000-09-30</t>
  </si>
  <si>
    <t>1999-01-04</t>
  </si>
  <si>
    <t>20868913:eng</t>
  </si>
  <si>
    <t>35865501</t>
  </si>
  <si>
    <t>991002734079702656</t>
  </si>
  <si>
    <t>2262915390002656</t>
  </si>
  <si>
    <t>9780804728249</t>
  </si>
  <si>
    <t>32285003508123</t>
  </si>
  <si>
    <t>893685713</t>
  </si>
  <si>
    <t>QB462.65 .Z4513 1996</t>
  </si>
  <si>
    <t>0                      QB 0462650Z  4513        1996</t>
  </si>
  <si>
    <t>Stars and relativity / Ya. B. Zeldovich and I.D. Novikov ; translated by Eli Arlock ; edited by Kip S. Thorne and W. David Arnett.</t>
  </si>
  <si>
    <t>Zelʹdovich, I͡A. B. (I͡Akov Borisovich)</t>
  </si>
  <si>
    <t>Mineola, N.Y. : Dover Publications, 1996.</t>
  </si>
  <si>
    <t>1999-05-19</t>
  </si>
  <si>
    <t>3945665375:eng</t>
  </si>
  <si>
    <t>35650904</t>
  </si>
  <si>
    <t>991002718919702656</t>
  </si>
  <si>
    <t>2258367830002656</t>
  </si>
  <si>
    <t>9780486694245</t>
  </si>
  <si>
    <t>32285003283354</t>
  </si>
  <si>
    <t>893804936</t>
  </si>
  <si>
    <t>QB463 .P47 2003</t>
  </si>
  <si>
    <t>0                      QB 0463000P  47          2003</t>
  </si>
  <si>
    <t>Particle astrophysics / D.H. Perkins.</t>
  </si>
  <si>
    <t>Perkins, Donald H.</t>
  </si>
  <si>
    <t>Oxford : Oxford University Press, 2003.</t>
  </si>
  <si>
    <t>Oxford master series in particle physics, astrophysics, and cosmology ; 10</t>
  </si>
  <si>
    <t>2009-05-02</t>
  </si>
  <si>
    <t>2004-05-11</t>
  </si>
  <si>
    <t>5218592306:eng</t>
  </si>
  <si>
    <t>51965036</t>
  </si>
  <si>
    <t>991004274879702656</t>
  </si>
  <si>
    <t>2256752600002656</t>
  </si>
  <si>
    <t>9780198509516</t>
  </si>
  <si>
    <t>32285004905252</t>
  </si>
  <si>
    <t>893788506</t>
  </si>
  <si>
    <t>QB464 .P34</t>
  </si>
  <si>
    <t>0                      QB 0464000P  34</t>
  </si>
  <si>
    <t>Particle acceleration mechanisms in astrophysics (La Jolla Institute-1979) / editors, Jon Arons, Christopher McKee, Claire Max.</t>
  </si>
  <si>
    <t>New York : American Institute of Physics, 1979.</t>
  </si>
  <si>
    <t>AIP conference proceedings ; no. 56</t>
  </si>
  <si>
    <t>1993-06-08</t>
  </si>
  <si>
    <t>364463200:eng</t>
  </si>
  <si>
    <t>5852501</t>
  </si>
  <si>
    <t>991004888929702656</t>
  </si>
  <si>
    <t>2261864830002656</t>
  </si>
  <si>
    <t>9780883181553</t>
  </si>
  <si>
    <t>32285001432920</t>
  </si>
  <si>
    <t>893876666</t>
  </si>
  <si>
    <t>QB464 .P37 1989</t>
  </si>
  <si>
    <t>0                      QB 0464000P  37          1989</t>
  </si>
  <si>
    <t>Particle physics in the cosmos : readings from Scientific American magazine / edited by Richard A. Carrigan, Jr. and W. Peter Trower.</t>
  </si>
  <si>
    <t>New York : W.H. Freeman, c1989.</t>
  </si>
  <si>
    <t>1994-02-13</t>
  </si>
  <si>
    <t>1989-10-20</t>
  </si>
  <si>
    <t>836752062:eng</t>
  </si>
  <si>
    <t>18832980</t>
  </si>
  <si>
    <t>991001401989702656</t>
  </si>
  <si>
    <t>2259227480002656</t>
  </si>
  <si>
    <t>9780716719199</t>
  </si>
  <si>
    <t>32285000003458</t>
  </si>
  <si>
    <t>893872517</t>
  </si>
  <si>
    <t>QB465 .H43 1986</t>
  </si>
  <si>
    <t>0                      QB 0465000H  43          1986</t>
  </si>
  <si>
    <t>The analysis of starlight : one hundred and fifty years of astronomical spectroscopy / J.B. Hearnshaw.</t>
  </si>
  <si>
    <t>Hearnshaw, J. B.</t>
  </si>
  <si>
    <t>Cambridge [Cambridgeshire] ; New York : Cambridge University Press, 1986.</t>
  </si>
  <si>
    <t>2000-01-31</t>
  </si>
  <si>
    <t>4915469451:eng</t>
  </si>
  <si>
    <t>12557931</t>
  </si>
  <si>
    <t>991000707089702656</t>
  </si>
  <si>
    <t>2256491270002656</t>
  </si>
  <si>
    <t>9780521255486</t>
  </si>
  <si>
    <t>32285001432946</t>
  </si>
  <si>
    <t>893689958</t>
  </si>
  <si>
    <t>QB47 .K38</t>
  </si>
  <si>
    <t>0                      QB 0047000K  38</t>
  </si>
  <si>
    <t>The cosmic frontiers of general relativity / William J. Kaufmann, III.</t>
  </si>
  <si>
    <t>Kaufmann, William J.</t>
  </si>
  <si>
    <t>Boston : Little, Brown, c1977.</t>
  </si>
  <si>
    <t>1994-05-04</t>
  </si>
  <si>
    <t>448179:eng</t>
  </si>
  <si>
    <t>2985039</t>
  </si>
  <si>
    <t>991004308099702656</t>
  </si>
  <si>
    <t>2262078160002656</t>
  </si>
  <si>
    <t>32285001907145</t>
  </si>
  <si>
    <t>893259574</t>
  </si>
  <si>
    <t>QB471.7.B85 S3513 2002</t>
  </si>
  <si>
    <t>0                      QB 0471700B  85                 S  3513        2002</t>
  </si>
  <si>
    <t>Flash! : the hunt for the biggest explosions in the universe / Govert Schilling ; translated by Naomi Greenberg-Slovin.</t>
  </si>
  <si>
    <t>Schilling, Govert.</t>
  </si>
  <si>
    <t>Cambridge, UK ; New York, NY : Cambridge University Press, 2002.</t>
  </si>
  <si>
    <t>2005-04-20</t>
  </si>
  <si>
    <t>2003-05-20</t>
  </si>
  <si>
    <t>37563199:eng</t>
  </si>
  <si>
    <t>48571915</t>
  </si>
  <si>
    <t>991004050809702656</t>
  </si>
  <si>
    <t>2257735560002656</t>
  </si>
  <si>
    <t>9780521800532</t>
  </si>
  <si>
    <t>32285004747571</t>
  </si>
  <si>
    <t>893343403</t>
  </si>
  <si>
    <t>QB472 .T82 2001</t>
  </si>
  <si>
    <t>0                      QB 0472000T  82          2001</t>
  </si>
  <si>
    <t>Revealing the universe : the making of the Chandra X-ray Observatory / Wallace Tucker and Karen Tucker.</t>
  </si>
  <si>
    <t>Tucker, Wallace H.</t>
  </si>
  <si>
    <t>Cambridge, Mass. : Harvard University Press, 2001.</t>
  </si>
  <si>
    <t>2001</t>
  </si>
  <si>
    <t>2001-09-12</t>
  </si>
  <si>
    <t>2001-09-11</t>
  </si>
  <si>
    <t>837082147:eng</t>
  </si>
  <si>
    <t>45201964</t>
  </si>
  <si>
    <t>991003584979702656</t>
  </si>
  <si>
    <t>2264161210002656</t>
  </si>
  <si>
    <t>9780674004979</t>
  </si>
  <si>
    <t>32285004390208</t>
  </si>
  <si>
    <t>893774902</t>
  </si>
  <si>
    <t>QB475 .V47 1987</t>
  </si>
  <si>
    <t>0                      QB 0475000V  47          1987</t>
  </si>
  <si>
    <t>The invisible universe revealed : the story of radio astronomy / Gerrit L. Verschuur.</t>
  </si>
  <si>
    <t>Verschuur, Gerrit L., 1937-</t>
  </si>
  <si>
    <t>New York : Springer-Verlag, c1987.</t>
  </si>
  <si>
    <t>2007-11-15</t>
  </si>
  <si>
    <t>3855336535:eng</t>
  </si>
  <si>
    <t>14097997</t>
  </si>
  <si>
    <t>991000905619702656</t>
  </si>
  <si>
    <t>2266192070002656</t>
  </si>
  <si>
    <t>9780387962801</t>
  </si>
  <si>
    <t>32285001433118</t>
  </si>
  <si>
    <t>893708825</t>
  </si>
  <si>
    <t>QB475.A25 M35 1996</t>
  </si>
  <si>
    <t>0                      QB 0475000A  25                 M  35          1996</t>
  </si>
  <si>
    <t>The history of radio astronomy and the National Radio Astronomy Observatory : evolution toward big science / Benjamin K. Malphrus.</t>
  </si>
  <si>
    <t>Malphrus, Benjamin K.</t>
  </si>
  <si>
    <t>Malabar, Fla. : Krieger Pub., 1996.</t>
  </si>
  <si>
    <t>Original ed.</t>
  </si>
  <si>
    <t>flu</t>
  </si>
  <si>
    <t>2007-11-13</t>
  </si>
  <si>
    <t>1997-05-29</t>
  </si>
  <si>
    <t>379265:eng</t>
  </si>
  <si>
    <t>27641150</t>
  </si>
  <si>
    <t>991002145129702656</t>
  </si>
  <si>
    <t>2255456130002656</t>
  </si>
  <si>
    <t>9780894648410</t>
  </si>
  <si>
    <t>32285002612512</t>
  </si>
  <si>
    <t>893408744</t>
  </si>
  <si>
    <t>QB476.5 .B87 1997</t>
  </si>
  <si>
    <t>0                      QB 0476500B  87          1997</t>
  </si>
  <si>
    <t>An introduction to radio astronomy / Bernard F. Burke and Francis Graham-Smith.</t>
  </si>
  <si>
    <t>Burke, Bernard F., 1928-</t>
  </si>
  <si>
    <t>New York : Cambridge University Press, 1997.</t>
  </si>
  <si>
    <t>1997-09-08</t>
  </si>
  <si>
    <t>8908709178:eng</t>
  </si>
  <si>
    <t>34548527</t>
  </si>
  <si>
    <t>991002638069702656</t>
  </si>
  <si>
    <t>2263759920002656</t>
  </si>
  <si>
    <t>9780521554541</t>
  </si>
  <si>
    <t>32285003004123</t>
  </si>
  <si>
    <t>893886516</t>
  </si>
  <si>
    <t>QB476.5 .I58 1989</t>
  </si>
  <si>
    <t>0                      QB 0476500I  58          1989</t>
  </si>
  <si>
    <t>Light pollution, radio interference, and space debris : proceedings of the International Astronomical Union Colloquium no. 112, held 13 to 16 August 1989 in Washington, DC.</t>
  </si>
  <si>
    <t>International Astronomical Union. Colloquium (112th : 1988 : Washington, D.C.)</t>
  </si>
  <si>
    <t>San Francisco, Calif. : Astronomical Society of the Pacific, 1991.</t>
  </si>
  <si>
    <t>Astronomical Society of the Pacific conference series ; v. 17</t>
  </si>
  <si>
    <t>2007-11-06</t>
  </si>
  <si>
    <t>1993-01-04</t>
  </si>
  <si>
    <t>497385209:eng</t>
  </si>
  <si>
    <t>23996076</t>
  </si>
  <si>
    <t>991001899539702656</t>
  </si>
  <si>
    <t>2264653000002656</t>
  </si>
  <si>
    <t>9780937707364</t>
  </si>
  <si>
    <t>32285001403582</t>
  </si>
  <si>
    <t>893809212</t>
  </si>
  <si>
    <t>QB477 .L6</t>
  </si>
  <si>
    <t>0                      QB 0477000L  6</t>
  </si>
  <si>
    <t>Discovering the universe [by] Bernard and Joyce Lovell.</t>
  </si>
  <si>
    <t>Lovell, Bernard, 1913-2012.</t>
  </si>
  <si>
    <t>New York, Harper &amp; Row [c1963]</t>
  </si>
  <si>
    <t>1655809:eng</t>
  </si>
  <si>
    <t>711089</t>
  </si>
  <si>
    <t>991003177729702656</t>
  </si>
  <si>
    <t>2264077360002656</t>
  </si>
  <si>
    <t>32285002641412</t>
  </si>
  <si>
    <t>893887212</t>
  </si>
  <si>
    <t>QB477 .S6 1966</t>
  </si>
  <si>
    <t>0                      QB 0477000S  6           1966</t>
  </si>
  <si>
    <t>Radio astronomy / [by] F. Graham Smith ; [text figures drawn by Ronald Dickens].</t>
  </si>
  <si>
    <t>Graham-Smith, Francis, 1923-</t>
  </si>
  <si>
    <t>Harmondsworth : Penguin, [1966]</t>
  </si>
  <si>
    <t>[3d ed., rev. ed.]</t>
  </si>
  <si>
    <t>Pelican books ; A479</t>
  </si>
  <si>
    <t>1995-10-04</t>
  </si>
  <si>
    <t>1995-02-13</t>
  </si>
  <si>
    <t>1541999:eng</t>
  </si>
  <si>
    <t>10789561</t>
  </si>
  <si>
    <t>991000435069702656</t>
  </si>
  <si>
    <t>2269974290002656</t>
  </si>
  <si>
    <t>32285001998250</t>
  </si>
  <si>
    <t>893419450</t>
  </si>
  <si>
    <t>QB479.2 .C5 1985</t>
  </si>
  <si>
    <t>0                      QB 0479200C  5           1985</t>
  </si>
  <si>
    <t>Radiotelescopes / W.N. Christiansen, J.A. Högbom.</t>
  </si>
  <si>
    <t>Christiansen, W. N. (Wilbur Norman), 1913-2007.</t>
  </si>
  <si>
    <t>Cambridge [Cambridgeshire] ; New York : Cambridge University Press, 1985.</t>
  </si>
  <si>
    <t>Cambridge monographs on physics</t>
  </si>
  <si>
    <t>2007-11-30</t>
  </si>
  <si>
    <t>1219107:eng</t>
  </si>
  <si>
    <t>10695766</t>
  </si>
  <si>
    <t>991000407389702656</t>
  </si>
  <si>
    <t>2267342220002656</t>
  </si>
  <si>
    <t>9780521262095</t>
  </si>
  <si>
    <t>32285001433142</t>
  </si>
  <si>
    <t>893714553</t>
  </si>
  <si>
    <t>QB479.2 .S94</t>
  </si>
  <si>
    <t>0                      QB 0479200S  94</t>
  </si>
  <si>
    <t>An amateur radio telescope / G. W. Swenson, Jr.</t>
  </si>
  <si>
    <t>Swenson, George W. (George Warner), 1922-</t>
  </si>
  <si>
    <t>Tucson : Pachart, c1980.</t>
  </si>
  <si>
    <t>The Astronomy quarterly library ; 4</t>
  </si>
  <si>
    <t>558023:eng</t>
  </si>
  <si>
    <t>6098157</t>
  </si>
  <si>
    <t>991004931549702656</t>
  </si>
  <si>
    <t>2260419820002656</t>
  </si>
  <si>
    <t>9780912918068</t>
  </si>
  <si>
    <t>32285001433159</t>
  </si>
  <si>
    <t>893319786</t>
  </si>
  <si>
    <t>QB500 .G55</t>
  </si>
  <si>
    <t>0                      QB 0500000G  55</t>
  </si>
  <si>
    <t>Sourcebook on the space sciences.</t>
  </si>
  <si>
    <t>Glasstone, Samuel, 1897-1986.</t>
  </si>
  <si>
    <t>Princeton, N.J. : D. Van Nostrand Co., [1965]</t>
  </si>
  <si>
    <t>1994-03-08</t>
  </si>
  <si>
    <t>1358439:eng</t>
  </si>
  <si>
    <t>232378</t>
  </si>
  <si>
    <t>991001534959702656</t>
  </si>
  <si>
    <t>2258583250002656</t>
  </si>
  <si>
    <t>32285001852465</t>
  </si>
  <si>
    <t>893684391</t>
  </si>
  <si>
    <t>QB500 .K64 1997</t>
  </si>
  <si>
    <t>0                      QB 0500000K  64          1997</t>
  </si>
  <si>
    <t>Beyond Star Trek : physics from alien invasions to the end of time / Lawrence M. Krauss.</t>
  </si>
  <si>
    <t>Krauss, Lawrence M., 1954-</t>
  </si>
  <si>
    <t>New York, NY : Basic Books, c1997.</t>
  </si>
  <si>
    <t>2007-12-19</t>
  </si>
  <si>
    <t>1998-08-18</t>
  </si>
  <si>
    <t>793852738:eng</t>
  </si>
  <si>
    <t>37492513</t>
  </si>
  <si>
    <t>991002845199702656</t>
  </si>
  <si>
    <t>2265934310002656</t>
  </si>
  <si>
    <t>9780465006373</t>
  </si>
  <si>
    <t>32285003453601</t>
  </si>
  <si>
    <t>893616654</t>
  </si>
  <si>
    <t>QB500 .K65 1995</t>
  </si>
  <si>
    <t>0                      QB 0500000K  65          1995</t>
  </si>
  <si>
    <t>The physics of Star Trek / Lawrence M. Krauss ; with a foreword by Stephen Hawking.</t>
  </si>
  <si>
    <t>New York : Basic Books, c1995.</t>
  </si>
  <si>
    <t>1059824:eng</t>
  </si>
  <si>
    <t>32925425</t>
  </si>
  <si>
    <t>991002534509702656</t>
  </si>
  <si>
    <t>2263174850002656</t>
  </si>
  <si>
    <t>9780465005598</t>
  </si>
  <si>
    <t>32285002128543</t>
  </si>
  <si>
    <t>893779929</t>
  </si>
  <si>
    <t>QB500 .R33 1996</t>
  </si>
  <si>
    <t>0                      QB 0500000R  33          1996</t>
  </si>
  <si>
    <t>Islands in the sky : bold new ideas for colonizing space / edited by Stanley Schmidt and Robert Zubrin.</t>
  </si>
  <si>
    <t>New York : John Wiley, c1996.</t>
  </si>
  <si>
    <t>Wiley popular science</t>
  </si>
  <si>
    <t>2006-11-05</t>
  </si>
  <si>
    <t>1996-07-01</t>
  </si>
  <si>
    <t>375404006:eng</t>
  </si>
  <si>
    <t>32820952</t>
  </si>
  <si>
    <t>991002524129702656</t>
  </si>
  <si>
    <t>2263259690002656</t>
  </si>
  <si>
    <t>9780471135616</t>
  </si>
  <si>
    <t>32285002174745</t>
  </si>
  <si>
    <t>893433978</t>
  </si>
  <si>
    <t>QB500 .S55</t>
  </si>
  <si>
    <t>0                      QB 0500000S  55</t>
  </si>
  <si>
    <t>Kosmos; a course of six lectures on the development of our insight into the structure of the universe, delivered for the Lowell institute in Boston, in November 1931, by W. de Sitter ...</t>
  </si>
  <si>
    <t>Sitter, Willem de.</t>
  </si>
  <si>
    <t>Cambridge, Mass., Harvard university press, 1932.</t>
  </si>
  <si>
    <t>1932</t>
  </si>
  <si>
    <t>1998-04-02</t>
  </si>
  <si>
    <t>4929072455:eng</t>
  </si>
  <si>
    <t>1636375</t>
  </si>
  <si>
    <t>991003848569702656</t>
  </si>
  <si>
    <t>2256121800002656</t>
  </si>
  <si>
    <t>32285002641552</t>
  </si>
  <si>
    <t>893324605</t>
  </si>
  <si>
    <t>QB500 .S615 2004</t>
  </si>
  <si>
    <t>0                      QB 0500000S  615         2004</t>
  </si>
  <si>
    <t>Space science / editors, Louise K. Harra, Keith O. Mason.</t>
  </si>
  <si>
    <t>London : Imperial College Press ; Singapore ; River Edge, NJ : Distributed by World Scientific, c2004.</t>
  </si>
  <si>
    <t>2009-04-17</t>
  </si>
  <si>
    <t>2004-09-23</t>
  </si>
  <si>
    <t>400208422:eng</t>
  </si>
  <si>
    <t>55141653</t>
  </si>
  <si>
    <t>991004361079702656</t>
  </si>
  <si>
    <t>2258417060002656</t>
  </si>
  <si>
    <t>9781860943461</t>
  </si>
  <si>
    <t>32285004989140</t>
  </si>
  <si>
    <t>893506762</t>
  </si>
  <si>
    <t>QB500 .U47 1968</t>
  </si>
  <si>
    <t>0                      QB 0500000U  47          1968</t>
  </si>
  <si>
    <t>Introduction to space science.</t>
  </si>
  <si>
    <t>Goddard Space Flight Center.</t>
  </si>
  <si>
    <t>New York : Gordon and Breach, 1968.</t>
  </si>
  <si>
    <t>2d ed., rev. and enl. Edited by Wilmot N. Hess and Gilbert D. Mead.</t>
  </si>
  <si>
    <t>1995-11-08</t>
  </si>
  <si>
    <t>1573339:eng</t>
  </si>
  <si>
    <t>442967</t>
  </si>
  <si>
    <t>991002790149702656</t>
  </si>
  <si>
    <t>2266306510002656</t>
  </si>
  <si>
    <t>32285001433209</t>
  </si>
  <si>
    <t>893498540</t>
  </si>
  <si>
    <t>QB500.262 .L38 1998</t>
  </si>
  <si>
    <t>0                      QB 0500262L  38          1998</t>
  </si>
  <si>
    <t>Frontiers of space exploration / Roger D. Launius.</t>
  </si>
  <si>
    <t>Launius, Roger D.</t>
  </si>
  <si>
    <t>Westport, Conn. : Greenwood Press, 1998.</t>
  </si>
  <si>
    <t>Greenwood Press guides to historic events of the twentieth century, 1092-177X</t>
  </si>
  <si>
    <t>2000-04-11</t>
  </si>
  <si>
    <t>1999-04-05</t>
  </si>
  <si>
    <t>677615:eng</t>
  </si>
  <si>
    <t>37567235</t>
  </si>
  <si>
    <t>991002850969702656</t>
  </si>
  <si>
    <t>2270153830002656</t>
  </si>
  <si>
    <t>9780313299681</t>
  </si>
  <si>
    <t>32285003548699</t>
  </si>
  <si>
    <t>893786633</t>
  </si>
  <si>
    <t>QB500.267 .S55 1989</t>
  </si>
  <si>
    <t>0                      QB 0500267S  55          1989</t>
  </si>
  <si>
    <t>The space telescope : a study of NASA, science, technology, and politics / Robert W. Smith with contributions by Paul A. Hanle, Robert H. Kargon, Joseph N. Tatarewicz.</t>
  </si>
  <si>
    <t>Smith, Robert W. (Robert William), 1952-</t>
  </si>
  <si>
    <t>Cambridge [England] ; New York : Cambridge University Press, c1989, 1990 printing.</t>
  </si>
  <si>
    <t>1995-02-05</t>
  </si>
  <si>
    <t>1990-07-19</t>
  </si>
  <si>
    <t>836841869:eng</t>
  </si>
  <si>
    <t>19263128</t>
  </si>
  <si>
    <t>991001441779702656</t>
  </si>
  <si>
    <t>2266120410002656</t>
  </si>
  <si>
    <t>9780521266345</t>
  </si>
  <si>
    <t>32285000209295</t>
  </si>
  <si>
    <t>893321970</t>
  </si>
  <si>
    <t>QB500.268 .K47 2003</t>
  </si>
  <si>
    <t>0                      QB 0500268K  47          2003</t>
  </si>
  <si>
    <t>Hubble : the mirror on the universe / Robin Kerrod.</t>
  </si>
  <si>
    <t>Kerrod, Robin.</t>
  </si>
  <si>
    <t>Toronto : Firefly Books, 2003.</t>
  </si>
  <si>
    <t>2006-07-19</t>
  </si>
  <si>
    <t>2004-01-06</t>
  </si>
  <si>
    <t>104834168:eng</t>
  </si>
  <si>
    <t>51800766</t>
  </si>
  <si>
    <t>991004185029702656</t>
  </si>
  <si>
    <t>2257553900002656</t>
  </si>
  <si>
    <t>9781552977811</t>
  </si>
  <si>
    <t>32285004848601</t>
  </si>
  <si>
    <t>893442318</t>
  </si>
  <si>
    <t>QB500.268 .P48 1995</t>
  </si>
  <si>
    <t>0                      QB 0500268P  48          1995</t>
  </si>
  <si>
    <t>Hubble vision : astronomy with the Hubble Space Telescope / Carolyn Collins Petersen and John C. Brandt.</t>
  </si>
  <si>
    <t>Petersen, Carolyn Collins.</t>
  </si>
  <si>
    <t>Cambridge ; New York : Cambridge University Press, 1995.</t>
  </si>
  <si>
    <t>2003-11-21</t>
  </si>
  <si>
    <t>1996-03-19</t>
  </si>
  <si>
    <t>836961154:eng</t>
  </si>
  <si>
    <t>32778994</t>
  </si>
  <si>
    <t>991002520119702656</t>
  </si>
  <si>
    <t>2260164180002656</t>
  </si>
  <si>
    <t>9780521496438</t>
  </si>
  <si>
    <t>32285002144805</t>
  </si>
  <si>
    <t>893530107</t>
  </si>
  <si>
    <t>QB500.5 .S65 1986</t>
  </si>
  <si>
    <t>0                      QB 0500500S  65          1986</t>
  </si>
  <si>
    <t>The Solar system : observations and interpretations / Margaret G. Kivelson, editor.</t>
  </si>
  <si>
    <t>Englewood Cliffs, N.J. : Prentice-Hall, c1986.</t>
  </si>
  <si>
    <t>Rubey volume ; 4</t>
  </si>
  <si>
    <t>1993-11-18</t>
  </si>
  <si>
    <t>836721518:eng</t>
  </si>
  <si>
    <t>12262834</t>
  </si>
  <si>
    <t>991000664299702656</t>
  </si>
  <si>
    <t>2270903920002656</t>
  </si>
  <si>
    <t>9780138219277</t>
  </si>
  <si>
    <t>32285001433241</t>
  </si>
  <si>
    <t>893608159</t>
  </si>
  <si>
    <t>QB501 .B48 1990</t>
  </si>
  <si>
    <t>0                      QB 0501000B  48          1990</t>
  </si>
  <si>
    <t>Physics of the earth and the solar system : dynamics and evolution, space navigation, space-time structure / by Bruno Bertotti and Paolo Farinella.</t>
  </si>
  <si>
    <t>Bertotti, B., 1930-</t>
  </si>
  <si>
    <t>Dordrecht, The Netherlands ; Boston : Kluwer Academic Publishers, c1990.</t>
  </si>
  <si>
    <t>Geophysics and astrophysics monographs ; v. 31</t>
  </si>
  <si>
    <t>1991-08-06</t>
  </si>
  <si>
    <t>840510076:eng</t>
  </si>
  <si>
    <t>20490513</t>
  </si>
  <si>
    <t>991001581229702656</t>
  </si>
  <si>
    <t>2257315610002656</t>
  </si>
  <si>
    <t>9780792305354</t>
  </si>
  <si>
    <t>32285000664671</t>
  </si>
  <si>
    <t>893791516</t>
  </si>
  <si>
    <t>QB501 .B6</t>
  </si>
  <si>
    <t>0                      QB 0501000B  6</t>
  </si>
  <si>
    <t>Basic physics of the solar system / by V. M. Blanco and S. W. McCuskey.</t>
  </si>
  <si>
    <t>Blanco, V. M.</t>
  </si>
  <si>
    <t>Reading, Mass. : Addison-Wesley Pub. Co., [1961]</t>
  </si>
  <si>
    <t>Addison-Wesley series in the engineering sciences. Space science and technology</t>
  </si>
  <si>
    <t>1522073:eng</t>
  </si>
  <si>
    <t>522737</t>
  </si>
  <si>
    <t>991002912719702656</t>
  </si>
  <si>
    <t>2260035350002656</t>
  </si>
  <si>
    <t>32285001627503</t>
  </si>
  <si>
    <t>893415797</t>
  </si>
  <si>
    <t>QB501 .B74 1996</t>
  </si>
  <si>
    <t>0                      QB 0501000B  74          1996</t>
  </si>
  <si>
    <t>Exploring the solar system / Nicholas Booth.</t>
  </si>
  <si>
    <t>Booth, Nicholas.</t>
  </si>
  <si>
    <t>Cambridge ; New York : Cambridge University Press, 1996.</t>
  </si>
  <si>
    <t>1996-12-30</t>
  </si>
  <si>
    <t>3901332908:eng</t>
  </si>
  <si>
    <t>34515346</t>
  </si>
  <si>
    <t>991002633849702656</t>
  </si>
  <si>
    <t>2272047930002656</t>
  </si>
  <si>
    <t>9780521580052</t>
  </si>
  <si>
    <t>32285002403847</t>
  </si>
  <si>
    <t>893603809</t>
  </si>
  <si>
    <t>QB501 .J65 1999</t>
  </si>
  <si>
    <t>0                      QB 0501000J  65          1999</t>
  </si>
  <si>
    <t>Discovering the solar system / Barrie W. Jones.</t>
  </si>
  <si>
    <t>Jones, Barrie William.</t>
  </si>
  <si>
    <t>Chichester ; New York : Wiley, c1999.</t>
  </si>
  <si>
    <t>2000-03-15</t>
  </si>
  <si>
    <t>35238274:eng</t>
  </si>
  <si>
    <t>39695667</t>
  </si>
  <si>
    <t>991002966259702656</t>
  </si>
  <si>
    <t>2264635480002656</t>
  </si>
  <si>
    <t>9780471982432</t>
  </si>
  <si>
    <t>32285003669859</t>
  </si>
  <si>
    <t>893698516</t>
  </si>
  <si>
    <t>QB501 .K56</t>
  </si>
  <si>
    <t>0                      QB 0501000K  56</t>
  </si>
  <si>
    <t>Space geology : an introduction / Elbert A. King.</t>
  </si>
  <si>
    <t>King, Elbert A.</t>
  </si>
  <si>
    <t>New York : Wiley, c1976.</t>
  </si>
  <si>
    <t>793334049:eng</t>
  </si>
  <si>
    <t>1992143</t>
  </si>
  <si>
    <t>991003970779702656</t>
  </si>
  <si>
    <t>2262205810002656</t>
  </si>
  <si>
    <t>9780471478102</t>
  </si>
  <si>
    <t>32285002641610</t>
  </si>
  <si>
    <t>893417060</t>
  </si>
  <si>
    <t>QB501 .K69</t>
  </si>
  <si>
    <t>0                      QB 0501000K  69</t>
  </si>
  <si>
    <t>The solar system.</t>
  </si>
  <si>
    <t>Kopal, Zdeněk, 1914-1993.</t>
  </si>
  <si>
    <t>London ; New York : Oxford University Press, 1972.</t>
  </si>
  <si>
    <t>1996-10-04</t>
  </si>
  <si>
    <t>1992-12-15</t>
  </si>
  <si>
    <t>3769054579:eng</t>
  </si>
  <si>
    <t>726854</t>
  </si>
  <si>
    <t>991003201909702656</t>
  </si>
  <si>
    <t>2264011470002656</t>
  </si>
  <si>
    <t>9780198850618</t>
  </si>
  <si>
    <t>32285001441376</t>
  </si>
  <si>
    <t>893428531</t>
  </si>
  <si>
    <t>QB501 .L26 1991</t>
  </si>
  <si>
    <t>0                      QB 0501000L  26          1991</t>
  </si>
  <si>
    <t>Wanderers in space : exploration and discovery in the solar system / Kenneth R. Lang, Charles A. Whitney.</t>
  </si>
  <si>
    <t>1994-10-31</t>
  </si>
  <si>
    <t>1992-12-01</t>
  </si>
  <si>
    <t>3901263209:eng</t>
  </si>
  <si>
    <t>21116717</t>
  </si>
  <si>
    <t>991001653109702656</t>
  </si>
  <si>
    <t>2264241660002656</t>
  </si>
  <si>
    <t>9780521422529</t>
  </si>
  <si>
    <t>32285001400885</t>
  </si>
  <si>
    <t>893509789</t>
  </si>
  <si>
    <t>QB501 .N18 1977</t>
  </si>
  <si>
    <t>0                      QB 0501000N  18          1977</t>
  </si>
  <si>
    <t>The origin of the solar system / edited by S. F. Dermott.</t>
  </si>
  <si>
    <t>NATO Advanced Study Institute on the Origin of the Solar System (1977 : University of Newcastle upon Tyne)</t>
  </si>
  <si>
    <t>Chichester ; New York : Wiley, c1978.</t>
  </si>
  <si>
    <t>510113749:eng</t>
  </si>
  <si>
    <t>2964147</t>
  </si>
  <si>
    <t>991004295879702656</t>
  </si>
  <si>
    <t>2270997930002656</t>
  </si>
  <si>
    <t>9780471995296</t>
  </si>
  <si>
    <t>32285001433274</t>
  </si>
  <si>
    <t>893806887</t>
  </si>
  <si>
    <t>QB501 .N47 1990</t>
  </si>
  <si>
    <t>0                      QB 0501000N  47          1990</t>
  </si>
  <si>
    <t>The New solar system / edited by J. Kelly Beatty, Andrew Chaikin ; introduction by Carl Sagan.</t>
  </si>
  <si>
    <t>Cambridge [England] ; New York : Cambridge University Press ; Cambridge, Mass. : Sky Pub. Corp., 1990.</t>
  </si>
  <si>
    <t>1996-02-06</t>
  </si>
  <si>
    <t>1990-11-26</t>
  </si>
  <si>
    <t>364394054:eng</t>
  </si>
  <si>
    <t>20170365</t>
  </si>
  <si>
    <t>991001547529702656</t>
  </si>
  <si>
    <t>2257296240002656</t>
  </si>
  <si>
    <t>9780933346567</t>
  </si>
  <si>
    <t>32285000356435</t>
  </si>
  <si>
    <t>893615201</t>
  </si>
  <si>
    <t>QB501 .S56</t>
  </si>
  <si>
    <t>0                      QB 0501000S  56</t>
  </si>
  <si>
    <t>The origin of the solar system; genesis of the sun and planets, and life on other worlds / Edited by Thornton Page &amp; Lou Williams Page.</t>
  </si>
  <si>
    <t>Sky and telescope.</t>
  </si>
  <si>
    <t>New York : Macmillan, c1966, 1969 printing.</t>
  </si>
  <si>
    <t>Sky and telescope library of astronomy ; v. 3</t>
  </si>
  <si>
    <t>53979138:eng</t>
  </si>
  <si>
    <t>521816</t>
  </si>
  <si>
    <t>991002910439702656</t>
  </si>
  <si>
    <t>2260509220002656</t>
  </si>
  <si>
    <t>32285001433290</t>
  </si>
  <si>
    <t>893774180</t>
  </si>
  <si>
    <t>QB501 .V66 1979</t>
  </si>
  <si>
    <t>0                      QB 0501000V  66          1979</t>
  </si>
  <si>
    <t>New worlds : discoveries from our solar system / Wernher von Braun andd Frederick I. Ordway III ; with editorial assistance and pref. by Eric Burgess.</t>
  </si>
  <si>
    <t>Von Braun, Wernher, 1912-1977.</t>
  </si>
  <si>
    <t>Garden City, N.Y. : Anchor Press/Doubleday, 1979.</t>
  </si>
  <si>
    <t>1995-10-12</t>
  </si>
  <si>
    <t>425663877:eng</t>
  </si>
  <si>
    <t>4496184</t>
  </si>
  <si>
    <t>991004659019702656</t>
  </si>
  <si>
    <t>2268700210002656</t>
  </si>
  <si>
    <t>9780385140652</t>
  </si>
  <si>
    <t>32285001433308</t>
  </si>
  <si>
    <t>893263369</t>
  </si>
  <si>
    <t>QB501 .W66</t>
  </si>
  <si>
    <t>0                      QB 0501000W  66</t>
  </si>
  <si>
    <t>The solar system / John A. Wood.</t>
  </si>
  <si>
    <t>Wood, John A., 1932-</t>
  </si>
  <si>
    <t>Englewood Cliffs, N.J. : Prentice-Hall, c1979.</t>
  </si>
  <si>
    <t>The Prentice-Hall foundations of earth science series</t>
  </si>
  <si>
    <t>1996-02-13</t>
  </si>
  <si>
    <t>412305:eng</t>
  </si>
  <si>
    <t>3892863</t>
  </si>
  <si>
    <t>991004540389702656</t>
  </si>
  <si>
    <t>2272312530002656</t>
  </si>
  <si>
    <t>9780138220075</t>
  </si>
  <si>
    <t>32285001433316</t>
  </si>
  <si>
    <t>893687847</t>
  </si>
  <si>
    <t>QB501.2 .M54 1993</t>
  </si>
  <si>
    <t>0                      QB 0501200M  54          1993</t>
  </si>
  <si>
    <t>The grand tour : a traveler's guide to the solar system / by Ron Miller &amp; William K. Hartmann.</t>
  </si>
  <si>
    <t>Miller, Ron, 1947-</t>
  </si>
  <si>
    <t>New York : Workman Pub., c1993.</t>
  </si>
  <si>
    <t>Rev. ed.</t>
  </si>
  <si>
    <t>1994-07-29</t>
  </si>
  <si>
    <t>1994-07-20</t>
  </si>
  <si>
    <t>29214835:eng</t>
  </si>
  <si>
    <t>29289325</t>
  </si>
  <si>
    <t>991002259439702656</t>
  </si>
  <si>
    <t>2262289220002656</t>
  </si>
  <si>
    <t>9781563050312</t>
  </si>
  <si>
    <t>32285001932226</t>
  </si>
  <si>
    <t>893886041</t>
  </si>
  <si>
    <t>QB501.2 .S58 1983</t>
  </si>
  <si>
    <t>0                      QB 0501200S  58          1983</t>
  </si>
  <si>
    <t>The solar system : the sun, planets, and life / Roman Smoluchowski.</t>
  </si>
  <si>
    <t>Smoluchowski, Roman.</t>
  </si>
  <si>
    <t>New York : Scientific American Library : Distributed by W.H. Freeman, c1983.</t>
  </si>
  <si>
    <t>41055439:eng</t>
  </si>
  <si>
    <t>9682272</t>
  </si>
  <si>
    <t>991000238509702656</t>
  </si>
  <si>
    <t>2263880780002656</t>
  </si>
  <si>
    <t>9780716714934</t>
  </si>
  <si>
    <t>32285001433324</t>
  </si>
  <si>
    <t>893601609</t>
  </si>
  <si>
    <t>QB501.3 .L44 1993</t>
  </si>
  <si>
    <t>0                      QB 0501300L  44          1993</t>
  </si>
  <si>
    <t>Postcards from Pluto : a tour of the solar system / written and illustrated by Loreen Leedy.</t>
  </si>
  <si>
    <t>Leedy, Loreen.</t>
  </si>
  <si>
    <t>New York : Holiday House, c1993.</t>
  </si>
  <si>
    <t>2007-04-09</t>
  </si>
  <si>
    <t>1994-09-12</t>
  </si>
  <si>
    <t>29203853:eng</t>
  </si>
  <si>
    <t>26586841</t>
  </si>
  <si>
    <t>991004565859702656</t>
  </si>
  <si>
    <t>2264538340002656</t>
  </si>
  <si>
    <t>9780823410002</t>
  </si>
  <si>
    <t>32285001946317</t>
  </si>
  <si>
    <t>893314258</t>
  </si>
  <si>
    <t>QB501.5 .B49 1986</t>
  </si>
  <si>
    <t>0                      QB 0501500B  49          1986</t>
  </si>
  <si>
    <t>Beyond spaceship earth : environmental ethics and the solar system / Eugene C. Hargrove, editor.</t>
  </si>
  <si>
    <t>San Francisco : Sierra Club Books, c1986.</t>
  </si>
  <si>
    <t>1993-04-20</t>
  </si>
  <si>
    <t>1992-03-27</t>
  </si>
  <si>
    <t>906249612:eng</t>
  </si>
  <si>
    <t>13331461</t>
  </si>
  <si>
    <t>991000810499702656</t>
  </si>
  <si>
    <t>2263560810002656</t>
  </si>
  <si>
    <t>9780871567680</t>
  </si>
  <si>
    <t>32285001045516</t>
  </si>
  <si>
    <t>893702454</t>
  </si>
  <si>
    <t>QB505 .B72</t>
  </si>
  <si>
    <t>0                      QB 0505000B  72</t>
  </si>
  <si>
    <t>Introduction to the solar wind / [by] John C. Brandt.</t>
  </si>
  <si>
    <t>Brandt, John C.</t>
  </si>
  <si>
    <t>San Francisco : W. H. Freeman, [1970]</t>
  </si>
  <si>
    <t>A Series of books in astronomy and astrophysics</t>
  </si>
  <si>
    <t>1995-11-27</t>
  </si>
  <si>
    <t>1992-04-01</t>
  </si>
  <si>
    <t>1222874:eng</t>
  </si>
  <si>
    <t>61313</t>
  </si>
  <si>
    <t>991000159839702656</t>
  </si>
  <si>
    <t>2255280460002656</t>
  </si>
  <si>
    <t>9780716703280</t>
  </si>
  <si>
    <t>32285001030807</t>
  </si>
  <si>
    <t>893327085</t>
  </si>
  <si>
    <t>QB505 .F74 2001</t>
  </si>
  <si>
    <t>0                      QB 0505000F  74          2001</t>
  </si>
  <si>
    <t>Storms in space / John W. Freeman ; foreword by George Siscoe.</t>
  </si>
  <si>
    <t>Freeman, John W.</t>
  </si>
  <si>
    <t>Cambridge, UK ; New York : Cambridge University Press, 2001.</t>
  </si>
  <si>
    <t>2003-04-04</t>
  </si>
  <si>
    <t>2002-09-12</t>
  </si>
  <si>
    <t>35354360:eng</t>
  </si>
  <si>
    <t>46462807</t>
  </si>
  <si>
    <t>991003886689702656</t>
  </si>
  <si>
    <t>2268548150002656</t>
  </si>
  <si>
    <t>9780521660389</t>
  </si>
  <si>
    <t>32285004653092</t>
  </si>
  <si>
    <t>893800288</t>
  </si>
  <si>
    <t>QB509 .S57 2004</t>
  </si>
  <si>
    <t>0                      QB 0509000S  57          2004</t>
  </si>
  <si>
    <t>The transits of Venus / William Sheehan and John Westfall.</t>
  </si>
  <si>
    <t>Sheehan, William, 1954-</t>
  </si>
  <si>
    <t>Amherst, N.Y. : Prometheus Books, 2004.</t>
  </si>
  <si>
    <t>2004-10-16</t>
  </si>
  <si>
    <t>807824:eng</t>
  </si>
  <si>
    <t>53223573</t>
  </si>
  <si>
    <t>991004393919702656</t>
  </si>
  <si>
    <t>2263848300002656</t>
  </si>
  <si>
    <t>9781591021759</t>
  </si>
  <si>
    <t>32285005004816</t>
  </si>
  <si>
    <t>893259674</t>
  </si>
  <si>
    <t>QB51 .A23</t>
  </si>
  <si>
    <t>0                      QB 0051000A  23</t>
  </si>
  <si>
    <t>An oration delivered before the Cincinnati astronomical society, on the occasion of laying the corner stone of an astronomical observatory, on the 10th of November, 1843. By John Quincy Adams.</t>
  </si>
  <si>
    <t>Adams, John Quincy, 1767-1848.</t>
  </si>
  <si>
    <t>Cincinnati, Printed by Shepard &amp; co., 1843.</t>
  </si>
  <si>
    <t>1843</t>
  </si>
  <si>
    <t>2001-11-05</t>
  </si>
  <si>
    <t>1879156:eng</t>
  </si>
  <si>
    <t>928858</t>
  </si>
  <si>
    <t>991003390999702656</t>
  </si>
  <si>
    <t>2268602970002656</t>
  </si>
  <si>
    <t>32285002584406</t>
  </si>
  <si>
    <t>893793578</t>
  </si>
  <si>
    <t>QB51 .A77 1984</t>
  </si>
  <si>
    <t>0                      QB 0051000A  77          1984</t>
  </si>
  <si>
    <t>The astronomical scrapbook : skywatchers, pioneers, and seekers in astronomy / by Joseph Ashbrook ; edited by Leif J. Robinson ; introduction by Owen Gingerich.</t>
  </si>
  <si>
    <t>Ashbrook, Joseph, 1918-1980.</t>
  </si>
  <si>
    <t>Cambridge [Cambridgeshire] ; New York : Cambridge University Press ; Cambridge, Mass. : Sky Pub. Corp., 1984.</t>
  </si>
  <si>
    <t>1994-10-21</t>
  </si>
  <si>
    <t>793333176:eng</t>
  </si>
  <si>
    <t>11533367</t>
  </si>
  <si>
    <t>991000551299702656</t>
  </si>
  <si>
    <t>2258351110002656</t>
  </si>
  <si>
    <t>9780933346246</t>
  </si>
  <si>
    <t>32285001431674</t>
  </si>
  <si>
    <t>893778024</t>
  </si>
  <si>
    <t>QB51 .A78 1979</t>
  </si>
  <si>
    <t>0                      QB 0051000A  78          1979</t>
  </si>
  <si>
    <t>Asimov on astronomy / Isaac Asimov.</t>
  </si>
  <si>
    <t>Asimov, Isaac, 1920-1992.</t>
  </si>
  <si>
    <t>New York : Bonanza Books, 1979.</t>
  </si>
  <si>
    <t>1997-03-06</t>
  </si>
  <si>
    <t>50862796:eng</t>
  </si>
  <si>
    <t>5101723</t>
  </si>
  <si>
    <t>991004777919702656</t>
  </si>
  <si>
    <t>2259001440002656</t>
  </si>
  <si>
    <t>9780517279243</t>
  </si>
  <si>
    <t>32285001431682</t>
  </si>
  <si>
    <t>893895476</t>
  </si>
  <si>
    <t>QB51 .S67</t>
  </si>
  <si>
    <t>0                      QB 0051000S  67</t>
  </si>
  <si>
    <t>A Source book in astronomy and astrophysics, 1900-1975 / edited by Kenneth R. Lang and Owen Gingerich.</t>
  </si>
  <si>
    <t>Cambridge, Mass. : Harvard University Press, 1979.</t>
  </si>
  <si>
    <t>Source books in the history of the sciences</t>
  </si>
  <si>
    <t>1994-11-13</t>
  </si>
  <si>
    <t>346450595:eng</t>
  </si>
  <si>
    <t>3933662</t>
  </si>
  <si>
    <t>991004550749702656</t>
  </si>
  <si>
    <t>2266978390002656</t>
  </si>
  <si>
    <t>9780674822009</t>
  </si>
  <si>
    <t>32285001431708</t>
  </si>
  <si>
    <t>893442743</t>
  </si>
  <si>
    <t>QB52 .C685 2003</t>
  </si>
  <si>
    <t>0                      QB 0052000C  685         2003</t>
  </si>
  <si>
    <t>The Kepler problem : group theoretical aspects, regularization and quantization, with application to the study of perturbations / Bruno Cordani.</t>
  </si>
  <si>
    <t>Cordani, Bruno, 1945-</t>
  </si>
  <si>
    <t>Basel ; Boston : Birkheauser Verlag, c2003.</t>
  </si>
  <si>
    <t xml:space="preserve">sz </t>
  </si>
  <si>
    <t>Progress in mathematical physics ; v. 29</t>
  </si>
  <si>
    <t>2004-05-19</t>
  </si>
  <si>
    <t>2004-05-18</t>
  </si>
  <si>
    <t>709991:eng</t>
  </si>
  <si>
    <t>51098161</t>
  </si>
  <si>
    <t>991004251029702656</t>
  </si>
  <si>
    <t>2270035610002656</t>
  </si>
  <si>
    <t>9780817669027</t>
  </si>
  <si>
    <t>32285004950720</t>
  </si>
  <si>
    <t>893532187</t>
  </si>
  <si>
    <t>QB521 .A3</t>
  </si>
  <si>
    <t>0                      QB 0521000A  3</t>
  </si>
  <si>
    <t>The sun / by Charles G. Abbot ; with numerous illustrations.</t>
  </si>
  <si>
    <t>Abbot, C. G. (Charles Greeley), 1872-1973.</t>
  </si>
  <si>
    <t>New York ; London : D. Appleton and Company, 1911.</t>
  </si>
  <si>
    <t>1911</t>
  </si>
  <si>
    <t>2006-01-20</t>
  </si>
  <si>
    <t>1992-01-31</t>
  </si>
  <si>
    <t>139229793:eng</t>
  </si>
  <si>
    <t>1651890</t>
  </si>
  <si>
    <t>991003854709702656</t>
  </si>
  <si>
    <t>2269714370002656</t>
  </si>
  <si>
    <t>32285000931427</t>
  </si>
  <si>
    <t>893240673</t>
  </si>
  <si>
    <t>QB521 .F68 1990</t>
  </si>
  <si>
    <t>0                      QB 0521000F  68          1990</t>
  </si>
  <si>
    <t>Solar astrophysics / Peter Foukal.</t>
  </si>
  <si>
    <t>Foukal, Peter.</t>
  </si>
  <si>
    <t>New York : Wiley, c1990.</t>
  </si>
  <si>
    <t>1995-10-02</t>
  </si>
  <si>
    <t>1991-06-24</t>
  </si>
  <si>
    <t>831991:eng</t>
  </si>
  <si>
    <t>19556312</t>
  </si>
  <si>
    <t>991001475499702656</t>
  </si>
  <si>
    <t>2271052600002656</t>
  </si>
  <si>
    <t>9780471839354</t>
  </si>
  <si>
    <t>32285000658608</t>
  </si>
  <si>
    <t>893803635</t>
  </si>
  <si>
    <t>QB521 .F73</t>
  </si>
  <si>
    <t>0                      QB 0521000F  73</t>
  </si>
  <si>
    <t>Our turbulent sun / Kendrick Frazier.</t>
  </si>
  <si>
    <t>Frazier, Kendrick.</t>
  </si>
  <si>
    <t>Englewood Cliffs, N.J. : Prentice-Hall, c1982.</t>
  </si>
  <si>
    <t>1995-12-09</t>
  </si>
  <si>
    <t>27382319:eng</t>
  </si>
  <si>
    <t>7463959</t>
  </si>
  <si>
    <t>991005117149702656</t>
  </si>
  <si>
    <t>2264081990002656</t>
  </si>
  <si>
    <t>9780136444923</t>
  </si>
  <si>
    <t>32285001433357</t>
  </si>
  <si>
    <t>893902137</t>
  </si>
  <si>
    <t>QB521 .G26</t>
  </si>
  <si>
    <t>0                      QB 0521000G  26</t>
  </si>
  <si>
    <t>A star called the sun.</t>
  </si>
  <si>
    <t>Gamow, George, 1904-1968.</t>
  </si>
  <si>
    <t>New York : Viking Press, [1964]</t>
  </si>
  <si>
    <t>1995-04-07</t>
  </si>
  <si>
    <t>1992-07-14</t>
  </si>
  <si>
    <t>139144252:eng</t>
  </si>
  <si>
    <t>530403</t>
  </si>
  <si>
    <t>991002929389702656</t>
  </si>
  <si>
    <t>2266482670002656</t>
  </si>
  <si>
    <t>32285001151587</t>
  </si>
  <si>
    <t>893524215</t>
  </si>
  <si>
    <t>QB521 .H93 1991</t>
  </si>
  <si>
    <t>0                      QB 0521000H  93          1991</t>
  </si>
  <si>
    <t>Exploring the sun : solar science since Galileo / Karl Hufbauer.</t>
  </si>
  <si>
    <t>Hufbauer, Karl.</t>
  </si>
  <si>
    <t>Baltimore : Johns Hopkins University Press, c1991.</t>
  </si>
  <si>
    <t>New series in NASA history</t>
  </si>
  <si>
    <t>836726188:eng</t>
  </si>
  <si>
    <t>22207724</t>
  </si>
  <si>
    <t>991001755019702656</t>
  </si>
  <si>
    <t>2256433300002656</t>
  </si>
  <si>
    <t>9780801840982</t>
  </si>
  <si>
    <t>32285001286359</t>
  </si>
  <si>
    <t>893408327</t>
  </si>
  <si>
    <t>QB521 .K613</t>
  </si>
  <si>
    <t>0                      QB 0521000K  613</t>
  </si>
  <si>
    <t>The sun / [translated by A. J. Pomerans]</t>
  </si>
  <si>
    <t>Kiepenheuer, K. O. (Karl Otto)</t>
  </si>
  <si>
    <t>Ann Arbor : University of Michigan Press, [1959]</t>
  </si>
  <si>
    <t>1991-12-05</t>
  </si>
  <si>
    <t>1578366:eng</t>
  </si>
  <si>
    <t>546064</t>
  </si>
  <si>
    <t>991002966289702656</t>
  </si>
  <si>
    <t>2264871120002656</t>
  </si>
  <si>
    <t>32285000844471</t>
  </si>
  <si>
    <t>893415864</t>
  </si>
  <si>
    <t>QB521 .M4 1959</t>
  </si>
  <si>
    <t>0                      QB 0521000M  4           1959</t>
  </si>
  <si>
    <t>Our sun.</t>
  </si>
  <si>
    <t>Menzel, Donald H. (Donald Howard), 1901-1976.</t>
  </si>
  <si>
    <t>Cambridge, Harvard University Press, 1959.</t>
  </si>
  <si>
    <t>The Harvard books on astronomy</t>
  </si>
  <si>
    <t>2000-03-14</t>
  </si>
  <si>
    <t>1991-12-17</t>
  </si>
  <si>
    <t>218595135:eng</t>
  </si>
  <si>
    <t>905905</t>
  </si>
  <si>
    <t>991003370159702656</t>
  </si>
  <si>
    <t>2264168430002656</t>
  </si>
  <si>
    <t>32285000901628</t>
  </si>
  <si>
    <t>893336435</t>
  </si>
  <si>
    <t>QB521 .N68 1982</t>
  </si>
  <si>
    <t>0                      QB 0521000N  68          1982</t>
  </si>
  <si>
    <t>The Sun, our star / Robert W. Noyes.</t>
  </si>
  <si>
    <t>Noyes, Robert W., 1934-</t>
  </si>
  <si>
    <t>Cambridge, Mass. : Harvard University Press, 1982.</t>
  </si>
  <si>
    <t>1992-06-30</t>
  </si>
  <si>
    <t>1992-01-30</t>
  </si>
  <si>
    <t>430632:eng</t>
  </si>
  <si>
    <t>8554094</t>
  </si>
  <si>
    <t>991000018809702656</t>
  </si>
  <si>
    <t>2256474340002656</t>
  </si>
  <si>
    <t>9780674854352</t>
  </si>
  <si>
    <t>32285000900000</t>
  </si>
  <si>
    <t>893425333</t>
  </si>
  <si>
    <t>QB521 .P45 1992</t>
  </si>
  <si>
    <t>0                      QB 0521000P  45          1992</t>
  </si>
  <si>
    <t>Guide to the sun / Kenneth J.H. Phillips.</t>
  </si>
  <si>
    <t>Phillips, Kenneth J. H.</t>
  </si>
  <si>
    <t>Cambridge [England] ; New York : Cambridge University Press, 1992.</t>
  </si>
  <si>
    <t>1995-09-21</t>
  </si>
  <si>
    <t>1993-03-04</t>
  </si>
  <si>
    <t>24141466:eng</t>
  </si>
  <si>
    <t>24668571</t>
  </si>
  <si>
    <t>991001951279702656</t>
  </si>
  <si>
    <t>2256915010002656</t>
  </si>
  <si>
    <t>9780521394833</t>
  </si>
  <si>
    <t>32285001497048</t>
  </si>
  <si>
    <t>893244583</t>
  </si>
  <si>
    <t>QB521 .S75 1989</t>
  </si>
  <si>
    <t>0                      QB 0521000S  75          1989</t>
  </si>
  <si>
    <t>The sun : an introduction / Michael Stix.</t>
  </si>
  <si>
    <t>Stix, Michael, 1939-</t>
  </si>
  <si>
    <t>1990-06-04</t>
  </si>
  <si>
    <t>823429200:eng</t>
  </si>
  <si>
    <t>18836778</t>
  </si>
  <si>
    <t>991001406299702656</t>
  </si>
  <si>
    <t>2255355780002656</t>
  </si>
  <si>
    <t>9780387500812</t>
  </si>
  <si>
    <t>32285000156785</t>
  </si>
  <si>
    <t>893772581</t>
  </si>
  <si>
    <t>QB521 .T39 1997</t>
  </si>
  <si>
    <t>0                      QB 0521000T  39          1997</t>
  </si>
  <si>
    <t>The Sun as a star / Roger J. Tayler.</t>
  </si>
  <si>
    <t>Tayler, R. J. (Roger John)</t>
  </si>
  <si>
    <t>Cambridge ; New York, NY, USA : Cambridge University Press, 1997.</t>
  </si>
  <si>
    <t>1998-01-08</t>
  </si>
  <si>
    <t>10521022085:eng</t>
  </si>
  <si>
    <t>34674959</t>
  </si>
  <si>
    <t>991002651279702656</t>
  </si>
  <si>
    <t>2268277560002656</t>
  </si>
  <si>
    <t>9780521464642</t>
  </si>
  <si>
    <t>32285003302022</t>
  </si>
  <si>
    <t>893873791</t>
  </si>
  <si>
    <t>QB521 .W46 1989</t>
  </si>
  <si>
    <t>0                      QB 0521000W  46          1989</t>
  </si>
  <si>
    <t>The restless sun / Donat G. Wentzel.</t>
  </si>
  <si>
    <t>Wentzel, Donat G., 1934-</t>
  </si>
  <si>
    <t>Washington : Smithsonian Institution Press, 1989.</t>
  </si>
  <si>
    <t>Smithsonian library of the solar system</t>
  </si>
  <si>
    <t>1989-11-13</t>
  </si>
  <si>
    <t>17552932:eng</t>
  </si>
  <si>
    <t>18225260</t>
  </si>
  <si>
    <t>991001321439702656</t>
  </si>
  <si>
    <t>2261861320002656</t>
  </si>
  <si>
    <t>9780874749823</t>
  </si>
  <si>
    <t>32285000012574</t>
  </si>
  <si>
    <t>893791376</t>
  </si>
  <si>
    <t>QB521 .Z57 1988</t>
  </si>
  <si>
    <t>0                      QB 0521000Z  57          1988</t>
  </si>
  <si>
    <t>Astrophysics of the sun / Harold Zirin.</t>
  </si>
  <si>
    <t>Zirin, Harold.</t>
  </si>
  <si>
    <t>Cambridge [Cambridgeshire] ; New York : Cambridge University Press, 1988.</t>
  </si>
  <si>
    <t>8723123:eng</t>
  </si>
  <si>
    <t>14376571</t>
  </si>
  <si>
    <t>991000937289702656</t>
  </si>
  <si>
    <t>2264161170002656</t>
  </si>
  <si>
    <t>9780521316071</t>
  </si>
  <si>
    <t>32285001433365</t>
  </si>
  <si>
    <t>893608399</t>
  </si>
  <si>
    <t>QB521 .Z58 2002</t>
  </si>
  <si>
    <t>0                      QB 0521000Z  58          2002</t>
  </si>
  <si>
    <t>Journey from the center of the sun / Jack B. Zirker.</t>
  </si>
  <si>
    <t>Zirker, Jack B.</t>
  </si>
  <si>
    <t>Princeton, N.J. : Princeton University Press, c2002.</t>
  </si>
  <si>
    <t>2002-10-08</t>
  </si>
  <si>
    <t>183112:eng</t>
  </si>
  <si>
    <t>45202072</t>
  </si>
  <si>
    <t>991003886659702656</t>
  </si>
  <si>
    <t>2262130530002656</t>
  </si>
  <si>
    <t>9780691057811</t>
  </si>
  <si>
    <t>32285004652987</t>
  </si>
  <si>
    <t>893881675</t>
  </si>
  <si>
    <t>QB521.4 .G56 1984</t>
  </si>
  <si>
    <t>0                      QB 0521400G  56          1984</t>
  </si>
  <si>
    <t>Secrets of the sun / Ronald G. Giovanelli.</t>
  </si>
  <si>
    <t>Giovanelli, Ronald G.</t>
  </si>
  <si>
    <t>Cambridge [Cambridgeshire] ; New York : Cambridge University Press, 1984.</t>
  </si>
  <si>
    <t>2002-11-04</t>
  </si>
  <si>
    <t>3370943:eng</t>
  </si>
  <si>
    <t>10724147</t>
  </si>
  <si>
    <t>991000415269702656</t>
  </si>
  <si>
    <t>2263129900002656</t>
  </si>
  <si>
    <t>9780521255219</t>
  </si>
  <si>
    <t>32285001433373</t>
  </si>
  <si>
    <t>893528025</t>
  </si>
  <si>
    <t>QB521.A2 S8</t>
  </si>
  <si>
    <t>0                      QB 0521000A  2                  S  8</t>
  </si>
  <si>
    <t>The sun / translated by J.B. Sidgwick.</t>
  </si>
  <si>
    <t>Abetti, Giorgio, 1882-1982.</t>
  </si>
  <si>
    <t>New York : Macmillan, [c1957]</t>
  </si>
  <si>
    <t>427970706:eng</t>
  </si>
  <si>
    <t>551008</t>
  </si>
  <si>
    <t>991002974249702656</t>
  </si>
  <si>
    <t>2257842950002656</t>
  </si>
  <si>
    <t>32285001441368</t>
  </si>
  <si>
    <t>893610550</t>
  </si>
  <si>
    <t>QB525 .B78 1965</t>
  </si>
  <si>
    <t>0                      QB 0525000B  78          1965</t>
  </si>
  <si>
    <t>Sunspots / [by] R.J. Bray and R.E. Loughhead.</t>
  </si>
  <si>
    <t>Bray, R. J.</t>
  </si>
  <si>
    <t>New York : Wiley, [1965, c1964]</t>
  </si>
  <si>
    <t>1992-01-26</t>
  </si>
  <si>
    <t>1991-09-30</t>
  </si>
  <si>
    <t>495384:eng</t>
  </si>
  <si>
    <t>1343142</t>
  </si>
  <si>
    <t>991003705679702656</t>
  </si>
  <si>
    <t>2263509800002656</t>
  </si>
  <si>
    <t>32285000760081</t>
  </si>
  <si>
    <t>893429108</t>
  </si>
  <si>
    <t>QB528 .S6</t>
  </si>
  <si>
    <t>0                      QB 0528000S  6</t>
  </si>
  <si>
    <t>Solar flares / [by] Henry J. Smith [and] Elske v.P. Smith.</t>
  </si>
  <si>
    <t>Smith, Henry J.</t>
  </si>
  <si>
    <t>New York : Macmillan, [1963]</t>
  </si>
  <si>
    <t>1992-01-23</t>
  </si>
  <si>
    <t>148010408:eng</t>
  </si>
  <si>
    <t>530687</t>
  </si>
  <si>
    <t>991002930399702656</t>
  </si>
  <si>
    <t>2266511430002656</t>
  </si>
  <si>
    <t>32285000760099</t>
  </si>
  <si>
    <t>893329730</t>
  </si>
  <si>
    <t>QB528 .Z5</t>
  </si>
  <si>
    <t>0                      QB 0528000Z  5</t>
  </si>
  <si>
    <t>The solar atmosphere.</t>
  </si>
  <si>
    <t>Waltham, Mass. : Blaisdell Pub. Co., [1966]</t>
  </si>
  <si>
    <t>A Blaisdell book in the pure and applied sciences</t>
  </si>
  <si>
    <t>1543647:eng</t>
  </si>
  <si>
    <t>530626</t>
  </si>
  <si>
    <t>991002930279702656</t>
  </si>
  <si>
    <t>2266592760002656</t>
  </si>
  <si>
    <t>32285000760107</t>
  </si>
  <si>
    <t>893440701</t>
  </si>
  <si>
    <t>QB529 .S627 1987</t>
  </si>
  <si>
    <t>0                      QB 0529000S  627         1987</t>
  </si>
  <si>
    <t>The Solar wind and the earth / edited by S.-I. Akasofu and Y. Kamide.</t>
  </si>
  <si>
    <t>Tokyo, Japan : Terra Scientific Pub. Co. ; Dordrecht ; Boston : D. Reidel Pub. Co. ; Norwell, MA, U.S.A. : Sold and distributed in the U.S.A. and Canada by Kluwer Boston Inc., c1987.</t>
  </si>
  <si>
    <t xml:space="preserve">ja </t>
  </si>
  <si>
    <t>Geophysics and astrophysics monographs</t>
  </si>
  <si>
    <t>350230341:eng</t>
  </si>
  <si>
    <t>15284057</t>
  </si>
  <si>
    <t>991001011489702656</t>
  </si>
  <si>
    <t>2265118300002656</t>
  </si>
  <si>
    <t>9789027724724</t>
  </si>
  <si>
    <t>32285001031755</t>
  </si>
  <si>
    <t>893696387</t>
  </si>
  <si>
    <t>QB531 .S58</t>
  </si>
  <si>
    <t>0                      QB 0531000S  58</t>
  </si>
  <si>
    <t>The Solar output and its variation / edited by Oran R. White.</t>
  </si>
  <si>
    <t>Boulder : Colorado Associated University Press, c1977.</t>
  </si>
  <si>
    <t>cou</t>
  </si>
  <si>
    <t>1992-11-23</t>
  </si>
  <si>
    <t>11787048:eng</t>
  </si>
  <si>
    <t>3631958</t>
  </si>
  <si>
    <t>991004484229702656</t>
  </si>
  <si>
    <t>2259321410002656</t>
  </si>
  <si>
    <t>9780871800718</t>
  </si>
  <si>
    <t>32285001433399</t>
  </si>
  <si>
    <t>893612404</t>
  </si>
  <si>
    <t>QB539.E8 C66 1979</t>
  </si>
  <si>
    <t>0                      QB 0539000E  8                  C  66          1979</t>
  </si>
  <si>
    <t>The ancient sun : fossil record in the earth, moon, and meteorites : proceedings of the Conference on the Ancient Sun : Fossil Record in the Earth, Moon, and Meteorites, Boulder, Colorado, October 16-19, 1979 / edited by R.O. Pepin, J.A. Eddy, R.B. Merrill ; compiled by the Lunar and Planetary Institute, Houston, Texas.</t>
  </si>
  <si>
    <t>Conference on the Ancient Sun: Fossil Record in the Earth, Moon, and Meteorites (1979 : National Center for Atmospheric Research)</t>
  </si>
  <si>
    <t>New York : Pergamon Press, 1980.</t>
  </si>
  <si>
    <t>1st. ed.</t>
  </si>
  <si>
    <t>Geochimica et cosmochimica acta. Supplement ; 13</t>
  </si>
  <si>
    <t>1990-02-05</t>
  </si>
  <si>
    <t>111513977:eng</t>
  </si>
  <si>
    <t>6603832</t>
  </si>
  <si>
    <t>991005012489702656</t>
  </si>
  <si>
    <t>2254842680002656</t>
  </si>
  <si>
    <t>9780080263243</t>
  </si>
  <si>
    <t>32285000032770</t>
  </si>
  <si>
    <t>893248214</t>
  </si>
  <si>
    <t>QB539.I5 Z57 2003</t>
  </si>
  <si>
    <t>0                      QB 0539000I  5                  Z  57          2003</t>
  </si>
  <si>
    <t>Sunquakes : probing the interior of the sun / J.B. Zirker.</t>
  </si>
  <si>
    <t>Baltimore : Johns Hopkins University Press, 2003.</t>
  </si>
  <si>
    <t>2004-04-07</t>
  </si>
  <si>
    <t>800879581:eng</t>
  </si>
  <si>
    <t>52030324</t>
  </si>
  <si>
    <t>991004261759702656</t>
  </si>
  <si>
    <t>2256445140002656</t>
  </si>
  <si>
    <t>9780801874192</t>
  </si>
  <si>
    <t>32285004898689</t>
  </si>
  <si>
    <t>893775827</t>
  </si>
  <si>
    <t>QB54 .A84 1979</t>
  </si>
  <si>
    <t>0                      QB 0054000A  84          1979</t>
  </si>
  <si>
    <t>Extraterrestrial civilizations / Isaac Asimov.</t>
  </si>
  <si>
    <t>New York : Crown Publishers, c1979.</t>
  </si>
  <si>
    <t>1998-04-17</t>
  </si>
  <si>
    <t>1990-04-04</t>
  </si>
  <si>
    <t>46520966:eng</t>
  </si>
  <si>
    <t>4638134</t>
  </si>
  <si>
    <t>991004693839702656</t>
  </si>
  <si>
    <t>2256127830002656</t>
  </si>
  <si>
    <t>9780517530757</t>
  </si>
  <si>
    <t>32285000109933</t>
  </si>
  <si>
    <t>893612656</t>
  </si>
  <si>
    <t>QB54 .B64 1990</t>
  </si>
  <si>
    <t>0                      QB 0054000B  64          1990</t>
  </si>
  <si>
    <t>Out there : the government's secret quest for extraterrestrials / Howard Blum.</t>
  </si>
  <si>
    <t>Blum, Howard.</t>
  </si>
  <si>
    <t>New York : Simon and Schuster, c1990.</t>
  </si>
  <si>
    <t>2003-02-02</t>
  </si>
  <si>
    <t>1990-10-17</t>
  </si>
  <si>
    <t>23786008:eng</t>
  </si>
  <si>
    <t>21593790</t>
  </si>
  <si>
    <t>991001709399702656</t>
  </si>
  <si>
    <t>2256215740002656</t>
  </si>
  <si>
    <t>9780671662608</t>
  </si>
  <si>
    <t>32285000311323</t>
  </si>
  <si>
    <t>893516421</t>
  </si>
  <si>
    <t>QB54 .B69 1975</t>
  </si>
  <si>
    <t>0                      QB 0054000B  69          1975</t>
  </si>
  <si>
    <t>The Galactic Club : intelligent life in outer space / Ronald N. Bracewell.</t>
  </si>
  <si>
    <t>Bracewell, Ronald N. (Ronald Newbold), 1921-2007.</t>
  </si>
  <si>
    <t>San Francisco : W. H. Freeman : distributed by Scribner, New York, [1975]</t>
  </si>
  <si>
    <t>1995-04-21</t>
  </si>
  <si>
    <t>1993-07-21</t>
  </si>
  <si>
    <t>907586448:eng</t>
  </si>
  <si>
    <t>1093435</t>
  </si>
  <si>
    <t>991003530489702656</t>
  </si>
  <si>
    <t>2264774610002656</t>
  </si>
  <si>
    <t>9780716703532</t>
  </si>
  <si>
    <t>32285001723963</t>
  </si>
  <si>
    <t>893874855</t>
  </si>
  <si>
    <t>QB54 .B69813 1982</t>
  </si>
  <si>
    <t>0                      QB 0054000B  69813       1982</t>
  </si>
  <si>
    <t>Contact with the stars : the search for extraterrestrial life / Reinhard Breuer ; translated from the German by Cecilia Payne-Gapochkin and Mark Lowery.</t>
  </si>
  <si>
    <t>Breuer, Reinhard, 1946-</t>
  </si>
  <si>
    <t>Oxford [Oxfordshire] ; San Francisco : W.H. Freeman, c1982.</t>
  </si>
  <si>
    <t>1998-05-01</t>
  </si>
  <si>
    <t>18524670:eng</t>
  </si>
  <si>
    <t>7672494</t>
  </si>
  <si>
    <t>991005147699702656</t>
  </si>
  <si>
    <t>2271466140002656</t>
  </si>
  <si>
    <t>9780716713555</t>
  </si>
  <si>
    <t>32285001431724</t>
  </si>
  <si>
    <t>893236364</t>
  </si>
  <si>
    <t>QB54 .C33</t>
  </si>
  <si>
    <t>0                      QB 0054000C  33</t>
  </si>
  <si>
    <t>Interstellar communication : a collection of reprints and original contributions.</t>
  </si>
  <si>
    <t>Cameron, A. G. W. (Alastair Graham Walter), 1925-, editor.</t>
  </si>
  <si>
    <t>New York : W.A. Benjamin, 1963.</t>
  </si>
  <si>
    <t>Physical investigations of the universe</t>
  </si>
  <si>
    <t>364641530:eng</t>
  </si>
  <si>
    <t>537705</t>
  </si>
  <si>
    <t>991002948899702656</t>
  </si>
  <si>
    <t>2261921750002656</t>
  </si>
  <si>
    <t>32285001379485</t>
  </si>
  <si>
    <t>893805253</t>
  </si>
  <si>
    <t>QB54 .C37 1997</t>
  </si>
  <si>
    <t>0                      QB 0054000C  37          1997</t>
  </si>
  <si>
    <t>Carl Sagan's universe / edited by Yervant Terzian, Elizabeth Bilson.</t>
  </si>
  <si>
    <t>Cambridge, U.K. ; New York, NY, USA : Cambridge University Press, 1997.</t>
  </si>
  <si>
    <t>1999-01-25</t>
  </si>
  <si>
    <t>1998-05-05</t>
  </si>
  <si>
    <t>352300948:eng</t>
  </si>
  <si>
    <t>36130681</t>
  </si>
  <si>
    <t>991002753779702656</t>
  </si>
  <si>
    <t>2254826210002656</t>
  </si>
  <si>
    <t>9780521572866</t>
  </si>
  <si>
    <t>32285003405882</t>
  </si>
  <si>
    <t>893886654</t>
  </si>
  <si>
    <t>QB54 .C564 1999</t>
  </si>
  <si>
    <t>0                      QB 0054000C  564         1999</t>
  </si>
  <si>
    <t>Aliens : can we make contact with extraterrestrial intelligence? / Andrew J.H. Clark &amp; David H. Clark.</t>
  </si>
  <si>
    <t>Clark, Andrew J. H.</t>
  </si>
  <si>
    <t>New York : Fromm International, 1999.</t>
  </si>
  <si>
    <t>1st Fromm International ed.</t>
  </si>
  <si>
    <t>53355:eng</t>
  </si>
  <si>
    <t>41086702</t>
  </si>
  <si>
    <t>991003018209702656</t>
  </si>
  <si>
    <t>2261600160002656</t>
  </si>
  <si>
    <t>9780880642330</t>
  </si>
  <si>
    <t>32285003670006</t>
  </si>
  <si>
    <t>893323662</t>
  </si>
  <si>
    <t>QB54 .C64 2002</t>
  </si>
  <si>
    <t>0                      QB 0054000C  64          2002</t>
  </si>
  <si>
    <t>What does a martian look like? : the science of extraterrestrial life / Jack Cohen and Ian Stewart.</t>
  </si>
  <si>
    <t>Cohen, Jack.</t>
  </si>
  <si>
    <t>Hoboken, N.J. : J. Wiley, c2002.</t>
  </si>
  <si>
    <t>2005-11-28</t>
  </si>
  <si>
    <t>2003-01-21</t>
  </si>
  <si>
    <t>786819558:eng</t>
  </si>
  <si>
    <t>50124331</t>
  </si>
  <si>
    <t>991003962849702656</t>
  </si>
  <si>
    <t>2267375920002656</t>
  </si>
  <si>
    <t>9780471268895</t>
  </si>
  <si>
    <t>32285004694856</t>
  </si>
  <si>
    <t>893593111</t>
  </si>
  <si>
    <t>QB54 .C66</t>
  </si>
  <si>
    <t>0                      QB 0054000C  66</t>
  </si>
  <si>
    <t>Communication with extraterrestrial intelligence (CETI) / edited by Carl Sagan.</t>
  </si>
  <si>
    <t>Cambridge, Mass. ; London : M.I.T. Press, 1973.</t>
  </si>
  <si>
    <t>1991-12-04</t>
  </si>
  <si>
    <t>10927962:eng</t>
  </si>
  <si>
    <t>700752</t>
  </si>
  <si>
    <t>991001094959702656</t>
  </si>
  <si>
    <t>2265675110002656</t>
  </si>
  <si>
    <t>9780262191067</t>
  </si>
  <si>
    <t>32285000844497</t>
  </si>
  <si>
    <t>893614775</t>
  </si>
  <si>
    <t>QB54 .C67 1981</t>
  </si>
  <si>
    <t>0                      QB 0054000C  67          1981</t>
  </si>
  <si>
    <t>The search for life on Mars : evolution of an idea / Henry S.F. Cooper, Jr.</t>
  </si>
  <si>
    <t>Cooper, Henry S. F., Jr. (Henry Spotswood Fenimore), 1933-2016.</t>
  </si>
  <si>
    <t>New York : Holt, Rinehart, and Winston, 1981, c1980.</t>
  </si>
  <si>
    <t>1st Owl Book ed.</t>
  </si>
  <si>
    <t>1995-11-01</t>
  </si>
  <si>
    <t>401320:eng</t>
  </si>
  <si>
    <t>7277891</t>
  </si>
  <si>
    <t>991005098519702656</t>
  </si>
  <si>
    <t>2263845210002656</t>
  </si>
  <si>
    <t>9780030461668</t>
  </si>
  <si>
    <t>32285001431732</t>
  </si>
  <si>
    <t>893320015</t>
  </si>
  <si>
    <t>QB54 .C76 1986</t>
  </si>
  <si>
    <t>0                      QB 0054000C  76          1986</t>
  </si>
  <si>
    <t>The extraterrestrial life debate, 1750-1900 : the idea of a plurality of worlds from Kant to Lowell / Michael J. Crowe.</t>
  </si>
  <si>
    <t>Crowe, Michael J.</t>
  </si>
  <si>
    <t>1998-04-11</t>
  </si>
  <si>
    <t>1991-11-25</t>
  </si>
  <si>
    <t>9380935993:eng</t>
  </si>
  <si>
    <t>11969914</t>
  </si>
  <si>
    <t>991000618199702656</t>
  </si>
  <si>
    <t>2260784890002656</t>
  </si>
  <si>
    <t>9780521263054</t>
  </si>
  <si>
    <t>32285000844901</t>
  </si>
  <si>
    <t>893708537</t>
  </si>
  <si>
    <t>QB54 .D38 1995</t>
  </si>
  <si>
    <t>0                      QB 0054000D  38          1995</t>
  </si>
  <si>
    <t>Are we alone? : philosophical implications of the discovery of extraterrestrial life / Paul Davies.</t>
  </si>
  <si>
    <t>New York : BasicBooks, 1995.</t>
  </si>
  <si>
    <t>2006-12-08</t>
  </si>
  <si>
    <t>1995-10-23</t>
  </si>
  <si>
    <t>836890066:eng</t>
  </si>
  <si>
    <t>32085300</t>
  </si>
  <si>
    <t>991002461619702656</t>
  </si>
  <si>
    <t>2272281050002656</t>
  </si>
  <si>
    <t>9780465004188</t>
  </si>
  <si>
    <t>32285002097045</t>
  </si>
  <si>
    <t>893335350</t>
  </si>
  <si>
    <t>QB54 .D3913 1991</t>
  </si>
  <si>
    <t>0                      QB 0054000D  3913        1991</t>
  </si>
  <si>
    <t>The cosmic water hole / Emmanuel Davoust ; translated by Barbara Jachowicz.</t>
  </si>
  <si>
    <t>Davoust, Emmanuel.</t>
  </si>
  <si>
    <t>Cambridge, Mass. : MIT Press, 1991.</t>
  </si>
  <si>
    <t>1st MIT Press ed.</t>
  </si>
  <si>
    <t>1992-04-23</t>
  </si>
  <si>
    <t>20700598:eng</t>
  </si>
  <si>
    <t>22111249</t>
  </si>
  <si>
    <t>991001744889702656</t>
  </si>
  <si>
    <t>2265933060002656</t>
  </si>
  <si>
    <t>9780262041140</t>
  </si>
  <si>
    <t>32285001037109</t>
  </si>
  <si>
    <t>893497319</t>
  </si>
  <si>
    <t>QB54 .D47 1996</t>
  </si>
  <si>
    <t>0                      QB 0054000D  47          1996</t>
  </si>
  <si>
    <t>The biological universe : the twentieth-century extraterrestrial life debate and the limits of science / Steven J. Dick.</t>
  </si>
  <si>
    <t>Dick, Steven J.</t>
  </si>
  <si>
    <t>1996-08-14</t>
  </si>
  <si>
    <t>20648878:eng</t>
  </si>
  <si>
    <t>33102034</t>
  </si>
  <si>
    <t>991002547789702656</t>
  </si>
  <si>
    <t>2272086140002656</t>
  </si>
  <si>
    <t>9780521343268</t>
  </si>
  <si>
    <t>32285002290103</t>
  </si>
  <si>
    <t>893892699</t>
  </si>
  <si>
    <t>QB54 .D475 1998</t>
  </si>
  <si>
    <t>0                      QB 0054000D  475         1998</t>
  </si>
  <si>
    <t>Life on other worlds : the 20th-century extraterrestrial life debate / Steven J. Dick.</t>
  </si>
  <si>
    <t>Cambridge ; New York : Cambridge University Press, 1998.</t>
  </si>
  <si>
    <t>2006-05-15</t>
  </si>
  <si>
    <t>1998-11-16</t>
  </si>
  <si>
    <t>34960604:eng</t>
  </si>
  <si>
    <t>39093581</t>
  </si>
  <si>
    <t>991002938759702656</t>
  </si>
  <si>
    <t>2272807740002656</t>
  </si>
  <si>
    <t>9780521620123</t>
  </si>
  <si>
    <t>32285003489183</t>
  </si>
  <si>
    <t>893434481</t>
  </si>
  <si>
    <t>QB54 .D63 1970</t>
  </si>
  <si>
    <t>0                      QB 0054000D  63          1970</t>
  </si>
  <si>
    <t>Habitable planets for man / [by] Stephen H. Dole.</t>
  </si>
  <si>
    <t>Dole, Stephen H.</t>
  </si>
  <si>
    <t>New York : American Elsevier Pub. Co., 1970.</t>
  </si>
  <si>
    <t>1990-04-18</t>
  </si>
  <si>
    <t>1170849:eng</t>
  </si>
  <si>
    <t>101260</t>
  </si>
  <si>
    <t>991000614309702656</t>
  </si>
  <si>
    <t>2261279140002656</t>
  </si>
  <si>
    <t>9780444000927</t>
  </si>
  <si>
    <t>32285000116649</t>
  </si>
  <si>
    <t>893589601</t>
  </si>
  <si>
    <t>QB54 .D72 1992</t>
  </si>
  <si>
    <t>0                      QB 0054000D  72          1992</t>
  </si>
  <si>
    <t>Is anyone out there? : the scientific search for extraterrestrial intelligence / Frank Drake and Dava Sobel.</t>
  </si>
  <si>
    <t>Drake, Frank D.</t>
  </si>
  <si>
    <t>New York, N.Y. : Delacorte Press, 1992.</t>
  </si>
  <si>
    <t>1993-01-14</t>
  </si>
  <si>
    <t>793345922:eng</t>
  </si>
  <si>
    <t>25282445</t>
  </si>
  <si>
    <t>991001990559702656</t>
  </si>
  <si>
    <t>2271281930002656</t>
  </si>
  <si>
    <t>9780385305327</t>
  </si>
  <si>
    <t>32285001445641</t>
  </si>
  <si>
    <t>893621787</t>
  </si>
  <si>
    <t>QB54 .E95 1982</t>
  </si>
  <si>
    <t>0                      QB 0054000E  95          1982</t>
  </si>
  <si>
    <t>Extraterrestrials, where are they? / edited by Michael H. Hart and Ben Zuckerman.</t>
  </si>
  <si>
    <t>New York : Pergamon Press, c1982.</t>
  </si>
  <si>
    <t>1994-12-11</t>
  </si>
  <si>
    <t>1992-11-13</t>
  </si>
  <si>
    <t>896872680:eng</t>
  </si>
  <si>
    <t>7275109</t>
  </si>
  <si>
    <t>991005097119702656</t>
  </si>
  <si>
    <t>2260640180002656</t>
  </si>
  <si>
    <t>9780080263410</t>
  </si>
  <si>
    <t>32285001384832</t>
  </si>
  <si>
    <t>893412311</t>
  </si>
  <si>
    <t>QB54 .E97 1989</t>
  </si>
  <si>
    <t>0                      QB 0054000E  97          1989</t>
  </si>
  <si>
    <t>Extraterrestrial civilization / edited by Thomas B.H. Kuiper and Glen David Brin.</t>
  </si>
  <si>
    <t>College Park, MD : American Association of Physics Teachers, 1989.</t>
  </si>
  <si>
    <t>1990-06-21</t>
  </si>
  <si>
    <t>23523554:eng</t>
  </si>
  <si>
    <t>21487310</t>
  </si>
  <si>
    <t>991001696739702656</t>
  </si>
  <si>
    <t>2263535850002656</t>
  </si>
  <si>
    <t>9780917853388</t>
  </si>
  <si>
    <t>32285000179118</t>
  </si>
  <si>
    <t>893408290</t>
  </si>
  <si>
    <t>QB54 .H29 1997</t>
  </si>
  <si>
    <t>0                      QB 0054000H  29          1997</t>
  </si>
  <si>
    <t>After contact : the human response to extraterrestrial life / Albert A. Harrison.</t>
  </si>
  <si>
    <t>Harrison, Albert A.</t>
  </si>
  <si>
    <t>New York : Plenum Trade, 1997.</t>
  </si>
  <si>
    <t>1999-03-28</t>
  </si>
  <si>
    <t>1997-11-06</t>
  </si>
  <si>
    <t>809111262:eng</t>
  </si>
  <si>
    <t>37443315</t>
  </si>
  <si>
    <t>991002842189702656</t>
  </si>
  <si>
    <t>2262298610002656</t>
  </si>
  <si>
    <t>9780306456213</t>
  </si>
  <si>
    <t>32285003277166</t>
  </si>
  <si>
    <t>893710743</t>
  </si>
  <si>
    <t>QB54 .H39613 1997</t>
  </si>
  <si>
    <t>0                      QB 0054000H  39613       1997</t>
  </si>
  <si>
    <t>Extraterrestrial intelligence / Jean Heidmann ; translated by Storm Dunlop.</t>
  </si>
  <si>
    <t>Heidmann, Jean.</t>
  </si>
  <si>
    <t>Cambridge : Cambridge University Press, 1997.</t>
  </si>
  <si>
    <t>2000-11-13</t>
  </si>
  <si>
    <t>1997-10-01</t>
  </si>
  <si>
    <t>1151740332:eng</t>
  </si>
  <si>
    <t>39485390</t>
  </si>
  <si>
    <t>991002809889702656</t>
  </si>
  <si>
    <t>2258715860002656</t>
  </si>
  <si>
    <t>9780521453400</t>
  </si>
  <si>
    <t>32285003251823</t>
  </si>
  <si>
    <t>893251639</t>
  </si>
  <si>
    <t>QB54 .J25 1998</t>
  </si>
  <si>
    <t>0                      QB 0054000J  25          1998</t>
  </si>
  <si>
    <t>The search for life on other planets / by Bruce Jakosky.</t>
  </si>
  <si>
    <t>Jakosky, Bruce M.</t>
  </si>
  <si>
    <t>Cambridge ; New York : Cambridge University Press, c1998.</t>
  </si>
  <si>
    <t>1999-12-07</t>
  </si>
  <si>
    <t>10677872219:eng</t>
  </si>
  <si>
    <t>38090975</t>
  </si>
  <si>
    <t>991002891099702656</t>
  </si>
  <si>
    <t>2272540750002656</t>
  </si>
  <si>
    <t>9780521591652</t>
  </si>
  <si>
    <t>32285003628970</t>
  </si>
  <si>
    <t>893899374</t>
  </si>
  <si>
    <t>QB54 .L43 1998</t>
  </si>
  <si>
    <t>0                      QB 0054000L  43          1998</t>
  </si>
  <si>
    <t>Other worlds : the search for life in the universe / Michael D. Lemonick.</t>
  </si>
  <si>
    <t>Lemonick, Michael D., 1953-</t>
  </si>
  <si>
    <t>New York : Simon &amp; Schuster, 1998.</t>
  </si>
  <si>
    <t>1998-07-21</t>
  </si>
  <si>
    <t>1998-07-15</t>
  </si>
  <si>
    <t>572366:eng</t>
  </si>
  <si>
    <t>38090913</t>
  </si>
  <si>
    <t>991002891079702656</t>
  </si>
  <si>
    <t>2272574650002656</t>
  </si>
  <si>
    <t>9780684832944</t>
  </si>
  <si>
    <t>32285003432118</t>
  </si>
  <si>
    <t>893317404</t>
  </si>
  <si>
    <t>QB54 .L483</t>
  </si>
  <si>
    <t>0                      QB 0054000L  483</t>
  </si>
  <si>
    <t>Life in the universe / John Billingham, editor.</t>
  </si>
  <si>
    <t>Cambridge, Mass. : MIT Press, 1981.</t>
  </si>
  <si>
    <t>1998-02-01</t>
  </si>
  <si>
    <t>3857006143:eng</t>
  </si>
  <si>
    <t>7838133</t>
  </si>
  <si>
    <t>991005169379702656</t>
  </si>
  <si>
    <t>2255798600002656</t>
  </si>
  <si>
    <t>9780262520621</t>
  </si>
  <si>
    <t>32285000109941</t>
  </si>
  <si>
    <t>893883437</t>
  </si>
  <si>
    <t>QB54 .M28 1966</t>
  </si>
  <si>
    <t>0                      QB 0054000M  28          1966</t>
  </si>
  <si>
    <t>Intelligence in the universe / Roger A. MacGowan [and] Frederick I. Ordway, III. Illustrated by Harry H-K Lange.</t>
  </si>
  <si>
    <t>MacGowan, Roger A.</t>
  </si>
  <si>
    <t>Englewood Cliffs, N.J. : Prentice-Hall, c1966.</t>
  </si>
  <si>
    <t>1543029:eng</t>
  </si>
  <si>
    <t>530398</t>
  </si>
  <si>
    <t>991002929369702656</t>
  </si>
  <si>
    <t>2266623270002656</t>
  </si>
  <si>
    <t>32285000109958</t>
  </si>
  <si>
    <t>893239685</t>
  </si>
  <si>
    <t>QB54 .M527 1987</t>
  </si>
  <si>
    <t>0                      QB 0054000M  527         1987</t>
  </si>
  <si>
    <t>The search for extraterrestrial intelligence : listening for life in the cosmos / Thomas R. McDonough.</t>
  </si>
  <si>
    <t>McDonough, Thomas R.</t>
  </si>
  <si>
    <t>New York : Wiley, c1987.</t>
  </si>
  <si>
    <t>Wiley Science ed.</t>
  </si>
  <si>
    <t>1999-04-29</t>
  </si>
  <si>
    <t>1991-12-23</t>
  </si>
  <si>
    <t>836660172:eng</t>
  </si>
  <si>
    <t>13903753</t>
  </si>
  <si>
    <t>991000889839702656</t>
  </si>
  <si>
    <t>2270130270002656</t>
  </si>
  <si>
    <t>9780471846840</t>
  </si>
  <si>
    <t>32285000880921</t>
  </si>
  <si>
    <t>893714987</t>
  </si>
  <si>
    <t>QB54 .P33 1998</t>
  </si>
  <si>
    <t>0                      QB 0054000P  33          1998</t>
  </si>
  <si>
    <t>Alien life : the search for extraterrestrials and beyond / Barry Parker ; drawings by Lori Scoffield.</t>
  </si>
  <si>
    <t>New York : Plenum Trade, c1998.</t>
  </si>
  <si>
    <t>1999-02-11</t>
  </si>
  <si>
    <t>340350950:eng</t>
  </si>
  <si>
    <t>38438990</t>
  </si>
  <si>
    <t>991002908899702656</t>
  </si>
  <si>
    <t>2271456530002656</t>
  </si>
  <si>
    <t>9780306457951</t>
  </si>
  <si>
    <t>32285003519500</t>
  </si>
  <si>
    <t>893616751</t>
  </si>
  <si>
    <t>QB54 .P53 1998</t>
  </si>
  <si>
    <t>0                      QB 0054000P  53          1998</t>
  </si>
  <si>
    <t>The science of aliens / Clifford Pickover.</t>
  </si>
  <si>
    <t>Pickover, Clifford A.</t>
  </si>
  <si>
    <t>New York, NY : Basic Books, c1998.</t>
  </si>
  <si>
    <t>2007-12-21</t>
  </si>
  <si>
    <t>1999-01-07</t>
  </si>
  <si>
    <t>20599150:eng</t>
  </si>
  <si>
    <t>40358277</t>
  </si>
  <si>
    <t>991002990479702656</t>
  </si>
  <si>
    <t>2256185970002656</t>
  </si>
  <si>
    <t>9780465073146</t>
  </si>
  <si>
    <t>32285003510418</t>
  </si>
  <si>
    <t>893415895</t>
  </si>
  <si>
    <t>QB54 .Q43 1980</t>
  </si>
  <si>
    <t>0                      QB 0054000Q  43          1980</t>
  </si>
  <si>
    <t>The Quest for extraterrestrial life : a book of readings / [compiled by] Donald Goldsmith ; [foreword by Sir Fred Hoyle].</t>
  </si>
  <si>
    <t>Mill Valley, Calif. (20 Edgehill Road, Mill Valley, CA 94941) : University Science Books, c1980.</t>
  </si>
  <si>
    <t>2001-03-15</t>
  </si>
  <si>
    <t>1991-08-21</t>
  </si>
  <si>
    <t>807308901:eng</t>
  </si>
  <si>
    <t>7121102</t>
  </si>
  <si>
    <t>991005076589702656</t>
  </si>
  <si>
    <t>2260757070002656</t>
  </si>
  <si>
    <t>9780935702026</t>
  </si>
  <si>
    <t>32285000669167</t>
  </si>
  <si>
    <t>893789397</t>
  </si>
  <si>
    <t>QB54 .S242</t>
  </si>
  <si>
    <t>0                      QB 0054000S  242</t>
  </si>
  <si>
    <t>The cosmic connection : an extraterrestrial perspective / Produced by Jerome Agel.</t>
  </si>
  <si>
    <t>Sagan, Carl, 1934-1996.</t>
  </si>
  <si>
    <t>Garden City, N.Y. : Anchor Press, 1973.</t>
  </si>
  <si>
    <t>2009-04-24</t>
  </si>
  <si>
    <t>48680648:eng</t>
  </si>
  <si>
    <t>756158</t>
  </si>
  <si>
    <t>991003231429702656</t>
  </si>
  <si>
    <t>2271199860002656</t>
  </si>
  <si>
    <t>9780385004572</t>
  </si>
  <si>
    <t>32285000844489</t>
  </si>
  <si>
    <t>893441049</t>
  </si>
  <si>
    <t>QB54 .S263 2006</t>
  </si>
  <si>
    <t>0                      QB 0054000S  263         2006</t>
  </si>
  <si>
    <t>The rock from Mars : a detective story on two planets / Kathy Sawyer.</t>
  </si>
  <si>
    <t>Sawyer, Kathy.</t>
  </si>
  <si>
    <t>New York : Random House, c2006.</t>
  </si>
  <si>
    <t>2006</t>
  </si>
  <si>
    <t>2006-02-23</t>
  </si>
  <si>
    <t>794224034:eng</t>
  </si>
  <si>
    <t>58789284</t>
  </si>
  <si>
    <t>991004701199702656</t>
  </si>
  <si>
    <t>2270113750002656</t>
  </si>
  <si>
    <t>9781400060108</t>
  </si>
  <si>
    <t>32285005160261</t>
  </si>
  <si>
    <t>893719255</t>
  </si>
  <si>
    <t>QB54 .S523</t>
  </si>
  <si>
    <t>0                      QB 0054000S  523</t>
  </si>
  <si>
    <t>Intelligent life in the universe / by I. S. Shklovskii and Carl Sagan. Authorized translation by Paula Fern.</t>
  </si>
  <si>
    <t>San Francisco : Holden-Day, 1966.</t>
  </si>
  <si>
    <t>1992-11-24</t>
  </si>
  <si>
    <t>792583743:eng</t>
  </si>
  <si>
    <t>317314</t>
  </si>
  <si>
    <t>991002300729702656</t>
  </si>
  <si>
    <t>2267494240002656</t>
  </si>
  <si>
    <t>32285001409720</t>
  </si>
  <si>
    <t>893603433</t>
  </si>
  <si>
    <t>QB54 .S63 1970</t>
  </si>
  <si>
    <t>0                      QB 0054000S  63          1970</t>
  </si>
  <si>
    <t>Planets and life / [by] P.H.A. Sneath.</t>
  </si>
  <si>
    <t>Sneath, P. H. A. (Peter Henry Andrews), 1923-2011.</t>
  </si>
  <si>
    <t>New York : Funk and Wagnalls, [1970]</t>
  </si>
  <si>
    <t>The World of science library</t>
  </si>
  <si>
    <t>1172414:eng</t>
  </si>
  <si>
    <t>173865</t>
  </si>
  <si>
    <t>991001021839702656</t>
  </si>
  <si>
    <t>2268434880002656</t>
  </si>
  <si>
    <t>32285000116623</t>
  </si>
  <si>
    <t>893327804</t>
  </si>
  <si>
    <t>QB54 .S9 1966a</t>
  </si>
  <si>
    <t>0                      QB 0054000S  9           1966a</t>
  </si>
  <si>
    <t>We are not alone : the search for intelligent life on other worlds / by Walter Sullivan.</t>
  </si>
  <si>
    <t>Sullivan, Walter.</t>
  </si>
  <si>
    <t>New York : New American Library, c1964, 1966 printing.</t>
  </si>
  <si>
    <t>Signet book ; Q3544</t>
  </si>
  <si>
    <t>2000-09-25</t>
  </si>
  <si>
    <t>1991-11-13</t>
  </si>
  <si>
    <t>1541917:eng</t>
  </si>
  <si>
    <t>592058</t>
  </si>
  <si>
    <t>991003028829702656</t>
  </si>
  <si>
    <t>2266394420002656</t>
  </si>
  <si>
    <t>32285000823889</t>
  </si>
  <si>
    <t>893445511</t>
  </si>
  <si>
    <t>QB54 .W335 2005</t>
  </si>
  <si>
    <t>0                      QB 0054000W  335         2005</t>
  </si>
  <si>
    <t>Life as we do not know it : the NASA search for (and synthesis of) alien life / Peter D. Ward.</t>
  </si>
  <si>
    <t>Ward, Peter D. (Peter Douglas), 1949-</t>
  </si>
  <si>
    <t>New York : Viking, 2005.</t>
  </si>
  <si>
    <t>2006-01-19</t>
  </si>
  <si>
    <t>2005-12-21</t>
  </si>
  <si>
    <t>796478460:eng</t>
  </si>
  <si>
    <t>61757182</t>
  </si>
  <si>
    <t>991004701519702656</t>
  </si>
  <si>
    <t>2269534400002656</t>
  </si>
  <si>
    <t>9780670034581</t>
  </si>
  <si>
    <t>32285005153274</t>
  </si>
  <si>
    <t>893624987</t>
  </si>
  <si>
    <t>QB54 .W336 2000</t>
  </si>
  <si>
    <t>0                      QB 0054000W  336         2000</t>
  </si>
  <si>
    <t>Rare earth : why complex life is uncommon in the universe / Peter D. Ward, Donald Brownlee.</t>
  </si>
  <si>
    <t>New York : Copernicus, c2000.</t>
  </si>
  <si>
    <t>2007-01-09</t>
  </si>
  <si>
    <t>2000-10-26</t>
  </si>
  <si>
    <t>13414458:eng</t>
  </si>
  <si>
    <t>40996050</t>
  </si>
  <si>
    <t>991003262429702656</t>
  </si>
  <si>
    <t>2265168600002656</t>
  </si>
  <si>
    <t>9780387987019</t>
  </si>
  <si>
    <t>32285004260872</t>
  </si>
  <si>
    <t>893410103</t>
  </si>
  <si>
    <t>QB541 .D85</t>
  </si>
  <si>
    <t>0                      QB 0541000D  85</t>
  </si>
  <si>
    <t>Eclipses of the sun and moon / by Sir Frank Dyson and R. v. d. R. Woolley.</t>
  </si>
  <si>
    <t>Dyson, Frank Watson, 1868-1939.</t>
  </si>
  <si>
    <t>Oxford : The Clarendon press, 1937.</t>
  </si>
  <si>
    <t>1937</t>
  </si>
  <si>
    <t>Half-title: The international series of monographs on physics, general editors: R. H. Fowler and P. Kapitza</t>
  </si>
  <si>
    <t>1999-09-26</t>
  </si>
  <si>
    <t>1993-12-13</t>
  </si>
  <si>
    <t>1719521:eng</t>
  </si>
  <si>
    <t>826357</t>
  </si>
  <si>
    <t>991003303189702656</t>
  </si>
  <si>
    <t>2270019420002656</t>
  </si>
  <si>
    <t>32285001807675</t>
  </si>
  <si>
    <t>893717519</t>
  </si>
  <si>
    <t>QB55 .P8</t>
  </si>
  <si>
    <t>0                      QB 0055000P  8</t>
  </si>
  <si>
    <t>The stars in song and legend / by Jermain G. Porter ; with illustrations from the drawings of Albrecht Dürer.</t>
  </si>
  <si>
    <t>Porter, Jermain G. (Jermain Gildersleeve), 1852-</t>
  </si>
  <si>
    <t>Boston ; London : Ginn &amp; company, 1901.</t>
  </si>
  <si>
    <t>1901</t>
  </si>
  <si>
    <t>1997-09-20</t>
  </si>
  <si>
    <t>1992-11-07</t>
  </si>
  <si>
    <t>16225750:eng</t>
  </si>
  <si>
    <t>5210879</t>
  </si>
  <si>
    <t>991004800279702656</t>
  </si>
  <si>
    <t>2272755000002656</t>
  </si>
  <si>
    <t>32285001383214</t>
  </si>
  <si>
    <t>893807492</t>
  </si>
  <si>
    <t>QB580 .O75 1986</t>
  </si>
  <si>
    <t>0                      QB 0580000O  75          1986</t>
  </si>
  <si>
    <t>Origin of the moon / edited by W.K. Hartmann, R.J. Phillips, G.J. Taylor.</t>
  </si>
  <si>
    <t>Houston : Lunar &amp; Planetary Institute, c1986.</t>
  </si>
  <si>
    <t>txu</t>
  </si>
  <si>
    <t>1998-10-06</t>
  </si>
  <si>
    <t>356011190:eng</t>
  </si>
  <si>
    <t>13525460</t>
  </si>
  <si>
    <t>991000840619702656</t>
  </si>
  <si>
    <t>2262459180002656</t>
  </si>
  <si>
    <t>9780942862034</t>
  </si>
  <si>
    <t>32285001433423</t>
  </si>
  <si>
    <t>893333833</t>
  </si>
  <si>
    <t>QB581 .L66 1998</t>
  </si>
  <si>
    <t>0                      QB 0581000L  66          1998</t>
  </si>
  <si>
    <t>The moon book : fascinating facts about the magnificent, mysterious moon / Kim Long.</t>
  </si>
  <si>
    <t>Long, Kim.</t>
  </si>
  <si>
    <t>Boulder, Colo : Johnson Books, c1998.</t>
  </si>
  <si>
    <t>Rev. and expanded ed.</t>
  </si>
  <si>
    <t>2008-12-02</t>
  </si>
  <si>
    <t>28094514:eng</t>
  </si>
  <si>
    <t>39299241</t>
  </si>
  <si>
    <t>991005278999702656</t>
  </si>
  <si>
    <t>2264992970002656</t>
  </si>
  <si>
    <t>9781555662301</t>
  </si>
  <si>
    <t>32285005461339</t>
  </si>
  <si>
    <t>893625766</t>
  </si>
  <si>
    <t>QB581 .M24 2003</t>
  </si>
  <si>
    <t>0                      QB 0581000M  24          2003</t>
  </si>
  <si>
    <t>The big splat ; or, How our moon came to be / Dana Mackenzie.</t>
  </si>
  <si>
    <t>Mackenzie, Dana.</t>
  </si>
  <si>
    <t>Hoboken, N.J. : John Wiley &amp; Sons, c2003.</t>
  </si>
  <si>
    <t>2003-07-16</t>
  </si>
  <si>
    <t>702949:eng</t>
  </si>
  <si>
    <t>52129583</t>
  </si>
  <si>
    <t>991004077899702656</t>
  </si>
  <si>
    <t>2268358180002656</t>
  </si>
  <si>
    <t>9780471150572</t>
  </si>
  <si>
    <t>32285004756242</t>
  </si>
  <si>
    <t>893324901</t>
  </si>
  <si>
    <t>QB581 .W56 1961</t>
  </si>
  <si>
    <t>0                      QB 0581000W  56          1961</t>
  </si>
  <si>
    <t>The moon; a complete description of the surface of the moon, containing the 300-inch Wilkins lunar map / by H. Percy Wilkins and Patrick Moore.</t>
  </si>
  <si>
    <t>Wilkins, H. P. (Hugh Percival), 1896-1960.</t>
  </si>
  <si>
    <t>London : Faber and Faber, 1961.</t>
  </si>
  <si>
    <t>2005-08-23</t>
  </si>
  <si>
    <t>3943661853:eng</t>
  </si>
  <si>
    <t>2301715</t>
  </si>
  <si>
    <t>991004071219702656</t>
  </si>
  <si>
    <t>2260024400002656</t>
  </si>
  <si>
    <t>32285001433456</t>
  </si>
  <si>
    <t>893253214</t>
  </si>
  <si>
    <t>QB595 .A56 1967</t>
  </si>
  <si>
    <t>0                      QB 0595000A  56          1967</t>
  </si>
  <si>
    <t>Pictorial guide to the moon.</t>
  </si>
  <si>
    <t>Alter, Dinsmore, 1888-1968.</t>
  </si>
  <si>
    <t>New York, Crowell [1967]</t>
  </si>
  <si>
    <t>1967</t>
  </si>
  <si>
    <t>Updated and expanded [i.e. 2d] ed.</t>
  </si>
  <si>
    <t>2001-04-03</t>
  </si>
  <si>
    <t>1997-05-05</t>
  </si>
  <si>
    <t>1543810:eng</t>
  </si>
  <si>
    <t>1158941</t>
  </si>
  <si>
    <t>991003578609702656</t>
  </si>
  <si>
    <t>2262165400002656</t>
  </si>
  <si>
    <t>32285002642220</t>
  </si>
  <si>
    <t>893318120</t>
  </si>
  <si>
    <t>QB6 .S54 v...</t>
  </si>
  <si>
    <t>0                      QB 0006000S  54                                                      v...</t>
  </si>
  <si>
    <t>Sky catalogue 2000.0 / edited by Alan Hirshfeld and Roger W. Sinnott.</t>
  </si>
  <si>
    <t>Cambridge [Cambridgeshire] ; New York : Cambridge University Press ; Cambridge, Mass. : Sky Pub. Corp., 1982-</t>
  </si>
  <si>
    <t>1999-10-15</t>
  </si>
  <si>
    <t>3374352384:eng</t>
  </si>
  <si>
    <t>7978015</t>
  </si>
  <si>
    <t>991005187869702656</t>
  </si>
  <si>
    <t>2271558810002656</t>
  </si>
  <si>
    <t>9780521247108</t>
  </si>
  <si>
    <t>32285001430809</t>
  </si>
  <si>
    <t>893248507</t>
  </si>
  <si>
    <t>1992-06-29</t>
  </si>
  <si>
    <t>32285001145852</t>
  </si>
  <si>
    <t>893248508</t>
  </si>
  <si>
    <t>QB6 .U3</t>
  </si>
  <si>
    <t>0                      QB 0006000U  3</t>
  </si>
  <si>
    <t>Ulugh Beg's catalogue of stars / rev. from all Persian manuscripts existing in Great Britain, with a vocabulary of Persian and Arabic words, by Edward Ball Knobel.</t>
  </si>
  <si>
    <t>Ulugh Beg, 1394-1449.</t>
  </si>
  <si>
    <t>Washington : The Carnegie Institution of Washington, 1917.</t>
  </si>
  <si>
    <t>1917</t>
  </si>
  <si>
    <t>Carnegie institution of Washington. Publication no. 250</t>
  </si>
  <si>
    <t>1992-03-11</t>
  </si>
  <si>
    <t>4431850:eng</t>
  </si>
  <si>
    <t>2302021</t>
  </si>
  <si>
    <t>991004071329702656</t>
  </si>
  <si>
    <t>2261443610002656</t>
  </si>
  <si>
    <t>32285000939842</t>
  </si>
  <si>
    <t>893599393</t>
  </si>
  <si>
    <t>QB601 .C65</t>
  </si>
  <si>
    <t>0                      QB 0601000C  65</t>
  </si>
  <si>
    <t>The structure of planets / G. H. A. Cole.</t>
  </si>
  <si>
    <t>Cole, G. H. A.</t>
  </si>
  <si>
    <t>London : Wykeham Publications ; New York : Crane, Russak &amp; Company, 1978.</t>
  </si>
  <si>
    <t>Wykeman science series</t>
  </si>
  <si>
    <t>14693525:eng</t>
  </si>
  <si>
    <t>4471252</t>
  </si>
  <si>
    <t>991004642659702656</t>
  </si>
  <si>
    <t>2267988430002656</t>
  </si>
  <si>
    <t>9780844813097</t>
  </si>
  <si>
    <t>32285001433498</t>
  </si>
  <si>
    <t>893612589</t>
  </si>
  <si>
    <t>QB601 .D38 2001</t>
  </si>
  <si>
    <t>0                      QB 0601000D  38          2001</t>
  </si>
  <si>
    <t>Planetary sciences / Imke de Pater and Jack J. Lissauer.</t>
  </si>
  <si>
    <t>De Pater, Imke, 1952-</t>
  </si>
  <si>
    <t>Cambridge ; New York : Cambridge University Press, c2001.</t>
  </si>
  <si>
    <t>2002-05-06</t>
  </si>
  <si>
    <t>2002-04-24</t>
  </si>
  <si>
    <t>34778446:eng</t>
  </si>
  <si>
    <t>45283049</t>
  </si>
  <si>
    <t>991003771819702656</t>
  </si>
  <si>
    <t>2271972700002656</t>
  </si>
  <si>
    <t>9780521482196</t>
  </si>
  <si>
    <t>32285004483045</t>
  </si>
  <si>
    <t>893318394</t>
  </si>
  <si>
    <t>QB601 .E5313 1990</t>
  </si>
  <si>
    <t>0                      QB 0601000E  5313        1990</t>
  </si>
  <si>
    <t>The solar system / T. Encrenaz, J.-P. Bibring, with the participation of M. Blanc ; translated by S. Dunlop.</t>
  </si>
  <si>
    <t>Encrenaz, Thérèse, 1946-</t>
  </si>
  <si>
    <t>Berlin ; New York : Springer-Verlag, c1990.</t>
  </si>
  <si>
    <t>1996-04-03</t>
  </si>
  <si>
    <t>1991-01-30</t>
  </si>
  <si>
    <t>21426791:eng</t>
  </si>
  <si>
    <t>19919828</t>
  </si>
  <si>
    <t>991001512049702656</t>
  </si>
  <si>
    <t>2256673040002656</t>
  </si>
  <si>
    <t>9780387189109</t>
  </si>
  <si>
    <t>32285000462225</t>
  </si>
  <si>
    <t>893878924</t>
  </si>
  <si>
    <t>QB601 .J3</t>
  </si>
  <si>
    <t>0                      QB 0601000J  3</t>
  </si>
  <si>
    <t>Pictorial guide to the planets / [by] Joseph H. Jackson.</t>
  </si>
  <si>
    <t>Jackson, Joseph Hollister.</t>
  </si>
  <si>
    <t>New York : T. Y. Crowell Co., [1965]</t>
  </si>
  <si>
    <t>1998-04-29</t>
  </si>
  <si>
    <t>1994-02-03</t>
  </si>
  <si>
    <t>402627:eng</t>
  </si>
  <si>
    <t>711495</t>
  </si>
  <si>
    <t>991003179679702656</t>
  </si>
  <si>
    <t>2262068850002656</t>
  </si>
  <si>
    <t>32285001836633</t>
  </si>
  <si>
    <t>893874501</t>
  </si>
  <si>
    <t>QB601 .M68</t>
  </si>
  <si>
    <t>0                      QB 0601000M  68</t>
  </si>
  <si>
    <t>The planets.</t>
  </si>
  <si>
    <t>New York, Norton [1962]</t>
  </si>
  <si>
    <t>1755147:eng</t>
  </si>
  <si>
    <t>530695</t>
  </si>
  <si>
    <t>991002930429702656</t>
  </si>
  <si>
    <t>2266511740002656</t>
  </si>
  <si>
    <t>32285002642279</t>
  </si>
  <si>
    <t>893239688</t>
  </si>
  <si>
    <t>QB601 .M757 1993</t>
  </si>
  <si>
    <t>0                      QB 0601000M  757         1993</t>
  </si>
  <si>
    <t>Exploring planetary worlds / David Morrison.</t>
  </si>
  <si>
    <t>Morrison, David, 1940-</t>
  </si>
  <si>
    <t>New York : Scientific American Library : Distributed by W.H. Freeman and Co., c1993.</t>
  </si>
  <si>
    <t>Scientific American Library series ; no. 45</t>
  </si>
  <si>
    <t>1997-02-25</t>
  </si>
  <si>
    <t>1993-12-22</t>
  </si>
  <si>
    <t>61906611:eng</t>
  </si>
  <si>
    <t>27186556</t>
  </si>
  <si>
    <t>991002122089702656</t>
  </si>
  <si>
    <t>2270396050002656</t>
  </si>
  <si>
    <t>9780716750437</t>
  </si>
  <si>
    <t>32285001817229</t>
  </si>
  <si>
    <t>893232608</t>
  </si>
  <si>
    <t>QB601 .M86</t>
  </si>
  <si>
    <t>0                      QB 0601000M  86</t>
  </si>
  <si>
    <t>Earthlike planets : surfaces of Mercury, Venus, Earth, Moon, Mars / Bruce Murray, Michael C. Malin, Donald Greeley.</t>
  </si>
  <si>
    <t>Murray, Bruce C.</t>
  </si>
  <si>
    <t>San Francisco : W. H. Freeman, c1981.</t>
  </si>
  <si>
    <t>1998-01-23</t>
  </si>
  <si>
    <t>1992-12-11</t>
  </si>
  <si>
    <t>836660200:eng</t>
  </si>
  <si>
    <t>6555273</t>
  </si>
  <si>
    <t>991005003429702656</t>
  </si>
  <si>
    <t>2254901230002656</t>
  </si>
  <si>
    <t>9780716711483</t>
  </si>
  <si>
    <t>32285001441350</t>
  </si>
  <si>
    <t>893883207</t>
  </si>
  <si>
    <t>QB601 .S6 1965</t>
  </si>
  <si>
    <t>0                      QB 0601000S  6           1965</t>
  </si>
  <si>
    <t>Neighbors of the earth; planets, comets, and the debris of space / edited by Thornton Page &amp; Lou Williams Page.</t>
  </si>
  <si>
    <t>New York : Macmillan, c1965, 1970 printing.</t>
  </si>
  <si>
    <t>Sky and telescope library of astronomy ; v. 2</t>
  </si>
  <si>
    <t>1995-04-03</t>
  </si>
  <si>
    <t>1150899859:eng</t>
  </si>
  <si>
    <t>561561</t>
  </si>
  <si>
    <t>991002992399702656</t>
  </si>
  <si>
    <t>2255089300002656</t>
  </si>
  <si>
    <t>32285001433522</t>
  </si>
  <si>
    <t>893698550</t>
  </si>
  <si>
    <t>QB601 .S63 2006</t>
  </si>
  <si>
    <t>0                      QB 0601000S  63          2006</t>
  </si>
  <si>
    <t>The planets / Dava Sobel.</t>
  </si>
  <si>
    <t>New York : Penguin Books, 2006.</t>
  </si>
  <si>
    <t>2007-10-31</t>
  </si>
  <si>
    <t>889504:eng</t>
  </si>
  <si>
    <t>74839818</t>
  </si>
  <si>
    <t>991005131129702656</t>
  </si>
  <si>
    <t>2272159110002656</t>
  </si>
  <si>
    <t>9780142001165</t>
  </si>
  <si>
    <t>32285005363675</t>
  </si>
  <si>
    <t>893795659</t>
  </si>
  <si>
    <t>QB601 .W6 1963</t>
  </si>
  <si>
    <t>0                      QB 0601000W  6           1963</t>
  </si>
  <si>
    <t>Earth, moon, and planets.</t>
  </si>
  <si>
    <t>Whipple, Fred L. (Fred Lawrence), 1906-2004.</t>
  </si>
  <si>
    <t>Cambridge, Harvard University Press, 1963.</t>
  </si>
  <si>
    <t>49525248:eng</t>
  </si>
  <si>
    <t>317313</t>
  </si>
  <si>
    <t>991002300699702656</t>
  </si>
  <si>
    <t>2267493550002656</t>
  </si>
  <si>
    <t>32285002642329</t>
  </si>
  <si>
    <t>893591191</t>
  </si>
  <si>
    <t>QB601 .W6 1981</t>
  </si>
  <si>
    <t>0                      QB 0601000W  6           1981</t>
  </si>
  <si>
    <t>Orbiting the sun : planets and satellites of the solar system / Fred L. Whipple.</t>
  </si>
  <si>
    <t>Cambridge, Mass. : Harvard University Press, 1981, c1980.</t>
  </si>
  <si>
    <t>2001-05-08</t>
  </si>
  <si>
    <t>1992-05-12</t>
  </si>
  <si>
    <t>836661025:eng</t>
  </si>
  <si>
    <t>6581486</t>
  </si>
  <si>
    <t>991005008309702656</t>
  </si>
  <si>
    <t>2258245360002656</t>
  </si>
  <si>
    <t>9780674641259</t>
  </si>
  <si>
    <t>32285001097830</t>
  </si>
  <si>
    <t>893625346</t>
  </si>
  <si>
    <t>QB601.9 .M36 1999</t>
  </si>
  <si>
    <t>0                      QB 0601900M  36          1999</t>
  </si>
  <si>
    <t>The planets / David McNab and James Younger.</t>
  </si>
  <si>
    <t>McNab, David.</t>
  </si>
  <si>
    <t>New Haven [Conn.] : Yale University Press, c1999.</t>
  </si>
  <si>
    <t>2004-09-22</t>
  </si>
  <si>
    <t>1999-09-22</t>
  </si>
  <si>
    <t>18018211:eng</t>
  </si>
  <si>
    <t>42207862</t>
  </si>
  <si>
    <t>991003041599702656</t>
  </si>
  <si>
    <t>2262004570002656</t>
  </si>
  <si>
    <t>9780300080445</t>
  </si>
  <si>
    <t>32285003590097</t>
  </si>
  <si>
    <t>893251958</t>
  </si>
  <si>
    <t>QB601.9 .P55 1983</t>
  </si>
  <si>
    <t>0                      QB 0601900P  55          1983</t>
  </si>
  <si>
    <t>The Planets : readings from Scientific American / selected and introduced by Bruce Murray ; foreword by Carl Sagan ; sponsored by the Planetary Society.</t>
  </si>
  <si>
    <t>San Francisco : Freeman, c1983.</t>
  </si>
  <si>
    <t>1995-05-02</t>
  </si>
  <si>
    <t>53316063:eng</t>
  </si>
  <si>
    <t>9042611</t>
  </si>
  <si>
    <t>991000116669702656</t>
  </si>
  <si>
    <t>2265325050002656</t>
  </si>
  <si>
    <t>9780716714682</t>
  </si>
  <si>
    <t>32285001433555</t>
  </si>
  <si>
    <t>893714322</t>
  </si>
  <si>
    <t>QB603.A85 B37 1981</t>
  </si>
  <si>
    <t>0                      QB 0603000A  85                 B  37          1981</t>
  </si>
  <si>
    <t>Atmospheres, a view of the gaseous envelopes surrounding members of our solar system / James P. Barbato, Elizabeth A. Ayer.</t>
  </si>
  <si>
    <t>Barbato, James P. (James Paul), 1943-</t>
  </si>
  <si>
    <t>New York : Pergamon Press, c1981.</t>
  </si>
  <si>
    <t>1997-11-21</t>
  </si>
  <si>
    <t>1992-03-16</t>
  </si>
  <si>
    <t>407696:eng</t>
  </si>
  <si>
    <t>7274928</t>
  </si>
  <si>
    <t>991005096889702656</t>
  </si>
  <si>
    <t>2260207880002656</t>
  </si>
  <si>
    <t>9780080255828</t>
  </si>
  <si>
    <t>32285001021814</t>
  </si>
  <si>
    <t>893795600</t>
  </si>
  <si>
    <t>QB603.A85 O75 1989</t>
  </si>
  <si>
    <t>0                      QB 0603000A  85                 O  75          1989</t>
  </si>
  <si>
    <t>Origin and evolution of planetary and satellite atmospheres / S.K. Atreya, J.B. Pollack, M.S. Matthews, editors ; with 50 collaborating authors.</t>
  </si>
  <si>
    <t>Tucson : University of Arizona Press, c1989.</t>
  </si>
  <si>
    <t>Space science series</t>
  </si>
  <si>
    <t>1995-11-11</t>
  </si>
  <si>
    <t>1992-02-26</t>
  </si>
  <si>
    <t>350446529:eng</t>
  </si>
  <si>
    <t>19128676</t>
  </si>
  <si>
    <t>991001435369702656</t>
  </si>
  <si>
    <t>2272299510002656</t>
  </si>
  <si>
    <t>9780816511051</t>
  </si>
  <si>
    <t>32285000976968</t>
  </si>
  <si>
    <t>893797583</t>
  </si>
  <si>
    <t>QB603.I53 C65 1984</t>
  </si>
  <si>
    <t>0                      QB 0603000I  53                 C  65          1984</t>
  </si>
  <si>
    <t>Physics of planetary interiors / G. H. A. Cole.</t>
  </si>
  <si>
    <t>Bristol : Adam Hilger ; 1984.</t>
  </si>
  <si>
    <t>1079331:eng</t>
  </si>
  <si>
    <t>12549679</t>
  </si>
  <si>
    <t>991000540529702656</t>
  </si>
  <si>
    <t>2267826670002656</t>
  </si>
  <si>
    <t>9780852744451</t>
  </si>
  <si>
    <t>32285001433597</t>
  </si>
  <si>
    <t>893720725</t>
  </si>
  <si>
    <t>QB603.M6 G66 1996</t>
  </si>
  <si>
    <t>0                      QB 0603000M  6                  G  66          1996</t>
  </si>
  <si>
    <t>Feynman's lost lecture : the motion of planets around the sun / David L. Goodstein and Judith R. Goodstein.</t>
  </si>
  <si>
    <t>Goodstein, David L., 1939-</t>
  </si>
  <si>
    <t>New York : Norton, c1996.</t>
  </si>
  <si>
    <t>2007-10-08</t>
  </si>
  <si>
    <t>1996-09-05</t>
  </si>
  <si>
    <t>24137241:eng</t>
  </si>
  <si>
    <t>33078849</t>
  </si>
  <si>
    <t>991004596619702656</t>
  </si>
  <si>
    <t>2255414360002656</t>
  </si>
  <si>
    <t>9780393039184</t>
  </si>
  <si>
    <t>32285002198231</t>
  </si>
  <si>
    <t>893801124</t>
  </si>
  <si>
    <t>QB603.R55 E44 1984</t>
  </si>
  <si>
    <t>0                      QB 0603000R  55                 E  44          1984</t>
  </si>
  <si>
    <t>Rings : discoveries from Galileo to Voyager / James Elliot and Richard Kerr.</t>
  </si>
  <si>
    <t>Elliot, James, 1943-2011.</t>
  </si>
  <si>
    <t>Cambridge, Mass. : MIT Press, c1984.</t>
  </si>
  <si>
    <t>1999-11-10</t>
  </si>
  <si>
    <t>815001521:eng</t>
  </si>
  <si>
    <t>10753126</t>
  </si>
  <si>
    <t>991000425209702656</t>
  </si>
  <si>
    <t>2265429720002656</t>
  </si>
  <si>
    <t>9780262050319</t>
  </si>
  <si>
    <t>32285001433605</t>
  </si>
  <si>
    <t>893589427</t>
  </si>
  <si>
    <t>QB603.S95 C36 2002</t>
  </si>
  <si>
    <t>0                      QB 0603000S  95                 C  36          2002</t>
  </si>
  <si>
    <t>Radar remote sensing of planetary surfaces / Bruce A. Campbell.</t>
  </si>
  <si>
    <t>Campbell, Bruce A. (Bruce Allan), 1964-</t>
  </si>
  <si>
    <t>Cambridge ; New York : Cambridge University Press, 2002.</t>
  </si>
  <si>
    <t>2004-02-03</t>
  </si>
  <si>
    <t>9572969:eng</t>
  </si>
  <si>
    <t>47216164</t>
  </si>
  <si>
    <t>991004181049702656</t>
  </si>
  <si>
    <t>2255753300002656</t>
  </si>
  <si>
    <t>9780521583084</t>
  </si>
  <si>
    <t>32285004636865</t>
  </si>
  <si>
    <t>893722312</t>
  </si>
  <si>
    <t>QB605 .B74 1982</t>
  </si>
  <si>
    <t>0                      QB 0605000B  74          1982</t>
  </si>
  <si>
    <t>The Cambridge photographic atlas of the planets / Geoffrey Briggs, Fredric Taylor.</t>
  </si>
  <si>
    <t>Briggs, Geoffrey, 1941-</t>
  </si>
  <si>
    <t>Cambridge [Cambridgeshire] ; New York : Cambridge University Press, 1982.</t>
  </si>
  <si>
    <t>1997-02-20</t>
  </si>
  <si>
    <t>64020483:eng</t>
  </si>
  <si>
    <t>7796646</t>
  </si>
  <si>
    <t>991005162359702656</t>
  </si>
  <si>
    <t>2266253340002656</t>
  </si>
  <si>
    <t>9780521239769</t>
  </si>
  <si>
    <t>32285001433639</t>
  </si>
  <si>
    <t>893533288</t>
  </si>
  <si>
    <t>QB61 .E35</t>
  </si>
  <si>
    <t>0                      QB 0061000E  35</t>
  </si>
  <si>
    <t>Effective astronomy teaching and student reasoning ability : a workshop / by Dennis Schatz... [et al.] ; with a pref. by Paul H. Knappenberger, Jr.</t>
  </si>
  <si>
    <t>Berkeley : Lawrence Hall of Science, University of California, 1978.</t>
  </si>
  <si>
    <t>1997-08-29</t>
  </si>
  <si>
    <t>1881990765:eng</t>
  </si>
  <si>
    <t>4992934</t>
  </si>
  <si>
    <t>991004760099702656</t>
  </si>
  <si>
    <t>2261826730002656</t>
  </si>
  <si>
    <t>32285001431757</t>
  </si>
  <si>
    <t>893688113</t>
  </si>
  <si>
    <t>QB61 .L47 1997</t>
  </si>
  <si>
    <t>0                      QB 0061000L  47          1997</t>
  </si>
  <si>
    <t>Sharing the sky : a parent's and teacher's guide to astronomy / David H. Levy, Larry A. Lebofsky, Nancy R. Lebofsky.</t>
  </si>
  <si>
    <t>Levy, David H., 1948-</t>
  </si>
  <si>
    <t>New York : Plenum Press, c1997.</t>
  </si>
  <si>
    <t>2004-09-29</t>
  </si>
  <si>
    <t>1998-08-13</t>
  </si>
  <si>
    <t>606870:eng</t>
  </si>
  <si>
    <t>37443322</t>
  </si>
  <si>
    <t>991002842249702656</t>
  </si>
  <si>
    <t>2262297350002656</t>
  </si>
  <si>
    <t>9780306456381</t>
  </si>
  <si>
    <t>32285003453205</t>
  </si>
  <si>
    <t>893504890</t>
  </si>
  <si>
    <t>QB61 .N375 2001</t>
  </si>
  <si>
    <t>0                      QB 0061000N  375         2001</t>
  </si>
  <si>
    <t>Astronomy and astrophysics in the new millennium / Astronomy and Astrophysics Survey Committee, Board on Physics and Astronomy-Space Studies Board, Commission on Physical Sciences, Mathematics, and Applications, National Research Council.</t>
  </si>
  <si>
    <t>National Research Council (U.S.). Astronomy and Astrophysics Survey Committee.</t>
  </si>
  <si>
    <t>Washington, D.C. : National Academy Press, c2001.</t>
  </si>
  <si>
    <t>2003-05-05</t>
  </si>
  <si>
    <t>2001-09-13</t>
  </si>
  <si>
    <t>8909291811:eng</t>
  </si>
  <si>
    <t>45956434</t>
  </si>
  <si>
    <t>991003586789702656</t>
  </si>
  <si>
    <t>2258128790002656</t>
  </si>
  <si>
    <t>9780309070317</t>
  </si>
  <si>
    <t>32285004391347</t>
  </si>
  <si>
    <t>893410434</t>
  </si>
  <si>
    <t>QB611 .R674</t>
  </si>
  <si>
    <t>0                      QB 0611000R  674</t>
  </si>
  <si>
    <t>Mercury's perihelion from Le Verrier to Einstein / N.T. Roseveare.</t>
  </si>
  <si>
    <t>Roseveare, N. T.</t>
  </si>
  <si>
    <t>Oxford ; New York : Clarendon Press, 1982.</t>
  </si>
  <si>
    <t>2000-12-04</t>
  </si>
  <si>
    <t>416398:eng</t>
  </si>
  <si>
    <t>8787800</t>
  </si>
  <si>
    <t>991000072859702656</t>
  </si>
  <si>
    <t>2268192320002656</t>
  </si>
  <si>
    <t>9780198581741</t>
  </si>
  <si>
    <t>32285001433654</t>
  </si>
  <si>
    <t>893326983</t>
  </si>
  <si>
    <t>QB62.5 .A2713 1986</t>
  </si>
  <si>
    <t>0                      QB 0062500A  2713        1986</t>
  </si>
  <si>
    <t>Astronomical methods and calculations / Agnès Acker and Carlos Jascheck ; translated by Chris Kitchin.</t>
  </si>
  <si>
    <t>Acker, Agnès.</t>
  </si>
  <si>
    <t>Chichester ; New York : Wiley, c1986.</t>
  </si>
  <si>
    <t>1992-08-12</t>
  </si>
  <si>
    <t>4776399947:eng</t>
  </si>
  <si>
    <t>11916051</t>
  </si>
  <si>
    <t>991000611599702656</t>
  </si>
  <si>
    <t>2270363970002656</t>
  </si>
  <si>
    <t>9780471911043</t>
  </si>
  <si>
    <t>32285001254027</t>
  </si>
  <si>
    <t>893702268</t>
  </si>
  <si>
    <t>QB621 .G75 1997</t>
  </si>
  <si>
    <t>0                      QB 0621000G  75          1997</t>
  </si>
  <si>
    <t>Venus revealed : a new look below the clouds of our mysterious twin planet / David Harry Grinspoon.</t>
  </si>
  <si>
    <t>Grinspoon, David Harry.</t>
  </si>
  <si>
    <t>Reading, Mass.: Addison-Wesley Pub., c1997.</t>
  </si>
  <si>
    <t>2000-10-13</t>
  </si>
  <si>
    <t>1997-03-17</t>
  </si>
  <si>
    <t>40613031:eng</t>
  </si>
  <si>
    <t>35285447</t>
  </si>
  <si>
    <t>991002702749702656</t>
  </si>
  <si>
    <t>2259290900002656</t>
  </si>
  <si>
    <t>9780201406559</t>
  </si>
  <si>
    <t>32285002081908</t>
  </si>
  <si>
    <t>893445311</t>
  </si>
  <si>
    <t>QB621 .H86 1982</t>
  </si>
  <si>
    <t>0                      QB 0621000H  86          1982</t>
  </si>
  <si>
    <t>The planet Venus / Garry E. Hunt and Patrick Moore.</t>
  </si>
  <si>
    <t>Hunt, Garry E.</t>
  </si>
  <si>
    <t>London : Faber and Faber, 1982.</t>
  </si>
  <si>
    <t>2000-09-15</t>
  </si>
  <si>
    <t>1543491:eng</t>
  </si>
  <si>
    <t>8430661</t>
  </si>
  <si>
    <t>991005242389702656</t>
  </si>
  <si>
    <t>2261359140002656</t>
  </si>
  <si>
    <t>9780571090501</t>
  </si>
  <si>
    <t>32285001433670</t>
  </si>
  <si>
    <t>893344893</t>
  </si>
  <si>
    <t>QB621 .M6 1961</t>
  </si>
  <si>
    <t>0                      QB 0621000M  6           1961</t>
  </si>
  <si>
    <t>The planet Venus / by Patrick Moore.</t>
  </si>
  <si>
    <t>3d ed., rev. and enl.</t>
  </si>
  <si>
    <t>12921042</t>
  </si>
  <si>
    <t>991000750859702656</t>
  </si>
  <si>
    <t>2257691440002656</t>
  </si>
  <si>
    <t>32285003628327</t>
  </si>
  <si>
    <t>893690001</t>
  </si>
  <si>
    <t>QB63 .A7813 1994</t>
  </si>
  <si>
    <t>0                      QB 0063000A  7813        1994</t>
  </si>
  <si>
    <t>The observer's guide to astronomy / edited by Patrick Martinez ; translator Storm Dunlop.</t>
  </si>
  <si>
    <t>Astronomie, le guide de l'observateur. English.</t>
  </si>
  <si>
    <t>Cambridge ; New York, NY, USA : Cambridge University Press, 1994.</t>
  </si>
  <si>
    <t>English language ed.</t>
  </si>
  <si>
    <t>Practical astronomy handbook series ; 4</t>
  </si>
  <si>
    <t>2008-04-28</t>
  </si>
  <si>
    <t>1996-02-05</t>
  </si>
  <si>
    <t>1996-03-04</t>
  </si>
  <si>
    <t>9657337778:eng</t>
  </si>
  <si>
    <t>28724132</t>
  </si>
  <si>
    <t>991002231499702656</t>
  </si>
  <si>
    <t>2264774080002656</t>
  </si>
  <si>
    <t>9780521370684</t>
  </si>
  <si>
    <t>32285002127917</t>
  </si>
  <si>
    <t>893697513</t>
  </si>
  <si>
    <t>32285002139938</t>
  </si>
  <si>
    <t>893691359</t>
  </si>
  <si>
    <t>QB63 .B3 1928</t>
  </si>
  <si>
    <t>0                      QB 0063000B  3           1928</t>
  </si>
  <si>
    <t>A guide to the constellations, by Samuel G. Barton and Wm. H. Barton, jr.</t>
  </si>
  <si>
    <t>Barton, Samuel Goodwin, 1882-</t>
  </si>
  <si>
    <t>New York, McGraw-Hill Book Company, Inc., 1928.</t>
  </si>
  <si>
    <t>1928</t>
  </si>
  <si>
    <t>McGraw-Hill astronomical series</t>
  </si>
  <si>
    <t>2000-02-27</t>
  </si>
  <si>
    <t>1924426:eng</t>
  </si>
  <si>
    <t>1006882</t>
  </si>
  <si>
    <t>991003465229702656</t>
  </si>
  <si>
    <t>2263942490002656</t>
  </si>
  <si>
    <t>32285002584729</t>
  </si>
  <si>
    <t>893234187</t>
  </si>
  <si>
    <t>QB63 .B49 1986</t>
  </si>
  <si>
    <t>0                      QB 0063000B  49          1986</t>
  </si>
  <si>
    <t>The star guide : a unique system for identifying the brightest stars in the night sky / by Steven L. Beyer ; with maps and illustrations by the author.</t>
  </si>
  <si>
    <t>Beyer, Steven L. (Steven Larsen)</t>
  </si>
  <si>
    <t>Boston : Little, Brown, c1986.</t>
  </si>
  <si>
    <t>2006-04-17</t>
  </si>
  <si>
    <t>4951175:eng</t>
  </si>
  <si>
    <t>12216256</t>
  </si>
  <si>
    <t>991000656829702656</t>
  </si>
  <si>
    <t>2265344030002656</t>
  </si>
  <si>
    <t>9780316092685</t>
  </si>
  <si>
    <t>32285001431849</t>
  </si>
  <si>
    <t>893515480</t>
  </si>
  <si>
    <t>QB63 .C76 1992</t>
  </si>
  <si>
    <t>0                      QB 0063000C  76          1992</t>
  </si>
  <si>
    <t>Binocular astronomy / Craig Crossen &amp; Wil Tirion.</t>
  </si>
  <si>
    <t>Crossen, Craig.</t>
  </si>
  <si>
    <t>Richmond, Va. : Willmann-Bell, 1992.</t>
  </si>
  <si>
    <t>1999-07-19</t>
  </si>
  <si>
    <t>1994-01-11</t>
  </si>
  <si>
    <t>25131328:eng</t>
  </si>
  <si>
    <t>24067439</t>
  </si>
  <si>
    <t>991001905509702656</t>
  </si>
  <si>
    <t>2258422350002656</t>
  </si>
  <si>
    <t>9780943396361</t>
  </si>
  <si>
    <t>32285001830735</t>
  </si>
  <si>
    <t>893250593</t>
  </si>
  <si>
    <t>QB63 .D38 1993</t>
  </si>
  <si>
    <t>0                      QB 0063000D  38          1993</t>
  </si>
  <si>
    <t>Sky phenomena : a guide to naked-eye observation of the stars : with sections on poetry in astronomy, constellation mythology, and the southern hemisphere sky / by Norman Davidson.</t>
  </si>
  <si>
    <t>Davidson, Norman.</t>
  </si>
  <si>
    <t>Hudson, N.Y. : Lindisfarne Press, c1993.</t>
  </si>
  <si>
    <t>1999-11-29</t>
  </si>
  <si>
    <t>1994-06-07</t>
  </si>
  <si>
    <t>383373:eng</t>
  </si>
  <si>
    <t>27145644</t>
  </si>
  <si>
    <t>991002117969702656</t>
  </si>
  <si>
    <t>2255368460002656</t>
  </si>
  <si>
    <t>9780940262560</t>
  </si>
  <si>
    <t>32285001921740</t>
  </si>
  <si>
    <t>893597049</t>
  </si>
  <si>
    <t>QB63 .L68 1989</t>
  </si>
  <si>
    <t>0                      QB 0063000L  68          1989</t>
  </si>
  <si>
    <t>Men, monsters and the modern universe / George Lovi and Wil Tirion.</t>
  </si>
  <si>
    <t>Lovi, George.</t>
  </si>
  <si>
    <t>Richmond, Va., U.S.A. : Willmann-Bell, 1989.</t>
  </si>
  <si>
    <t>1992-08-27</t>
  </si>
  <si>
    <t>1990-08-15</t>
  </si>
  <si>
    <t>21373631:eng</t>
  </si>
  <si>
    <t>19815308</t>
  </si>
  <si>
    <t>991001503929702656</t>
  </si>
  <si>
    <t>2265478200002656</t>
  </si>
  <si>
    <t>9780943396248</t>
  </si>
  <si>
    <t>32285000243732</t>
  </si>
  <si>
    <t>893516240</t>
  </si>
  <si>
    <t>QB63 .M65</t>
  </si>
  <si>
    <t>0                      QB 0063000M  65</t>
  </si>
  <si>
    <t>Naked-eye astronomy / Patrick Moore. --</t>
  </si>
  <si>
    <t>New York : Norton, [c1965]</t>
  </si>
  <si>
    <t>Amateur astronomer's library</t>
  </si>
  <si>
    <t>2002-09-09</t>
  </si>
  <si>
    <t>1545518:eng</t>
  </si>
  <si>
    <t>531394</t>
  </si>
  <si>
    <t>991002932369702656</t>
  </si>
  <si>
    <t>2262992860002656</t>
  </si>
  <si>
    <t>32285001431864</t>
  </si>
  <si>
    <t>893498730</t>
  </si>
  <si>
    <t>QB63 .M6523 1986</t>
  </si>
  <si>
    <t>0                      QB 0063000M  6523        1986</t>
  </si>
  <si>
    <t>Exploring the night sky with binoculars / Patrick Moore.</t>
  </si>
  <si>
    <t>Cambridge [Cambridgeshire] ; New York, NY, USA : Cambridge University Press, 1986.</t>
  </si>
  <si>
    <t>1998-05-23</t>
  </si>
  <si>
    <t>2664201:eng</t>
  </si>
  <si>
    <t>12549323</t>
  </si>
  <si>
    <t>991000700659702656</t>
  </si>
  <si>
    <t>2263520800002656</t>
  </si>
  <si>
    <t>9780521307567</t>
  </si>
  <si>
    <t>32285001431872</t>
  </si>
  <si>
    <t>893315162</t>
  </si>
  <si>
    <t>QB63 .M66 2001</t>
  </si>
  <si>
    <t>0                      QB 0063000M  66          2001</t>
  </si>
  <si>
    <t>Stargazing : astronomy without a telescope / Patrick Moore.</t>
  </si>
  <si>
    <t>2002-04-22</t>
  </si>
  <si>
    <t>2002-04-09</t>
  </si>
  <si>
    <t>29548096:eng</t>
  </si>
  <si>
    <t>43859487</t>
  </si>
  <si>
    <t>991003771039702656</t>
  </si>
  <si>
    <t>2268057320002656</t>
  </si>
  <si>
    <t>9780521790529</t>
  </si>
  <si>
    <t>32285004477880</t>
  </si>
  <si>
    <t>893349112</t>
  </si>
  <si>
    <t>QB63 .N42 1970</t>
  </si>
  <si>
    <t>0                      QB 0063000N  42          1970</t>
  </si>
  <si>
    <t>A primer for star-gazers / by Henry M. Neely. Star maps and linedrawings by the author.</t>
  </si>
  <si>
    <t>Neely, Henry M. (Henry Milton), 1877-1963.</t>
  </si>
  <si>
    <t>New York, Harper &amp; Row [1970]</t>
  </si>
  <si>
    <t>[New ed.] --</t>
  </si>
  <si>
    <t>1993-11-22</t>
  </si>
  <si>
    <t>1313588:eng</t>
  </si>
  <si>
    <t>94327</t>
  </si>
  <si>
    <t>991000566659702656</t>
  </si>
  <si>
    <t>2266117530002656</t>
  </si>
  <si>
    <t>32285001431898</t>
  </si>
  <si>
    <t>893333587</t>
  </si>
  <si>
    <t>QB63 .P5</t>
  </si>
  <si>
    <t>0                      QB 0063000P  5</t>
  </si>
  <si>
    <t>The stars are yours.</t>
  </si>
  <si>
    <t>Pickering, James S. (James Sayre)</t>
  </si>
  <si>
    <t>New York : Macmillan Co., 1948.</t>
  </si>
  <si>
    <t>1948</t>
  </si>
  <si>
    <t>2005-02-16</t>
  </si>
  <si>
    <t>1992-12-10</t>
  </si>
  <si>
    <t>1569345:eng</t>
  </si>
  <si>
    <t>1242865</t>
  </si>
  <si>
    <t>991003643839702656</t>
  </si>
  <si>
    <t>2261493260002656</t>
  </si>
  <si>
    <t>32285001440030</t>
  </si>
  <si>
    <t>893893948</t>
  </si>
  <si>
    <t>QB63 .R527 2001</t>
  </si>
  <si>
    <t>0                      QB 0063000R  527         2001</t>
  </si>
  <si>
    <t>Stars and planets / Ian Ridpath ; illustrated by Wil Tirion.</t>
  </si>
  <si>
    <t>Ridpath, Ian.</t>
  </si>
  <si>
    <t>Princeton, N.J. : Princeton University Press, 2001.</t>
  </si>
  <si>
    <t>Princeton field guides</t>
  </si>
  <si>
    <t>2009-01-14</t>
  </si>
  <si>
    <t>582067:eng</t>
  </si>
  <si>
    <t>45895238</t>
  </si>
  <si>
    <t>991005290469702656</t>
  </si>
  <si>
    <t>2266550850002656</t>
  </si>
  <si>
    <t>9780691089126</t>
  </si>
  <si>
    <t>32285005470132</t>
  </si>
  <si>
    <t>893707596</t>
  </si>
  <si>
    <t>QB631 .A385 1993</t>
  </si>
  <si>
    <t>0                      QB 0631000A  385         1993</t>
  </si>
  <si>
    <t>Earth, our planet and its resources / Michael Allaby.</t>
  </si>
  <si>
    <t>Allaby, Michael.</t>
  </si>
  <si>
    <t>New York : Facts on File, c1993.</t>
  </si>
  <si>
    <t>Elements</t>
  </si>
  <si>
    <t>1994-11-26</t>
  </si>
  <si>
    <t>1994-08-08</t>
  </si>
  <si>
    <t>354721:eng</t>
  </si>
  <si>
    <t>27388756</t>
  </si>
  <si>
    <t>991002136169702656</t>
  </si>
  <si>
    <t>2257203360002656</t>
  </si>
  <si>
    <t>9780816027132</t>
  </si>
  <si>
    <t>32285001942126</t>
  </si>
  <si>
    <t>893709908</t>
  </si>
  <si>
    <t>QB631 .A753 1982</t>
  </si>
  <si>
    <t>0                      QB 0631000A  753         1982</t>
  </si>
  <si>
    <t>Exploring the earth and the cosmos : the growth and future of human knowledge / Isaac Asimov.</t>
  </si>
  <si>
    <t>New York : Crown, c1982.</t>
  </si>
  <si>
    <t>2007-04-02</t>
  </si>
  <si>
    <t>1990-06-07</t>
  </si>
  <si>
    <t>222799128:eng</t>
  </si>
  <si>
    <t>8171208</t>
  </si>
  <si>
    <t>991005213549702656</t>
  </si>
  <si>
    <t>2257166860002656</t>
  </si>
  <si>
    <t>9780517546673</t>
  </si>
  <si>
    <t>32285000184183</t>
  </si>
  <si>
    <t>893437345</t>
  </si>
  <si>
    <t>QB631 .B4</t>
  </si>
  <si>
    <t>0                      QB 0631000B  4</t>
  </si>
  <si>
    <t>Our earth; the properties of our planet, how they were discovered, and how they came into being.</t>
  </si>
  <si>
    <t>Beiser, Arthur.</t>
  </si>
  <si>
    <t>New York, Dutton, 1959.</t>
  </si>
  <si>
    <t>1543490:eng</t>
  </si>
  <si>
    <t>530568</t>
  </si>
  <si>
    <t>991002929839702656</t>
  </si>
  <si>
    <t>2266594170002656</t>
  </si>
  <si>
    <t>32285002642394</t>
  </si>
  <si>
    <t>893874195</t>
  </si>
  <si>
    <t>QB631 .E55 1992</t>
  </si>
  <si>
    <t>0                      QB 0631000E  55          1992</t>
  </si>
  <si>
    <t>Planet earth : cosmology, geology, and the evolution of life and environment / Cesare Emiliani.</t>
  </si>
  <si>
    <t>Emiliani, Cesare.</t>
  </si>
  <si>
    <t>2006-03-17</t>
  </si>
  <si>
    <t>28310815:eng</t>
  </si>
  <si>
    <t>25632865</t>
  </si>
  <si>
    <t>991002016929702656</t>
  </si>
  <si>
    <t>2268203320002656</t>
  </si>
  <si>
    <t>9780521401234</t>
  </si>
  <si>
    <t>32285001727063</t>
  </si>
  <si>
    <t>893322474</t>
  </si>
  <si>
    <t>QB631 .H87 1983</t>
  </si>
  <si>
    <t>0                      QB 0631000H  87          1983</t>
  </si>
  <si>
    <t>The search for our beginning : an enquiry, based on meteorite research, into the origin of our planet and of life / Robert Hutchison.</t>
  </si>
  <si>
    <t>Hutchison, Robert, 1938-2007.</t>
  </si>
  <si>
    <t>London : British Museum (Natural History) ; New York : Oxford University Press, 1983.</t>
  </si>
  <si>
    <t>1995-09-23</t>
  </si>
  <si>
    <t>1992-04-26</t>
  </si>
  <si>
    <t>43732700:eng</t>
  </si>
  <si>
    <t>9645856</t>
  </si>
  <si>
    <t>991000233919702656</t>
  </si>
  <si>
    <t>2269294260002656</t>
  </si>
  <si>
    <t>32285001087419</t>
  </si>
  <si>
    <t>893502360</t>
  </si>
  <si>
    <t>QB631 .R38 1986</t>
  </si>
  <si>
    <t>0                      QB 0631000R  38          1986</t>
  </si>
  <si>
    <t>The nemesis affair : a story of the death of dinosaurs and the ways of science / David M. Raup.</t>
  </si>
  <si>
    <t>Raup, David M.</t>
  </si>
  <si>
    <t>New York, N.Y. : Norton, 1986.</t>
  </si>
  <si>
    <t>1151299581:eng</t>
  </si>
  <si>
    <t>13093867</t>
  </si>
  <si>
    <t>991000779159702656</t>
  </si>
  <si>
    <t>2269785320002656</t>
  </si>
  <si>
    <t>9780393023428</t>
  </si>
  <si>
    <t>32285001433696</t>
  </si>
  <si>
    <t>893339883</t>
  </si>
  <si>
    <t>QB631 .W66 2004</t>
  </si>
  <si>
    <t>0                      QB 0631000W  66          2004</t>
  </si>
  <si>
    <t>Five billion years of global change : a history of the land / Denis Wood.</t>
  </si>
  <si>
    <t>Wood, Denis.</t>
  </si>
  <si>
    <t>New York : Guilford Press, c2004.</t>
  </si>
  <si>
    <t>2008-10-15</t>
  </si>
  <si>
    <t>2004-03-16</t>
  </si>
  <si>
    <t>783297:eng</t>
  </si>
  <si>
    <t>53253778</t>
  </si>
  <si>
    <t>991004237789702656</t>
  </si>
  <si>
    <t>2265331940002656</t>
  </si>
  <si>
    <t>9781572309586</t>
  </si>
  <si>
    <t>32285004893722</t>
  </si>
  <si>
    <t>893900984</t>
  </si>
  <si>
    <t>QB632 .M42 1997</t>
  </si>
  <si>
    <t>0                      QB 0632000M  42          1997</t>
  </si>
  <si>
    <t>Fanfare for earth : the origin of our planet and life / Harry Y. McSween, Jr.</t>
  </si>
  <si>
    <t>McSween, Harry Y.</t>
  </si>
  <si>
    <t>New York : St. Martin's Press, 1997.</t>
  </si>
  <si>
    <t>2002-09-04</t>
  </si>
  <si>
    <t>1997-05-06</t>
  </si>
  <si>
    <t>364497465:eng</t>
  </si>
  <si>
    <t>34932718</t>
  </si>
  <si>
    <t>991002670879702656</t>
  </si>
  <si>
    <t>2270547930002656</t>
  </si>
  <si>
    <t>9780312146016</t>
  </si>
  <si>
    <t>32285002544939</t>
  </si>
  <si>
    <t>893498398</t>
  </si>
  <si>
    <t>QB632 .O75 1990</t>
  </si>
  <si>
    <t>0                      QB 0632000O  75          1990</t>
  </si>
  <si>
    <t>Origin of the earth / edited by Horton E. Newsom and John H. Jones.</t>
  </si>
  <si>
    <t>New York : Oxford University Press ; Houston : Lunar and Planetary Institute, 1990.</t>
  </si>
  <si>
    <t>1991-11-07</t>
  </si>
  <si>
    <t>364430531:eng</t>
  </si>
  <si>
    <t>21905280</t>
  </si>
  <si>
    <t>991001727799702656</t>
  </si>
  <si>
    <t>2267384850002656</t>
  </si>
  <si>
    <t>9780195066197</t>
  </si>
  <si>
    <t>32285000729946</t>
  </si>
  <si>
    <t>893684571</t>
  </si>
  <si>
    <t>QB637 .B6313 1974b</t>
  </si>
  <si>
    <t>0                      QB 0637000B  6313        1974b</t>
  </si>
  <si>
    <t>The Earth from space / Johann Bodechtel and Hans-Gunter Gierloff-Emden ; translated by Hildegard Mayhew and Lotte Evans.</t>
  </si>
  <si>
    <t>Bodechtel, Johann.</t>
  </si>
  <si>
    <t>New York : Arco Pub. Co., 1974, c1969.</t>
  </si>
  <si>
    <t>1993-11-09</t>
  </si>
  <si>
    <t>514244:eng</t>
  </si>
  <si>
    <t>879909</t>
  </si>
  <si>
    <t>991003347839702656</t>
  </si>
  <si>
    <t>2271690790002656</t>
  </si>
  <si>
    <t>9780668029605</t>
  </si>
  <si>
    <t>32285001433712</t>
  </si>
  <si>
    <t>893604707</t>
  </si>
  <si>
    <t>QB637 .F73 1984</t>
  </si>
  <si>
    <t>0                      QB 0637000F  73          1984</t>
  </si>
  <si>
    <t>Images of earth / Peter Francis and Pat Jones.</t>
  </si>
  <si>
    <t>Francis, Peter, 1944-1999.</t>
  </si>
  <si>
    <t>Englewood Cliffs, N.J. : Prentice-Hall, c1984.</t>
  </si>
  <si>
    <t>3448568:eng</t>
  </si>
  <si>
    <t>10878696</t>
  </si>
  <si>
    <t>991000450529702656</t>
  </si>
  <si>
    <t>2272591490002656</t>
  </si>
  <si>
    <t>9780134513942</t>
  </si>
  <si>
    <t>32285001433720</t>
  </si>
  <si>
    <t>893595552</t>
  </si>
  <si>
    <t>QB637 .S48 1981</t>
  </si>
  <si>
    <t>0                      QB 0637000S  48          1981</t>
  </si>
  <si>
    <t>Earthwatch, a survey of the world from space / Charles Sheffield.</t>
  </si>
  <si>
    <t>Sheffield, Charles.</t>
  </si>
  <si>
    <t>New York : Macmillan, 1981.</t>
  </si>
  <si>
    <t>836657484:eng</t>
  </si>
  <si>
    <t>7461059</t>
  </si>
  <si>
    <t>991005114509702656</t>
  </si>
  <si>
    <t>2265722740002656</t>
  </si>
  <si>
    <t>9780026100908</t>
  </si>
  <si>
    <t>32285001433738</t>
  </si>
  <si>
    <t>893783037</t>
  </si>
  <si>
    <t>QB638.8 .M85 1988</t>
  </si>
  <si>
    <t>0                      QB 0638800M  85          1988</t>
  </si>
  <si>
    <t>Nemesis / Richard Muller.</t>
  </si>
  <si>
    <t>Muller, R. (Richard)</t>
  </si>
  <si>
    <t>New York : Weidenfeld &amp; Nicolson, c1988.</t>
  </si>
  <si>
    <t>1992-02-04</t>
  </si>
  <si>
    <t>5090638462:eng</t>
  </si>
  <si>
    <t>17258361</t>
  </si>
  <si>
    <t>991001190879702656</t>
  </si>
  <si>
    <t>2264114450002656</t>
  </si>
  <si>
    <t>9781555841737</t>
  </si>
  <si>
    <t>32285000934033</t>
  </si>
  <si>
    <t>893696549</t>
  </si>
  <si>
    <t>QB64 .B83</t>
  </si>
  <si>
    <t>0                      QB 0064000B  83</t>
  </si>
  <si>
    <t>What star is that?</t>
  </si>
  <si>
    <t>Lancaster Brown, Peter, 1927-</t>
  </si>
  <si>
    <t>New York, Viking Press [1971]</t>
  </si>
  <si>
    <t>1971</t>
  </si>
  <si>
    <t>A Studio book</t>
  </si>
  <si>
    <t>1088591195:eng</t>
  </si>
  <si>
    <t>197462</t>
  </si>
  <si>
    <t>991001222379702656</t>
  </si>
  <si>
    <t>2272500310002656</t>
  </si>
  <si>
    <t>9780670758654</t>
  </si>
  <si>
    <t>32285002584752</t>
  </si>
  <si>
    <t>893237950</t>
  </si>
  <si>
    <t>QB64 .L48 1994</t>
  </si>
  <si>
    <t>0                      QB 0064000L  48          1994</t>
  </si>
  <si>
    <t>Skywatching / David H. Levy ; consultant editor John O'Byrne.</t>
  </si>
  <si>
    <t>Alexandria, VA : Time-Life Books, 1994.</t>
  </si>
  <si>
    <t>A Nature Company guide</t>
  </si>
  <si>
    <t>2003-04-30</t>
  </si>
  <si>
    <t>1996-05-21</t>
  </si>
  <si>
    <t>13442018:eng</t>
  </si>
  <si>
    <t>32313955</t>
  </si>
  <si>
    <t>991002483179702656</t>
  </si>
  <si>
    <t>2268219450002656</t>
  </si>
  <si>
    <t>9780783547510</t>
  </si>
  <si>
    <t>32285002176351</t>
  </si>
  <si>
    <t>893257352</t>
  </si>
  <si>
    <t>QB64 .R375 2001</t>
  </si>
  <si>
    <t>0                      QB 0064000R  375         2001</t>
  </si>
  <si>
    <t>An intimate look at the night sky / Chet Raymo.</t>
  </si>
  <si>
    <t>Raymo, Chet.</t>
  </si>
  <si>
    <t>New York, NY : Walker &amp; Company, c2001.</t>
  </si>
  <si>
    <t>2002-03-19</t>
  </si>
  <si>
    <t>2001-10-15</t>
  </si>
  <si>
    <t>781855:eng</t>
  </si>
  <si>
    <t>47109610</t>
  </si>
  <si>
    <t>991003581419702656</t>
  </si>
  <si>
    <t>2254789780002656</t>
  </si>
  <si>
    <t>9780802713698</t>
  </si>
  <si>
    <t>32285004396239</t>
  </si>
  <si>
    <t>893531328</t>
  </si>
  <si>
    <t>QB64 .R38 1982</t>
  </si>
  <si>
    <t>0                      QB 0064000R  38          1982</t>
  </si>
  <si>
    <t>365 starry nights : an introduction to astronomy for every night of the year / text and illustrations by Chet Raymo.</t>
  </si>
  <si>
    <t>PHalarope books</t>
  </si>
  <si>
    <t>1033288:eng</t>
  </si>
  <si>
    <t>8387225</t>
  </si>
  <si>
    <t>991005236699702656</t>
  </si>
  <si>
    <t>2266685990002656</t>
  </si>
  <si>
    <t>9780139205125</t>
  </si>
  <si>
    <t>32285001432052</t>
  </si>
  <si>
    <t>893720037</t>
  </si>
  <si>
    <t>QB64 .S47</t>
  </si>
  <si>
    <t>0                      QB 0064000S  47</t>
  </si>
  <si>
    <t>A complete manual of amateur astronomy : tools and techniques for astronomical observations / P. Clay Sherrod, with Thomas L. Koed ; foreword by Leif Robinson.</t>
  </si>
  <si>
    <t>Sherrod, P. Clay.</t>
  </si>
  <si>
    <t>Englewood Cliffs, N.J. : Prentice-Hall, c1981.</t>
  </si>
  <si>
    <t>A Spectrum book</t>
  </si>
  <si>
    <t>2009-01-07</t>
  </si>
  <si>
    <t>836670024:eng</t>
  </si>
  <si>
    <t>7277892</t>
  </si>
  <si>
    <t>991005098539702656</t>
  </si>
  <si>
    <t>2263844970002656</t>
  </si>
  <si>
    <t>9780131621077</t>
  </si>
  <si>
    <t>32285001432060</t>
  </si>
  <si>
    <t>893248349</t>
  </si>
  <si>
    <t>QB64 .W3</t>
  </si>
  <si>
    <t>0                      QB 0064000W  3</t>
  </si>
  <si>
    <t>Celestial objects for common telescopes / by T.W. Webb.</t>
  </si>
  <si>
    <t>Webb, T. W. (Thomas William), 1807-1885.</t>
  </si>
  <si>
    <t>London : Longmans, Green, 1881.</t>
  </si>
  <si>
    <t>1881</t>
  </si>
  <si>
    <t>4th ed., rev. and greatly enl.</t>
  </si>
  <si>
    <t>1999-06-09</t>
  </si>
  <si>
    <t>4927458457:eng</t>
  </si>
  <si>
    <t>11052963</t>
  </si>
  <si>
    <t>991000481889702656</t>
  </si>
  <si>
    <t>2259892770002656</t>
  </si>
  <si>
    <t>32285002584836</t>
  </si>
  <si>
    <t>893607945</t>
  </si>
  <si>
    <t>QB641 .C425 2008</t>
  </si>
  <si>
    <t>0                      QB 0641000C  425         2008</t>
  </si>
  <si>
    <t>A passion for Mars : intrepid explorers of the Red Planet / Andrew Chaikin ; foreword by James Cameron.</t>
  </si>
  <si>
    <t>Chaikin, Andrew, 1956-</t>
  </si>
  <si>
    <t>New York : Abrams, 2008.</t>
  </si>
  <si>
    <t>2008</t>
  </si>
  <si>
    <t>2009-02-06</t>
  </si>
  <si>
    <t>2009-01-21</t>
  </si>
  <si>
    <t>816851349:eng</t>
  </si>
  <si>
    <t>182779576</t>
  </si>
  <si>
    <t>991005288519702656</t>
  </si>
  <si>
    <t>2262291580002656</t>
  </si>
  <si>
    <t>9780810972742</t>
  </si>
  <si>
    <t>32285005500052</t>
  </si>
  <si>
    <t>893713813</t>
  </si>
  <si>
    <t>QB641 .C48 1979</t>
  </si>
  <si>
    <t>0                      QB 0641000C  48          1979</t>
  </si>
  <si>
    <t>Life on Mars / by David L. Chandler.</t>
  </si>
  <si>
    <t>Chandler, David Leon.</t>
  </si>
  <si>
    <t>New York : E. P. Dutton, c1979.</t>
  </si>
  <si>
    <t>1999-01-29</t>
  </si>
  <si>
    <t>506869:eng</t>
  </si>
  <si>
    <t>4004524</t>
  </si>
  <si>
    <t>991004565819702656</t>
  </si>
  <si>
    <t>2264898680002656</t>
  </si>
  <si>
    <t>32285000109974</t>
  </si>
  <si>
    <t>893807225</t>
  </si>
  <si>
    <t>QB641 .C53 1995</t>
  </si>
  <si>
    <t>0                      QB 0641000C  53          1995</t>
  </si>
  <si>
    <t>The snows of Olympus : a garden on Mars / Arthur C. Clarke.</t>
  </si>
  <si>
    <t>Clarke, Arthur C. (Arthur Charles), 1917-2008.</t>
  </si>
  <si>
    <t>New York : W. W. Norton, 1995.</t>
  </si>
  <si>
    <t>First American edition</t>
  </si>
  <si>
    <t>1998-02-23</t>
  </si>
  <si>
    <t>1996-09-03</t>
  </si>
  <si>
    <t>198990199:eng</t>
  </si>
  <si>
    <t>33231041</t>
  </si>
  <si>
    <t>991002555739702656</t>
  </si>
  <si>
    <t>2258500440002656</t>
  </si>
  <si>
    <t>9780393039115</t>
  </si>
  <si>
    <t>32285002098019</t>
  </si>
  <si>
    <t>893903961</t>
  </si>
  <si>
    <t>QB641 .G46</t>
  </si>
  <si>
    <t>0                      QB 0641000G  46</t>
  </si>
  <si>
    <t>Geology of the planet Mars / edited by Vivien Gornitz.</t>
  </si>
  <si>
    <t>Stroudsburg, Pa. : Dowden, Hutchinson, and Ross, [1979] c1978.</t>
  </si>
  <si>
    <t>Benchmark papers in geology ; v. 48</t>
  </si>
  <si>
    <t>2001-02-15</t>
  </si>
  <si>
    <t>14590256:eng</t>
  </si>
  <si>
    <t>4136195</t>
  </si>
  <si>
    <t>991004594569702656</t>
  </si>
  <si>
    <t>2258113820002656</t>
  </si>
  <si>
    <t>9780879333997</t>
  </si>
  <si>
    <t>32285001433753</t>
  </si>
  <si>
    <t>893507017</t>
  </si>
  <si>
    <t>QB641 .H69</t>
  </si>
  <si>
    <t>0                      QB 0641000H  69</t>
  </si>
  <si>
    <t>Lowell and Mars / William Graves Hoyt.</t>
  </si>
  <si>
    <t>Hoyt, William Graves.</t>
  </si>
  <si>
    <t>Tucson : University of Arizona Press, c1976.</t>
  </si>
  <si>
    <t>2005-11-20</t>
  </si>
  <si>
    <t>4986802:eng</t>
  </si>
  <si>
    <t>2390580</t>
  </si>
  <si>
    <t>991004109059702656</t>
  </si>
  <si>
    <t>2269034230002656</t>
  </si>
  <si>
    <t>9780816504350</t>
  </si>
  <si>
    <t>32285002642402</t>
  </si>
  <si>
    <t>893353212</t>
  </si>
  <si>
    <t>QB641 .K23 2004</t>
  </si>
  <si>
    <t>0                      QB 0641000K  23          2004</t>
  </si>
  <si>
    <t>Mars : a warmer, wetter planet / Jeffrey S. Kargel.</t>
  </si>
  <si>
    <t>Kargel, J. S. (Jeffrey Stuart), 1958-</t>
  </si>
  <si>
    <t>London ; New York : Springer ; Chichester : Praxis, c2004.</t>
  </si>
  <si>
    <t>Springer-Praxis books in astronomy and space sciences</t>
  </si>
  <si>
    <t>2005-04-07</t>
  </si>
  <si>
    <t>840509738:eng</t>
  </si>
  <si>
    <t>53170166</t>
  </si>
  <si>
    <t>991004495529702656</t>
  </si>
  <si>
    <t>2255382610002656</t>
  </si>
  <si>
    <t>9781852335687</t>
  </si>
  <si>
    <t>32285005048631</t>
  </si>
  <si>
    <t>893500645</t>
  </si>
  <si>
    <t>QB641 .R34 1998</t>
  </si>
  <si>
    <t>0                      QB 0641000R  34          1998</t>
  </si>
  <si>
    <t>Mars : uncovering the secrets of the red planet / Paul Raeburn ; foreword and commentary by Matt Golombek.</t>
  </si>
  <si>
    <t>Raeburn, Paul.</t>
  </si>
  <si>
    <t>Washington, D.C. : National Georgaphic Society, c1998.</t>
  </si>
  <si>
    <t>2000-12-12</t>
  </si>
  <si>
    <t>366319105:eng</t>
  </si>
  <si>
    <t>38580175</t>
  </si>
  <si>
    <t>991003316009702656</t>
  </si>
  <si>
    <t>2256551730002656</t>
  </si>
  <si>
    <t>9780792270317</t>
  </si>
  <si>
    <t>32285004276233</t>
  </si>
  <si>
    <t>893352778</t>
  </si>
  <si>
    <t>QB641 .R355 2004</t>
  </si>
  <si>
    <t>0                      QB 0641000R  355         2004</t>
  </si>
  <si>
    <t>The Martian climate revisited : atmosphere and environment of a desert planet / Peter L. Read and Stephen R. Lewis.</t>
  </si>
  <si>
    <t>Read, Peter L., 1953-</t>
  </si>
  <si>
    <t>Berlin ; New York : Springer ; Chichester, UK : Praxis Pub., c2004.</t>
  </si>
  <si>
    <t>Springer-Praxis books in geophysical sciences</t>
  </si>
  <si>
    <t>2005-05-19</t>
  </si>
  <si>
    <t>899099610:eng</t>
  </si>
  <si>
    <t>52853981</t>
  </si>
  <si>
    <t>991004540449702656</t>
  </si>
  <si>
    <t>2258272910002656</t>
  </si>
  <si>
    <t>9783540407430</t>
  </si>
  <si>
    <t>32285005038574</t>
  </si>
  <si>
    <t>893229481</t>
  </si>
  <si>
    <t>QB641 .S416 1977</t>
  </si>
  <si>
    <t>0                      QB 0641000S  416         1977</t>
  </si>
  <si>
    <t>Scientific results of the Viking project / [Edward A. Flinn, editor].</t>
  </si>
  <si>
    <t>Washington : American Geophysical Union, [1977]</t>
  </si>
  <si>
    <t>1994-12-06</t>
  </si>
  <si>
    <t>3769570175:eng</t>
  </si>
  <si>
    <t>3567860</t>
  </si>
  <si>
    <t>991004465599702656</t>
  </si>
  <si>
    <t>2272225160002656</t>
  </si>
  <si>
    <t>9780875902074</t>
  </si>
  <si>
    <t>32285001433761</t>
  </si>
  <si>
    <t>893263288</t>
  </si>
  <si>
    <t>QB641 .V293 1954</t>
  </si>
  <si>
    <t>0                      QB 0641000V  293         1954</t>
  </si>
  <si>
    <t>Physics of the planet Mars : an introduction to aerophysics.</t>
  </si>
  <si>
    <t>De Vaucouleurs, Gérard, 1918-1995.</t>
  </si>
  <si>
    <t>London : Faber and Faber, [1954]</t>
  </si>
  <si>
    <t>43903292:eng</t>
  </si>
  <si>
    <t>1334710</t>
  </si>
  <si>
    <t>991003699569702656</t>
  </si>
  <si>
    <t>2258720040002656</t>
  </si>
  <si>
    <t>32285001021798</t>
  </si>
  <si>
    <t>893810121</t>
  </si>
  <si>
    <t>QB641 .V545 1978</t>
  </si>
  <si>
    <t>0                      QB 0641000V  545         1978</t>
  </si>
  <si>
    <t>Viking Mars expedition, 1976.</t>
  </si>
  <si>
    <t>Denver, Colo. : Martin Marietta Corporation, c1978.</t>
  </si>
  <si>
    <t>1998-11-05</t>
  </si>
  <si>
    <t>1998-11-04</t>
  </si>
  <si>
    <t>4071722:eng</t>
  </si>
  <si>
    <t>11134108</t>
  </si>
  <si>
    <t>991000495569702656</t>
  </si>
  <si>
    <t>2254835320002656</t>
  </si>
  <si>
    <t>32285003485108</t>
  </si>
  <si>
    <t>893321089</t>
  </si>
  <si>
    <t>QB641 .W55 1990</t>
  </si>
  <si>
    <t>0                      QB 0641000W  55          1990</t>
  </si>
  <si>
    <t>Mars beckons : the mysteries, the challenges, the expectations of our next great adventure in space / by John Noble Wilford.</t>
  </si>
  <si>
    <t>Wilford, John Noble.</t>
  </si>
  <si>
    <t>New York : Knopf, 1990.</t>
  </si>
  <si>
    <t>1990-09-04</t>
  </si>
  <si>
    <t>22348614:eng</t>
  </si>
  <si>
    <t>20722213</t>
  </si>
  <si>
    <t>991001608269702656</t>
  </si>
  <si>
    <t>2272264180002656</t>
  </si>
  <si>
    <t>9780394583594</t>
  </si>
  <si>
    <t>32285000275965</t>
  </si>
  <si>
    <t>893408231</t>
  </si>
  <si>
    <t>QB641 .Z83 1996</t>
  </si>
  <si>
    <t>0                      QB 0641000Z  83          1996</t>
  </si>
  <si>
    <t>The case for Mars : the plan to settle the red planet and why we must / Robert M. Zubrin with Richard Wagner.</t>
  </si>
  <si>
    <t>Zubrin, Robert.</t>
  </si>
  <si>
    <t>New York : The Free Press, 1996.</t>
  </si>
  <si>
    <t>1999-04-20</t>
  </si>
  <si>
    <t>1996-11-08</t>
  </si>
  <si>
    <t>813454081:eng</t>
  </si>
  <si>
    <t>34906203</t>
  </si>
  <si>
    <t>991002668559702656</t>
  </si>
  <si>
    <t>2262088700002656</t>
  </si>
  <si>
    <t>9780684827575</t>
  </si>
  <si>
    <t>32285001419513</t>
  </si>
  <si>
    <t>893899048</t>
  </si>
  <si>
    <t>QB65 .C313 1959</t>
  </si>
  <si>
    <t>0                      QB 0065000C  313         1959</t>
  </si>
  <si>
    <t>Atlas of the sky. Translated and with a pref. by Harold Spencer Jones.</t>
  </si>
  <si>
    <t>Callataÿ, Vincent de.</t>
  </si>
  <si>
    <t>London, Macmillan; New York, St Martin's Press, 1959 [c1958]</t>
  </si>
  <si>
    <t>[1st ed.].</t>
  </si>
  <si>
    <t>1998-10-14</t>
  </si>
  <si>
    <t>347112400:eng</t>
  </si>
  <si>
    <t>2060197</t>
  </si>
  <si>
    <t>991003995729702656</t>
  </si>
  <si>
    <t>2258352730002656</t>
  </si>
  <si>
    <t>32285002584851</t>
  </si>
  <si>
    <t>893712032</t>
  </si>
  <si>
    <t>QB65 .G37 1994</t>
  </si>
  <si>
    <t>0                      QB 0065000G  37          1994</t>
  </si>
  <si>
    <t>Star-hopping : your visa to viewing the universe / Robert A. Garfinkle ; foreword by Richard Berry.</t>
  </si>
  <si>
    <t>Garfinkle, Robert A. (Robert Allen), 1947-</t>
  </si>
  <si>
    <t>Cambridge [England] ; New York, NY, USA : Cambridge University Press, 1994.</t>
  </si>
  <si>
    <t>1995-03-21</t>
  </si>
  <si>
    <t>30271366:eng</t>
  </si>
  <si>
    <t>28113249</t>
  </si>
  <si>
    <t>991002183369702656</t>
  </si>
  <si>
    <t>2256409220002656</t>
  </si>
  <si>
    <t>9780521415903</t>
  </si>
  <si>
    <t>32285002003407</t>
  </si>
  <si>
    <t>893792128</t>
  </si>
  <si>
    <t>QB65 .O44 1998</t>
  </si>
  <si>
    <t>0                      QB 0065000O  44          1998</t>
  </si>
  <si>
    <t>The Messier objects / Stephen James O'Meara ; foreword by David H. Levy.</t>
  </si>
  <si>
    <t>O'Meara, Stephen James, 1956-</t>
  </si>
  <si>
    <t>New York : Cambridge University Press, 1998.</t>
  </si>
  <si>
    <t>Deep-sky companions</t>
  </si>
  <si>
    <t>1999-10-12</t>
  </si>
  <si>
    <t>9565719775:eng</t>
  </si>
  <si>
    <t>36074483</t>
  </si>
  <si>
    <t>991002748919702656</t>
  </si>
  <si>
    <t>2263916730002656</t>
  </si>
  <si>
    <t>9780521553322</t>
  </si>
  <si>
    <t>32285003594800</t>
  </si>
  <si>
    <t>893904069</t>
  </si>
  <si>
    <t>QB651 .A848 2002</t>
  </si>
  <si>
    <t>0                      QB 0651000A  848         2002</t>
  </si>
  <si>
    <t>Asteroid rendezvous : NEAR Shoemaker's adventures at Eros / edited by Jim Bell and Jacqueline Mitton.</t>
  </si>
  <si>
    <t>Cambridge, UK ; New York : Cambridge University Press, 2002.</t>
  </si>
  <si>
    <t>2003-03-06</t>
  </si>
  <si>
    <t>840187918:eng</t>
  </si>
  <si>
    <t>49902055</t>
  </si>
  <si>
    <t>991004000819702656</t>
  </si>
  <si>
    <t>2257529490002656</t>
  </si>
  <si>
    <t>9780521813600</t>
  </si>
  <si>
    <t>32285004683164</t>
  </si>
  <si>
    <t>893343344</t>
  </si>
  <si>
    <t>QB651 .A85</t>
  </si>
  <si>
    <t>0                      QB 0651000A  85</t>
  </si>
  <si>
    <t>Asteroids / edited by Tom Gehrels, with the assistance of Mildred Shapley Matthews ; with 69 collaborating authors.</t>
  </si>
  <si>
    <t>Tucson : University of Arizona Press, c1979.</t>
  </si>
  <si>
    <t>1996-02-04</t>
  </si>
  <si>
    <t>1151144462:eng</t>
  </si>
  <si>
    <t>5310392</t>
  </si>
  <si>
    <t>991004816119702656</t>
  </si>
  <si>
    <t>2264289010002656</t>
  </si>
  <si>
    <t>9780816506958</t>
  </si>
  <si>
    <t>32285001433779</t>
  </si>
  <si>
    <t>893688199</t>
  </si>
  <si>
    <t>QB651 .B36 1996</t>
  </si>
  <si>
    <t>0                      QB 0651000B  36          1996</t>
  </si>
  <si>
    <t>Asteroid : earth destroyer or new frontier? / Patricia Barnes-Svarney.</t>
  </si>
  <si>
    <t>Barnes-Svarney, Patricia L.</t>
  </si>
  <si>
    <t>1998-02-02</t>
  </si>
  <si>
    <t>10550086:eng</t>
  </si>
  <si>
    <t>35033577</t>
  </si>
  <si>
    <t>991002680949702656</t>
  </si>
  <si>
    <t>2269156540002656</t>
  </si>
  <si>
    <t>9780306454080</t>
  </si>
  <si>
    <t>32285001419620</t>
  </si>
  <si>
    <t>893233267</t>
  </si>
  <si>
    <t>QB651 .D38 1986</t>
  </si>
  <si>
    <t>0                      QB 0651000D  38          1986</t>
  </si>
  <si>
    <t>Cosmic impact / by John Keith Davies.</t>
  </si>
  <si>
    <t>Coach Davies.</t>
  </si>
  <si>
    <t>London : Fourth Estate, 1986.</t>
  </si>
  <si>
    <t>1996-01-29</t>
  </si>
  <si>
    <t>7118399:eng</t>
  </si>
  <si>
    <t>13670239</t>
  </si>
  <si>
    <t>991000859599702656</t>
  </si>
  <si>
    <t>2254711750002656</t>
  </si>
  <si>
    <t>9780947795207</t>
  </si>
  <si>
    <t>32285001433787</t>
  </si>
  <si>
    <t>893528450</t>
  </si>
  <si>
    <t>QB651 .K68 1988</t>
  </si>
  <si>
    <t>0                      QB 0651000K  68          1988</t>
  </si>
  <si>
    <t>Asteroids : their nature and utilization / Charles T. Kowal.</t>
  </si>
  <si>
    <t>Kowal, Charles T.</t>
  </si>
  <si>
    <t>Chichester, England : E. Horwood ; New York : Halsted Press, 1988.</t>
  </si>
  <si>
    <t>1997-11-23</t>
  </si>
  <si>
    <t>793333259:eng</t>
  </si>
  <si>
    <t>18291383</t>
  </si>
  <si>
    <t>991001327799702656</t>
  </si>
  <si>
    <t>2264694240002656</t>
  </si>
  <si>
    <t>9780470212301</t>
  </si>
  <si>
    <t>32285000012251</t>
  </si>
  <si>
    <t>893608769</t>
  </si>
  <si>
    <t>QB651 .S74 1995</t>
  </si>
  <si>
    <t>0                      QB 0651000S  74          1995</t>
  </si>
  <si>
    <t>Rogue asteroids and doomsday comets : the search for the million megaton menace that threatens life on Earth / Duncan Steel ; foreword by Arthur C. Clarke.</t>
  </si>
  <si>
    <t>Steel, Duncan, 1955-</t>
  </si>
  <si>
    <t>New York : Wiley, c1995.</t>
  </si>
  <si>
    <t>1995-08-03</t>
  </si>
  <si>
    <t>836943500:eng</t>
  </si>
  <si>
    <t>31045313</t>
  </si>
  <si>
    <t>991002389929702656</t>
  </si>
  <si>
    <t>2264244830002656</t>
  </si>
  <si>
    <t>9780471308249</t>
  </si>
  <si>
    <t>32285002076775</t>
  </si>
  <si>
    <t>893798529</t>
  </si>
  <si>
    <t>QB661 .B87 1982</t>
  </si>
  <si>
    <t>0                      QB 0661000B  87          1982</t>
  </si>
  <si>
    <t>By Jupiter : odysseys to a giant / Eric Burgess.</t>
  </si>
  <si>
    <t>Burgess, Eric.</t>
  </si>
  <si>
    <t>New York : Columbia University Press, 1982.</t>
  </si>
  <si>
    <t>366084248:eng</t>
  </si>
  <si>
    <t>8283510</t>
  </si>
  <si>
    <t>991005226969702656</t>
  </si>
  <si>
    <t>2268474680002656</t>
  </si>
  <si>
    <t>9780231051767</t>
  </si>
  <si>
    <t>32285000107499</t>
  </si>
  <si>
    <t>893607040</t>
  </si>
  <si>
    <t>QB661 .F57 2001</t>
  </si>
  <si>
    <t>0                      QB 0661000F  57          2001</t>
  </si>
  <si>
    <t>Mission Jupiter : the spectacular journey of the Galileo spacecraft / Daniel Fischer ; [translated by Don Reneau].</t>
  </si>
  <si>
    <t>Fischer, Daniel.</t>
  </si>
  <si>
    <t>New York : Copernicus, c2001.</t>
  </si>
  <si>
    <t>2001-09-27</t>
  </si>
  <si>
    <t>26535635:eng</t>
  </si>
  <si>
    <t>41355774</t>
  </si>
  <si>
    <t>991003616329702656</t>
  </si>
  <si>
    <t>2266784000002656</t>
  </si>
  <si>
    <t>9780387987644</t>
  </si>
  <si>
    <t>32285004393921</t>
  </si>
  <si>
    <t>893787545</t>
  </si>
  <si>
    <t>QB661 .J86</t>
  </si>
  <si>
    <t>0                      QB 0661000J  86</t>
  </si>
  <si>
    <t>Jupiter : studies of the interior, atmosphere, magnetosphere, and satellites / edited by Tom Gehrels, with the assistance of Mildred Shapley Matthews.</t>
  </si>
  <si>
    <t>934685856:eng</t>
  </si>
  <si>
    <t>2532796</t>
  </si>
  <si>
    <t>991004153589702656</t>
  </si>
  <si>
    <t>2268812490002656</t>
  </si>
  <si>
    <t>9780816505302</t>
  </si>
  <si>
    <t>32285000106467</t>
  </si>
  <si>
    <t>893228992</t>
  </si>
  <si>
    <t>QB661 .M55 2002</t>
  </si>
  <si>
    <t>0                      QB 0661000M  55          2002</t>
  </si>
  <si>
    <t>Jupiter / Ron Miller.</t>
  </si>
  <si>
    <t>Brookfield, Conn. : Twenty-First Century Books, c2002.</t>
  </si>
  <si>
    <t>Worlds beyond</t>
  </si>
  <si>
    <t>2003-08-12</t>
  </si>
  <si>
    <t>36619100:eng</t>
  </si>
  <si>
    <t>47665227</t>
  </si>
  <si>
    <t>991004104059702656</t>
  </si>
  <si>
    <t>2258323640002656</t>
  </si>
  <si>
    <t>9780761323563</t>
  </si>
  <si>
    <t>32285004759287</t>
  </si>
  <si>
    <t>893679292</t>
  </si>
  <si>
    <t>QB661 .P4 1981</t>
  </si>
  <si>
    <t>0                      QB 0661000P  4           1981</t>
  </si>
  <si>
    <t>The Planet Jupiter : the observer's handbook / by Bertrand M. Peek ; with a foreword by Patrick Moore.</t>
  </si>
  <si>
    <t>Peek, Bertrand M. (Bertrand Meigh)</t>
  </si>
  <si>
    <t>London ; Boston : Faber and Faber, 1981.</t>
  </si>
  <si>
    <t>3944370049:eng</t>
  </si>
  <si>
    <t>9042200</t>
  </si>
  <si>
    <t>991000116519702656</t>
  </si>
  <si>
    <t>2265359650002656</t>
  </si>
  <si>
    <t>9780571180264</t>
  </si>
  <si>
    <t>32285001433795</t>
  </si>
  <si>
    <t>893224746</t>
  </si>
  <si>
    <t>QB661 .R64 1995</t>
  </si>
  <si>
    <t>0                      QB 0661000R  64          1995</t>
  </si>
  <si>
    <t>The giant planet Jupiter / John H. Rogers.</t>
  </si>
  <si>
    <t>Rogers, John H. (John Hubert), 1952-</t>
  </si>
  <si>
    <t>Cambridge ; New York, NY, USA : Cambridge University Press, 1995.</t>
  </si>
  <si>
    <t>Practical astronomy handbook series ; 6</t>
  </si>
  <si>
    <t>1996-07-10</t>
  </si>
  <si>
    <t>32049292:eng</t>
  </si>
  <si>
    <t>30357355</t>
  </si>
  <si>
    <t>991002332739702656</t>
  </si>
  <si>
    <t>2254830750002656</t>
  </si>
  <si>
    <t>9780521410083</t>
  </si>
  <si>
    <t>32285002211331</t>
  </si>
  <si>
    <t>893517175</t>
  </si>
  <si>
    <t>QB661 .W37 1983</t>
  </si>
  <si>
    <t>0                      QB 0661000W  37          1983</t>
  </si>
  <si>
    <t>Distant encounters : the exploration of Jupiter and Saturn / Mark Washburn ; illustrations by Susan Stillman.</t>
  </si>
  <si>
    <t>Washburn, Mark.</t>
  </si>
  <si>
    <t>San Diego : Harcourt Brace Jovanovich, c1983.</t>
  </si>
  <si>
    <t>1995-03-10</t>
  </si>
  <si>
    <t>414000:eng</t>
  </si>
  <si>
    <t>8805771</t>
  </si>
  <si>
    <t>991000075489702656</t>
  </si>
  <si>
    <t>2270533540002656</t>
  </si>
  <si>
    <t>9780156261081</t>
  </si>
  <si>
    <t>32285000107507</t>
  </si>
  <si>
    <t>893406905</t>
  </si>
  <si>
    <t>QB661 .W75 2004</t>
  </si>
  <si>
    <t>0                      QB 0661000W  75          2004</t>
  </si>
  <si>
    <t>The depths of space : the story of the Pioneer planetary probes / Mark Wolverton.</t>
  </si>
  <si>
    <t>Wolverton, Mark.</t>
  </si>
  <si>
    <t>Washington, D.C. : Joseph Henry Press, c2004.</t>
  </si>
  <si>
    <t>2004-07-13</t>
  </si>
  <si>
    <t>793921146:eng</t>
  </si>
  <si>
    <t>54694487</t>
  </si>
  <si>
    <t>991004316249702656</t>
  </si>
  <si>
    <t>2260249630002656</t>
  </si>
  <si>
    <t>9780309090506</t>
  </si>
  <si>
    <t>32285004922745</t>
  </si>
  <si>
    <t>893901101</t>
  </si>
  <si>
    <t>QB671 .C66 1985</t>
  </si>
  <si>
    <t>0                      QB 0671000C  66          1985</t>
  </si>
  <si>
    <t>Imaging Saturn : the Voyager flights to Saturn / Henry S.F. Cooper, Jr.</t>
  </si>
  <si>
    <t>New York : Holt, Rinehart and Winston, 1985, c1982.</t>
  </si>
  <si>
    <t>1992-03-01</t>
  </si>
  <si>
    <t>5464903:eng</t>
  </si>
  <si>
    <t>13104993</t>
  </si>
  <si>
    <t>991000782199702656</t>
  </si>
  <si>
    <t>2260129750002656</t>
  </si>
  <si>
    <t>9780030056147</t>
  </si>
  <si>
    <t>32285000979673</t>
  </si>
  <si>
    <t>893444455</t>
  </si>
  <si>
    <t>QB681 .H86 1989</t>
  </si>
  <si>
    <t>0                      QB 0681000H  86          1989</t>
  </si>
  <si>
    <t>Atlas of Uranus / Garry Hunt and Patrick Moore.</t>
  </si>
  <si>
    <t>Cambridge, Cambridgeshire ; New York : Cambridge University Press, 1989.</t>
  </si>
  <si>
    <t>10552327:eng</t>
  </si>
  <si>
    <t>15588685</t>
  </si>
  <si>
    <t>991001040249702656</t>
  </si>
  <si>
    <t>2270182490002656</t>
  </si>
  <si>
    <t>9780521343237</t>
  </si>
  <si>
    <t>32285001433811</t>
  </si>
  <si>
    <t>893897450</t>
  </si>
  <si>
    <t>QB681 .L58 1988</t>
  </si>
  <si>
    <t>0                      QB 0681000L  58          1988</t>
  </si>
  <si>
    <t>Planets beyond : discovering the outer solar system / Mark Littmann.</t>
  </si>
  <si>
    <t>Littmann, Mark, 1939-</t>
  </si>
  <si>
    <t>New York : Wiley, c1988.</t>
  </si>
  <si>
    <t>Wiley science editions</t>
  </si>
  <si>
    <t>2010-06-08</t>
  </si>
  <si>
    <t>795495285:eng</t>
  </si>
  <si>
    <t>18134941</t>
  </si>
  <si>
    <t>991001308589702656</t>
  </si>
  <si>
    <t>2259882110002656</t>
  </si>
  <si>
    <t>9780471611288</t>
  </si>
  <si>
    <t>32285000156769</t>
  </si>
  <si>
    <t>893621251</t>
  </si>
  <si>
    <t>QB691 .B87 1991</t>
  </si>
  <si>
    <t>0                      QB 0691000B  87          1991</t>
  </si>
  <si>
    <t>Far encounter : the Neptune system / Eric Burgess.</t>
  </si>
  <si>
    <t>New York : Columbia University Press, c1991.</t>
  </si>
  <si>
    <t>365549983:eng</t>
  </si>
  <si>
    <t>23767264</t>
  </si>
  <si>
    <t>991001886209702656</t>
  </si>
  <si>
    <t>2269177900002656</t>
  </si>
  <si>
    <t>9780231074124</t>
  </si>
  <si>
    <t>32285001362879</t>
  </si>
  <si>
    <t>893697110</t>
  </si>
  <si>
    <t>QB691 .G7</t>
  </si>
  <si>
    <t>0                      QB 0691000G  7</t>
  </si>
  <si>
    <t>The discovery of Neptune.</t>
  </si>
  <si>
    <t>Grosser, Morton.</t>
  </si>
  <si>
    <t>Cambridge, Harvard University Press, 1962.</t>
  </si>
  <si>
    <t>494120:eng</t>
  </si>
  <si>
    <t>530702</t>
  </si>
  <si>
    <t>991002930449702656</t>
  </si>
  <si>
    <t>2266490030002656</t>
  </si>
  <si>
    <t>32285002642485</t>
  </si>
  <si>
    <t>893530647</t>
  </si>
  <si>
    <t>QB691 .H86 1994</t>
  </si>
  <si>
    <t>0                      QB 0691000H  86          1994</t>
  </si>
  <si>
    <t>Atlas of Neptune / Garry E. Hunt and Patrick Moore.</t>
  </si>
  <si>
    <t>Cambridge ; New York, NY : Cambridge University Press, 1994.</t>
  </si>
  <si>
    <t>342595:eng</t>
  </si>
  <si>
    <t>28067810</t>
  </si>
  <si>
    <t>991002181419702656</t>
  </si>
  <si>
    <t>2258860870002656</t>
  </si>
  <si>
    <t>9780521374781</t>
  </si>
  <si>
    <t>32285002039062</t>
  </si>
  <si>
    <t>893626993</t>
  </si>
  <si>
    <t>QB701 .H69</t>
  </si>
  <si>
    <t>0                      QB 0701000H  69</t>
  </si>
  <si>
    <t>Planets X and Pluto / William Graves Hoyt.</t>
  </si>
  <si>
    <t>Tucson : University of Arizona Press, c1980.</t>
  </si>
  <si>
    <t>479959:eng</t>
  </si>
  <si>
    <t>5101477</t>
  </si>
  <si>
    <t>991004776939702656</t>
  </si>
  <si>
    <t>2259200090002656</t>
  </si>
  <si>
    <t>9780816506644</t>
  </si>
  <si>
    <t>32285000934025</t>
  </si>
  <si>
    <t>893606462</t>
  </si>
  <si>
    <t>QB701 .S84 1998</t>
  </si>
  <si>
    <t>0                      QB 0701000S  84          1998</t>
  </si>
  <si>
    <t>Pluto and Charon : ice worlds on the ragged edge of the solar system / Alan Stern, Jacqueline Mitton.</t>
  </si>
  <si>
    <t>Stern, Alan, 1957-</t>
  </si>
  <si>
    <t>New York : Wiley, c1998.</t>
  </si>
  <si>
    <t>1998-09-01</t>
  </si>
  <si>
    <t>793852281:eng</t>
  </si>
  <si>
    <t>36477102</t>
  </si>
  <si>
    <t>991002778349702656</t>
  </si>
  <si>
    <t>2258754820002656</t>
  </si>
  <si>
    <t>9780471152972</t>
  </si>
  <si>
    <t>32285003464814</t>
  </si>
  <si>
    <t>893616565</t>
  </si>
  <si>
    <t>QB701 .S84 2005</t>
  </si>
  <si>
    <t>0                      QB 0701000S  84          2005</t>
  </si>
  <si>
    <t>Weinheim : Wiley-VCH, c2005.</t>
  </si>
  <si>
    <t>2nd ed., rev. and updated.</t>
  </si>
  <si>
    <t>62176951</t>
  </si>
  <si>
    <t>991005144839702656</t>
  </si>
  <si>
    <t>2271513220002656</t>
  </si>
  <si>
    <t>9783527405565</t>
  </si>
  <si>
    <t>32285005366991</t>
  </si>
  <si>
    <t>893613197</t>
  </si>
  <si>
    <t>QB701 .T65 1980</t>
  </si>
  <si>
    <t>0                      QB 0701000T  65          1980</t>
  </si>
  <si>
    <t>Out of the darkness, the planet Pluto / Clyde W. Tombaugh, Patrick Moore.</t>
  </si>
  <si>
    <t>Tombaugh, Clyde William, 1906-1997.</t>
  </si>
  <si>
    <t>Harrisburg, Pa. : Stackpole Books, c1980.</t>
  </si>
  <si>
    <t>47792820:eng</t>
  </si>
  <si>
    <t>6487781</t>
  </si>
  <si>
    <t>991004992589702656</t>
  </si>
  <si>
    <t>2256252290002656</t>
  </si>
  <si>
    <t>9780811711630</t>
  </si>
  <si>
    <t>32285001433845</t>
  </si>
  <si>
    <t>893870334</t>
  </si>
  <si>
    <t>QB721 .C34 1981</t>
  </si>
  <si>
    <t>0                      QB 0721000C  34          1981</t>
  </si>
  <si>
    <t>The comet is coming! : The feverish legacy of Mr. Halley / Nigel Calder.</t>
  </si>
  <si>
    <t>Calder, Nigel, 1931-2014.</t>
  </si>
  <si>
    <t>New York : Viking Press, 1981, c1980.</t>
  </si>
  <si>
    <t>1995-04-13</t>
  </si>
  <si>
    <t>1992-02-24</t>
  </si>
  <si>
    <t>198049760:eng</t>
  </si>
  <si>
    <t>6889937</t>
  </si>
  <si>
    <t>991005053989702656</t>
  </si>
  <si>
    <t>2269260290002656</t>
  </si>
  <si>
    <t>9780670232161</t>
  </si>
  <si>
    <t>32285000974708</t>
  </si>
  <si>
    <t>893700956</t>
  </si>
  <si>
    <t>QB721 .H29 1994</t>
  </si>
  <si>
    <t>0                      QB 0721000H  29          1994</t>
  </si>
  <si>
    <t>Hazards due to comets and asteroids / Tom Gehrels, editor ; with the editorial assistance of M.S. Matthews and A.M. Schumann, with 120 collaborating authors.</t>
  </si>
  <si>
    <t>Tuscon ; London : University of Arizona Press, c1994.</t>
  </si>
  <si>
    <t>1998-03-31</t>
  </si>
  <si>
    <t>1996-06-26</t>
  </si>
  <si>
    <t>45921746:eng</t>
  </si>
  <si>
    <t>36841676</t>
  </si>
  <si>
    <t>991002619469702656</t>
  </si>
  <si>
    <t>2256436830002656</t>
  </si>
  <si>
    <t>9780816515059</t>
  </si>
  <si>
    <t>32285002173887</t>
  </si>
  <si>
    <t>893498326</t>
  </si>
  <si>
    <t>QB721 .L42 1996</t>
  </si>
  <si>
    <t>0                      QB 0721000L  42          1996</t>
  </si>
  <si>
    <t>Rain of iron and ice : the very real threat of comet and asteroid bombardment / John S. Lewis.</t>
  </si>
  <si>
    <t>Lewis, John S.</t>
  </si>
  <si>
    <t>Reading, Mass. : Addison-Wesley Pub. Co., c1996.</t>
  </si>
  <si>
    <t>Helix books</t>
  </si>
  <si>
    <t>2000-01-15</t>
  </si>
  <si>
    <t>1996-06-25</t>
  </si>
  <si>
    <t>836963762:eng</t>
  </si>
  <si>
    <t>32820957</t>
  </si>
  <si>
    <t>991002524159702656</t>
  </si>
  <si>
    <t>2263255630002656</t>
  </si>
  <si>
    <t>9780201489507</t>
  </si>
  <si>
    <t>32285002173051</t>
  </si>
  <si>
    <t>893504491</t>
  </si>
  <si>
    <t>QB721 .S365 1997</t>
  </si>
  <si>
    <t>0                      QB 0721000S  365         1997</t>
  </si>
  <si>
    <t>Comet of the century : from Halley to Hale-Bopp / Fred Schaaf ; with illustrations by Guy Ottewell.</t>
  </si>
  <si>
    <t>Schaaf, Fred.</t>
  </si>
  <si>
    <t>New York : Copernicus, c1997.</t>
  </si>
  <si>
    <t>1997-03-23</t>
  </si>
  <si>
    <t>1997-01-27</t>
  </si>
  <si>
    <t>180864:eng</t>
  </si>
  <si>
    <t>34906204</t>
  </si>
  <si>
    <t>991002668589702656</t>
  </si>
  <si>
    <t>2262088520002656</t>
  </si>
  <si>
    <t>9780387947938</t>
  </si>
  <si>
    <t>32285002411626</t>
  </si>
  <si>
    <t>893421649</t>
  </si>
  <si>
    <t>QB723.H17 H35 1996</t>
  </si>
  <si>
    <t>0                      QB 0723000H  17                 H  35          1996</t>
  </si>
  <si>
    <t>Everybody's comet : a layman's guide to Comet Hale-Bopp / by Alan Hale ; [foreword by Thomas Bopp]</t>
  </si>
  <si>
    <t>Hale, Alan, 1958-</t>
  </si>
  <si>
    <t>Silver City, NM : High-Lonesome Books, c1996.</t>
  </si>
  <si>
    <t>1997-08-09</t>
  </si>
  <si>
    <t>1997-07-16</t>
  </si>
  <si>
    <t>40462030:eng</t>
  </si>
  <si>
    <t>36009068</t>
  </si>
  <si>
    <t>991002742359702656</t>
  </si>
  <si>
    <t>2265503450002656</t>
  </si>
  <si>
    <t>9780944383384</t>
  </si>
  <si>
    <t>32285002882461</t>
  </si>
  <si>
    <t>893535167</t>
  </si>
  <si>
    <t>QB741 .H43 1998</t>
  </si>
  <si>
    <t>0                      QB 0741000H  43          1998</t>
  </si>
  <si>
    <t>The heavens on fire : the great Leonid meteor storms / Mark Littmann.</t>
  </si>
  <si>
    <t>Cambridge, UK : Cambridge University Press, c1998.</t>
  </si>
  <si>
    <t>2000-10-02</t>
  </si>
  <si>
    <t>20589435:eng</t>
  </si>
  <si>
    <t>40221861</t>
  </si>
  <si>
    <t>991002985839702656</t>
  </si>
  <si>
    <t>2258506380002656</t>
  </si>
  <si>
    <t>9780521624053</t>
  </si>
  <si>
    <t>32285003489167</t>
  </si>
  <si>
    <t>893518028</t>
  </si>
  <si>
    <t>QB755 .H43</t>
  </si>
  <si>
    <t>0                      QB 0755000H  43</t>
  </si>
  <si>
    <t>Meteorites. Translated by Edward Anders in collaboration with Eugene R. DuFresne.</t>
  </si>
  <si>
    <t>Heide, Fritz, 1891-1973.</t>
  </si>
  <si>
    <t>Chicago, University of Chicago Press [1964]</t>
  </si>
  <si>
    <t>1449925:eng</t>
  </si>
  <si>
    <t>371822</t>
  </si>
  <si>
    <t>991002561589702656</t>
  </si>
  <si>
    <t>2259951430002656</t>
  </si>
  <si>
    <t>32285002642568</t>
  </si>
  <si>
    <t>893704220</t>
  </si>
  <si>
    <t>QB755 .N48</t>
  </si>
  <si>
    <t>0                      QB 0755000N  48</t>
  </si>
  <si>
    <t>Arizona's meteorite crater; past, present, future.</t>
  </si>
  <si>
    <t>Nininger, Harvey Harlow, 1887-</t>
  </si>
  <si>
    <t>Sedona, Ariz., American Meteorite Museum [c1956]</t>
  </si>
  <si>
    <t>1956</t>
  </si>
  <si>
    <t>2431449:eng</t>
  </si>
  <si>
    <t>1498634</t>
  </si>
  <si>
    <t>991003783529702656</t>
  </si>
  <si>
    <t>2269085040002656</t>
  </si>
  <si>
    <t>32285002642592</t>
  </si>
  <si>
    <t>893775188</t>
  </si>
  <si>
    <t>QB790 .S66</t>
  </si>
  <si>
    <t>0                      QB 0790000S  66</t>
  </si>
  <si>
    <t>Diffuse matter in space.</t>
  </si>
  <si>
    <t>Spitzer, Lyman, 1914-1997.</t>
  </si>
  <si>
    <t>New York, Interscience Publishers [1968]</t>
  </si>
  <si>
    <t>Interscience tracts on physics and astronomy ; 28</t>
  </si>
  <si>
    <t>2008-07-08</t>
  </si>
  <si>
    <t>342720459:eng</t>
  </si>
  <si>
    <t>254863</t>
  </si>
  <si>
    <t>991001987989702656</t>
  </si>
  <si>
    <t>2269374690002656</t>
  </si>
  <si>
    <t>9780470817100</t>
  </si>
  <si>
    <t>32285001434116</t>
  </si>
  <si>
    <t>893262021</t>
  </si>
  <si>
    <t>QB790 .S67</t>
  </si>
  <si>
    <t>0                      QB 0790000S  67</t>
  </si>
  <si>
    <t>Physical processes in the interstellar medium / Lyman Spitzer, Jr.</t>
  </si>
  <si>
    <t>2009-09-04</t>
  </si>
  <si>
    <t>342732389:eng</t>
  </si>
  <si>
    <t>3274329</t>
  </si>
  <si>
    <t>991004394219702656</t>
  </si>
  <si>
    <t>2256241650002656</t>
  </si>
  <si>
    <t>9780471022329</t>
  </si>
  <si>
    <t>32285003628350</t>
  </si>
  <si>
    <t>893605979</t>
  </si>
  <si>
    <t>QB791.3 .B36 1993</t>
  </si>
  <si>
    <t>0                      QB 0791300B  36          1993</t>
  </si>
  <si>
    <t>Through a universe darkly : a cosmic tale of ancient ethers, dark matter, and the fate of the universe / Marcia Bartusiak.</t>
  </si>
  <si>
    <t>Bartusiak, Marcia, 1950-</t>
  </si>
  <si>
    <t>New York : HarperCollins, c1993.</t>
  </si>
  <si>
    <t>2007-11-19</t>
  </si>
  <si>
    <t>1994-05-24</t>
  </si>
  <si>
    <t>55660536:eng</t>
  </si>
  <si>
    <t>27265728</t>
  </si>
  <si>
    <t>991002128369702656</t>
  </si>
  <si>
    <t>2269619800002656</t>
  </si>
  <si>
    <t>9780060183103</t>
  </si>
  <si>
    <t>32285001898468</t>
  </si>
  <si>
    <t>893244782</t>
  </si>
  <si>
    <t>QB791.3 .K73 1989</t>
  </si>
  <si>
    <t>0                      QB 0791300K  73          1989</t>
  </si>
  <si>
    <t>The fifth essence : the search for dark matter in the universe / Lawrence M. Krauss.</t>
  </si>
  <si>
    <t>1990-05-17</t>
  </si>
  <si>
    <t>918026163:eng</t>
  </si>
  <si>
    <t>20130057</t>
  </si>
  <si>
    <t>991001540599702656</t>
  </si>
  <si>
    <t>2263686220002656</t>
  </si>
  <si>
    <t>9780465023752</t>
  </si>
  <si>
    <t>32285000137736</t>
  </si>
  <si>
    <t>893408197</t>
  </si>
  <si>
    <t>QB791.3 .R56 1991</t>
  </si>
  <si>
    <t>0                      QB 0791300R  56          1991</t>
  </si>
  <si>
    <t>The shadows of creation : dark matter and the structure of the universe / Michael Riordan, David N. Schramm.</t>
  </si>
  <si>
    <t>Riordan, Michael.</t>
  </si>
  <si>
    <t>New York : W.H. Freeman and Co., 1991.</t>
  </si>
  <si>
    <t>1991-06-05</t>
  </si>
  <si>
    <t>20711255:eng</t>
  </si>
  <si>
    <t>22004718</t>
  </si>
  <si>
    <t>991001741049702656</t>
  </si>
  <si>
    <t>2271980950002656</t>
  </si>
  <si>
    <t>9780716721574</t>
  </si>
  <si>
    <t>32285000593029</t>
  </si>
  <si>
    <t>893316000</t>
  </si>
  <si>
    <t>QB791.3 .S33 1995</t>
  </si>
  <si>
    <t>0                      QB 0791300S  33          1995</t>
  </si>
  <si>
    <t>Modern cosmology and the dark matter problem / D.W. Sciama.</t>
  </si>
  <si>
    <t>Sciama, D. W. (Dennis William), 1926-</t>
  </si>
  <si>
    <t>Cambridge [England] ; New York, NY : Cambridge University Press, 1995, c1993.</t>
  </si>
  <si>
    <t>Cambridge lecture notes in physics ; 3</t>
  </si>
  <si>
    <t>1996-09-25</t>
  </si>
  <si>
    <t>2864391838:eng</t>
  </si>
  <si>
    <t>35083518</t>
  </si>
  <si>
    <t>991002684339702656</t>
  </si>
  <si>
    <t>2254791270002656</t>
  </si>
  <si>
    <t>32285002098217</t>
  </si>
  <si>
    <t>893610154</t>
  </si>
  <si>
    <t>QB791.3 .T83 1988</t>
  </si>
  <si>
    <t>0                      QB 0791300T  83          1988</t>
  </si>
  <si>
    <t>The dark matter : contemporary science's quest for the mass hidden in our universe / Wallace Tucker and Karen Tucker.</t>
  </si>
  <si>
    <t>New York : Morrow, 1988.</t>
  </si>
  <si>
    <t>15638301:eng</t>
  </si>
  <si>
    <t>17265362</t>
  </si>
  <si>
    <t>991001194729702656</t>
  </si>
  <si>
    <t>2264081270002656</t>
  </si>
  <si>
    <t>9780688061128</t>
  </si>
  <si>
    <t>32285001434140</t>
  </si>
  <si>
    <t>893866039</t>
  </si>
  <si>
    <t>QB801 .B29</t>
  </si>
  <si>
    <t>0                      QB 0801000B  29</t>
  </si>
  <si>
    <t>Evolution of stars and galaxies / edited by Cecilia Payne-Gaposchkin.</t>
  </si>
  <si>
    <t>Baade, Walter, 1893-1960.</t>
  </si>
  <si>
    <t>2006-03-15</t>
  </si>
  <si>
    <t>1997-09-17</t>
  </si>
  <si>
    <t>1474683:eng</t>
  </si>
  <si>
    <t>291423</t>
  </si>
  <si>
    <t>991002225569702656</t>
  </si>
  <si>
    <t>2268000310002656</t>
  </si>
  <si>
    <t>32285003173860</t>
  </si>
  <si>
    <t>893244909</t>
  </si>
  <si>
    <t>QB801 .G24</t>
  </si>
  <si>
    <t>0                      QB 0801000G  24</t>
  </si>
  <si>
    <t>Stars and clusters / Cecilia Payne-Gaposchkin.</t>
  </si>
  <si>
    <t>Payne-Gaposchkin, Cecilia, 1900-1979.</t>
  </si>
  <si>
    <t>1992-11-30</t>
  </si>
  <si>
    <t>430600:eng</t>
  </si>
  <si>
    <t>4804560</t>
  </si>
  <si>
    <t>991004721269702656</t>
  </si>
  <si>
    <t>2270349070002656</t>
  </si>
  <si>
    <t>9780674834408</t>
  </si>
  <si>
    <t>32285001434165</t>
  </si>
  <si>
    <t>893901678</t>
  </si>
  <si>
    <t>QB801 .K23 2001</t>
  </si>
  <si>
    <t>0                      QB 0801000K  23          2001</t>
  </si>
  <si>
    <t>Extreme stars : at the edge of creation / James B. Kaler.</t>
  </si>
  <si>
    <t>Kaler, James B.</t>
  </si>
  <si>
    <t>Cambridge ; New York : Cambridge University Press, 2001.</t>
  </si>
  <si>
    <t>2002-03-26</t>
  </si>
  <si>
    <t>34088550:eng</t>
  </si>
  <si>
    <t>44613139</t>
  </si>
  <si>
    <t>991003744939702656</t>
  </si>
  <si>
    <t>2260738060002656</t>
  </si>
  <si>
    <t>9780521402620</t>
  </si>
  <si>
    <t>32285004464706</t>
  </si>
  <si>
    <t>893429153</t>
  </si>
  <si>
    <t>QB801 .M64 1989</t>
  </si>
  <si>
    <t>0                      QB 0801000M  64          1989</t>
  </si>
  <si>
    <t>Astronomers' stars / Patrick Moore.</t>
  </si>
  <si>
    <t>New York : Norton, 1989, c1987.</t>
  </si>
  <si>
    <t>12277566:eng</t>
  </si>
  <si>
    <t>18192054</t>
  </si>
  <si>
    <t>991001318299702656</t>
  </si>
  <si>
    <t>2269441770002656</t>
  </si>
  <si>
    <t>9780393026634</t>
  </si>
  <si>
    <t>32285000137785</t>
  </si>
  <si>
    <t>893778718</t>
  </si>
  <si>
    <t>QB801 .N5</t>
  </si>
  <si>
    <t>0                      QB 0801000N  5</t>
  </si>
  <si>
    <t>The stars : a study of the universe / by Simon Newcomb.</t>
  </si>
  <si>
    <t>Newcomb, Simon, 1835-1909.</t>
  </si>
  <si>
    <t>New York : G.P. Putnam's Sons, 1901.</t>
  </si>
  <si>
    <t>The science series [9]</t>
  </si>
  <si>
    <t>5577655:eng</t>
  </si>
  <si>
    <t>2658757</t>
  </si>
  <si>
    <t>991004203799702656</t>
  </si>
  <si>
    <t>2255440600002656</t>
  </si>
  <si>
    <t>32285001440022</t>
  </si>
  <si>
    <t>893794596</t>
  </si>
  <si>
    <t>QB801.6 .K38</t>
  </si>
  <si>
    <t>0                      QB 0801600K  38</t>
  </si>
  <si>
    <t>Stars and nebulas / William J. Kaufmann, III.</t>
  </si>
  <si>
    <t>San Francisco : W. H. Freeman, c1978.</t>
  </si>
  <si>
    <t>1992-12-07</t>
  </si>
  <si>
    <t>446996:eng</t>
  </si>
  <si>
    <t>3966146</t>
  </si>
  <si>
    <t>991004555639702656</t>
  </si>
  <si>
    <t>2263871640002656</t>
  </si>
  <si>
    <t>9780716700814</t>
  </si>
  <si>
    <t>32285001434355</t>
  </si>
  <si>
    <t>893506984</t>
  </si>
  <si>
    <t>QB801.6 .K95</t>
  </si>
  <si>
    <t>0                      QB 0801600K  95</t>
  </si>
  <si>
    <t>North Star to Southern Cross / Will Kyselka &amp; Ray E. Lanterman.</t>
  </si>
  <si>
    <t>Kyselka, Will.</t>
  </si>
  <si>
    <t>Honolulu : University Press of Hawaii, c1976.</t>
  </si>
  <si>
    <t>hiu</t>
  </si>
  <si>
    <t>492063:eng</t>
  </si>
  <si>
    <t>1945428</t>
  </si>
  <si>
    <t>991003946119702656</t>
  </si>
  <si>
    <t>2264694390002656</t>
  </si>
  <si>
    <t>9780824804114</t>
  </si>
  <si>
    <t>32285001440014</t>
  </si>
  <si>
    <t>893417034</t>
  </si>
  <si>
    <t>QB801.6 .R52 1988</t>
  </si>
  <si>
    <t>0                      QB 0801600R  52          1988</t>
  </si>
  <si>
    <t>Star tales / Ian Ridpath.</t>
  </si>
  <si>
    <t>New York : Universe Books, 1988.</t>
  </si>
  <si>
    <t>2002-09-23</t>
  </si>
  <si>
    <t>1991-04-04</t>
  </si>
  <si>
    <t>17194758:eng</t>
  </si>
  <si>
    <t>18351570</t>
  </si>
  <si>
    <t>991001335909702656</t>
  </si>
  <si>
    <t>2265808600002656</t>
  </si>
  <si>
    <t>9780876636947</t>
  </si>
  <si>
    <t>32285000565415</t>
  </si>
  <si>
    <t>893602524</t>
  </si>
  <si>
    <t>QB802 .A4 1963</t>
  </si>
  <si>
    <t>0                      QB 0802000A  4           1963</t>
  </si>
  <si>
    <t>Star names : their lore and meaning.</t>
  </si>
  <si>
    <t>Allen, Richard Hinckley, 1838-1908.</t>
  </si>
  <si>
    <t>1992-05-15</t>
  </si>
  <si>
    <t>507736321:eng</t>
  </si>
  <si>
    <t>637940</t>
  </si>
  <si>
    <t>991003087669702656</t>
  </si>
  <si>
    <t>2256482780002656</t>
  </si>
  <si>
    <t>32285001110518</t>
  </si>
  <si>
    <t>893317632</t>
  </si>
  <si>
    <t>QB802 .B35 1995</t>
  </si>
  <si>
    <t>0                      QB 0802000B  35          1995</t>
  </si>
  <si>
    <t>The Cambridge guide to the constellations / Michael E. Bakich.</t>
  </si>
  <si>
    <t>Bakich, Michael E.</t>
  </si>
  <si>
    <t>1996-08-08</t>
  </si>
  <si>
    <t>144017594:eng</t>
  </si>
  <si>
    <t>29910221</t>
  </si>
  <si>
    <t>991002306119702656</t>
  </si>
  <si>
    <t>2272121790002656</t>
  </si>
  <si>
    <t>9780521449212</t>
  </si>
  <si>
    <t>32285002272333</t>
  </si>
  <si>
    <t>893597281</t>
  </si>
  <si>
    <t>QB802 .B7 1967</t>
  </si>
  <si>
    <t>0                      QB 0802000B  7           1967</t>
  </si>
  <si>
    <t>Sphaera : neue griechische Texte und Untersuchungen zur Geschichte der Sternbilder / Franz Boll.</t>
  </si>
  <si>
    <t>Boll, Franz, 1867-1924.</t>
  </si>
  <si>
    <t>Hildesheim : G. Olms, 1967.</t>
  </si>
  <si>
    <t>ger</t>
  </si>
  <si>
    <t>1998-06-23</t>
  </si>
  <si>
    <t>1992-09-01</t>
  </si>
  <si>
    <t>5538351:ger</t>
  </si>
  <si>
    <t>6260261</t>
  </si>
  <si>
    <t>991004953469702656</t>
  </si>
  <si>
    <t>2260876090002656</t>
  </si>
  <si>
    <t>32285001285278</t>
  </si>
  <si>
    <t>893242018</t>
  </si>
  <si>
    <t>QB802 .L43 1977</t>
  </si>
  <si>
    <t>0                      QB 0802000L  43          1977</t>
  </si>
  <si>
    <t>Les noms latins d'astres et de constellations / par André Le Boeuffle.</t>
  </si>
  <si>
    <t>Le Bœuffle, André.</t>
  </si>
  <si>
    <t>Paris : Belles lettres, 1977.</t>
  </si>
  <si>
    <t>fre</t>
  </si>
  <si>
    <t>Collection d'études anciennes</t>
  </si>
  <si>
    <t>1995-11-04</t>
  </si>
  <si>
    <t>353381029:fre</t>
  </si>
  <si>
    <t>4489655</t>
  </si>
  <si>
    <t>991004644349702656</t>
  </si>
  <si>
    <t>2270918680002656</t>
  </si>
  <si>
    <t>32285000863885</t>
  </si>
  <si>
    <t>893247806</t>
  </si>
  <si>
    <t>QB803 .G55 1968</t>
  </si>
  <si>
    <t>0                      QB 0803000G  55          1968</t>
  </si>
  <si>
    <t>The origin of the zodiac / Rupert Gleadow.</t>
  </si>
  <si>
    <t>Gleadow, Rupert.</t>
  </si>
  <si>
    <t>New York : Castle Books, [c1968]</t>
  </si>
  <si>
    <t>2007-07-05</t>
  </si>
  <si>
    <t>1992-10-14</t>
  </si>
  <si>
    <t>1137183:eng</t>
  </si>
  <si>
    <t>769478</t>
  </si>
  <si>
    <t>991003245729702656</t>
  </si>
  <si>
    <t>2270608040002656</t>
  </si>
  <si>
    <t>32285001317725</t>
  </si>
  <si>
    <t>893330113</t>
  </si>
  <si>
    <t>QB805 .H83 1979</t>
  </si>
  <si>
    <t>0                      QB 0805000H  83          1979</t>
  </si>
  <si>
    <t>The star of Bethlehem : an astronomer's confirmation / David Hughes.</t>
  </si>
  <si>
    <t>Hughes, David W. (David Wolstenholme), 1941-</t>
  </si>
  <si>
    <t>New York : Walker, 1979.</t>
  </si>
  <si>
    <t>3855421857:eng</t>
  </si>
  <si>
    <t>5779975</t>
  </si>
  <si>
    <t>991004874819702656</t>
  </si>
  <si>
    <t>2259636760002656</t>
  </si>
  <si>
    <t>9780802706447</t>
  </si>
  <si>
    <t>32285001434363</t>
  </si>
  <si>
    <t>893513765</t>
  </si>
  <si>
    <t>QB805 .K525 1999</t>
  </si>
  <si>
    <t>0                      QB 0805000K  525         1999</t>
  </si>
  <si>
    <t>The star of Bethlehem : an astronomer's view / Mark Kidger.</t>
  </si>
  <si>
    <t>Kidger, Mark R. (Mark Richard), 1960-</t>
  </si>
  <si>
    <t>Princeton, N.J. : Princeton University Press, c1999.</t>
  </si>
  <si>
    <t>2000-01-13</t>
  </si>
  <si>
    <t>198345423:eng</t>
  </si>
  <si>
    <t>41273124</t>
  </si>
  <si>
    <t>991003023729702656</t>
  </si>
  <si>
    <t>2271394830002656</t>
  </si>
  <si>
    <t>9780691058238</t>
  </si>
  <si>
    <t>32285003641684</t>
  </si>
  <si>
    <t>893786881</t>
  </si>
  <si>
    <t>QB806 .C64 1988</t>
  </si>
  <si>
    <t>0                      QB 0806000C  64          1988</t>
  </si>
  <si>
    <t>In darkness born : the story of star formation / Martin Cohen.</t>
  </si>
  <si>
    <t>Cohen, Martin, 1948-</t>
  </si>
  <si>
    <t>Cambridge [Cambridgeshire] ; New York : Cambridge University Press, c1988.</t>
  </si>
  <si>
    <t>2009-03-15</t>
  </si>
  <si>
    <t>795377975:eng</t>
  </si>
  <si>
    <t>12583800</t>
  </si>
  <si>
    <t>991000711609702656</t>
  </si>
  <si>
    <t>2270979870002656</t>
  </si>
  <si>
    <t>9780521262705</t>
  </si>
  <si>
    <t>32285001434371</t>
  </si>
  <si>
    <t>893509033</t>
  </si>
  <si>
    <t>QB806 .H37 1994</t>
  </si>
  <si>
    <t>0                      QB 0806000H  37          1994</t>
  </si>
  <si>
    <t>Stellar evolution / Amos Harpaz.</t>
  </si>
  <si>
    <t>Harpaz, Amos.</t>
  </si>
  <si>
    <t>Wellesley, Mass. : A.K. Peters, c1994.</t>
  </si>
  <si>
    <t>2009-03-24</t>
  </si>
  <si>
    <t>1996-02-14</t>
  </si>
  <si>
    <t>390582:eng</t>
  </si>
  <si>
    <t>29254332</t>
  </si>
  <si>
    <t>991002256749702656</t>
  </si>
  <si>
    <t>2255820130002656</t>
  </si>
  <si>
    <t>9781568810126</t>
  </si>
  <si>
    <t>32285002135464</t>
  </si>
  <si>
    <t>893685150</t>
  </si>
  <si>
    <t>QB806 .K5313 1983</t>
  </si>
  <si>
    <t>0                      QB 0806000K  5313        1983</t>
  </si>
  <si>
    <t>100 billion suns : the birth, life, and death of the stars / Rudolf Kippenhahn ; translated by Jean Steinberg.</t>
  </si>
  <si>
    <t>Kippenhahn, Rudolf, 1926-</t>
  </si>
  <si>
    <t>New York : Basic Books, c1983.</t>
  </si>
  <si>
    <t>2754359944:eng</t>
  </si>
  <si>
    <t>9255684</t>
  </si>
  <si>
    <t>991000158859702656</t>
  </si>
  <si>
    <t>2256487800002656</t>
  </si>
  <si>
    <t>9780465052639</t>
  </si>
  <si>
    <t>32285000184209</t>
  </si>
  <si>
    <t>893607709</t>
  </si>
  <si>
    <t>QB806 .L66 1996</t>
  </si>
  <si>
    <t>0                      QB 0806000L  66          1996</t>
  </si>
  <si>
    <t>Our evolving universe / Malcolm S. Longair.</t>
  </si>
  <si>
    <t>Longair, Malcolm S., 1941-</t>
  </si>
  <si>
    <t>Cambridge, [Eng.] ; New York : Cambridge University Press, 1996.</t>
  </si>
  <si>
    <t>1996-06-07</t>
  </si>
  <si>
    <t>836781:eng</t>
  </si>
  <si>
    <t>32467214</t>
  </si>
  <si>
    <t>991002495209702656</t>
  </si>
  <si>
    <t>2262879790002656</t>
  </si>
  <si>
    <t>9780521550918</t>
  </si>
  <si>
    <t>32285002190048</t>
  </si>
  <si>
    <t>893710360</t>
  </si>
  <si>
    <t>QB806 .M4 1967</t>
  </si>
  <si>
    <t>0                      QB 0806000M  4           1967</t>
  </si>
  <si>
    <t>Stellar evolution, by A.J. Meadows.</t>
  </si>
  <si>
    <t>Meadows, A. J. (Arthur Jack)</t>
  </si>
  <si>
    <t>Oxford, New York, Pergamon Press [1967]</t>
  </si>
  <si>
    <t>Pergamon international popular science</t>
  </si>
  <si>
    <t>1992-04-07</t>
  </si>
  <si>
    <t>407268:eng</t>
  </si>
  <si>
    <t>530957</t>
  </si>
  <si>
    <t>991002931219702656</t>
  </si>
  <si>
    <t>2266448760002656</t>
  </si>
  <si>
    <t>32285001050300</t>
  </si>
  <si>
    <t>893251785</t>
  </si>
  <si>
    <t>QB806 .P3 1968</t>
  </si>
  <si>
    <t>0                      QB 0806000P  3           1968</t>
  </si>
  <si>
    <t>The evolution of stars : how they form, age, and die / edited by Thornton Page &amp; Lou Williams Page.</t>
  </si>
  <si>
    <t>Page, Thornton compiler.</t>
  </si>
  <si>
    <t>New York : Macmillan, [1967, c1968]</t>
  </si>
  <si>
    <t>Sky and telescope library of astronomy ; v. 6</t>
  </si>
  <si>
    <t>1833673:eng</t>
  </si>
  <si>
    <t>900472</t>
  </si>
  <si>
    <t>991003363979702656</t>
  </si>
  <si>
    <t>2266366570002656</t>
  </si>
  <si>
    <t>32285001111078</t>
  </si>
  <si>
    <t>893258358</t>
  </si>
  <si>
    <t>QB806 .R37</t>
  </si>
  <si>
    <t>0                      QB 0806000R  37</t>
  </si>
  <si>
    <t>Stellar formation / by V. C. Reddish.</t>
  </si>
  <si>
    <t>Reddish, V. C.</t>
  </si>
  <si>
    <t>Oxford ; New York : Pergamon Press, 1978.</t>
  </si>
  <si>
    <t>International series in natural philosophy ; v. 97</t>
  </si>
  <si>
    <t>365668303:eng</t>
  </si>
  <si>
    <t>4530401</t>
  </si>
  <si>
    <t>991004674989702656</t>
  </si>
  <si>
    <t>2257748890002656</t>
  </si>
  <si>
    <t>9780080230535</t>
  </si>
  <si>
    <t>32285001434421</t>
  </si>
  <si>
    <t>893694192</t>
  </si>
  <si>
    <t>QB806 .S25 2005</t>
  </si>
  <si>
    <t>0                      QB 0806000S  25          2005</t>
  </si>
  <si>
    <t>Evolution of stars and stellar populations / Maurizio Salaris, Santi Cassisi.</t>
  </si>
  <si>
    <t>Salaris, Maurizio.</t>
  </si>
  <si>
    <t>Chichester, West Sussex, England ; Hoboken, NJ, USA : J. Wiley, c2005.</t>
  </si>
  <si>
    <t>2006-08-07</t>
  </si>
  <si>
    <t>918629:eng</t>
  </si>
  <si>
    <t>61162273</t>
  </si>
  <si>
    <t>991004850899702656</t>
  </si>
  <si>
    <t>2269060910002656</t>
  </si>
  <si>
    <t>9780470092194</t>
  </si>
  <si>
    <t>32285005199673</t>
  </si>
  <si>
    <t>893801424</t>
  </si>
  <si>
    <t>QB806 .S5413 1978</t>
  </si>
  <si>
    <t>0                      QB 0806000S  5413        1978</t>
  </si>
  <si>
    <t>Stars, their birth, life, and death / Iosif S. Shklovskii ; translated by Richard B. Rodman. --</t>
  </si>
  <si>
    <t>1992-04-20</t>
  </si>
  <si>
    <t>9729676:eng</t>
  </si>
  <si>
    <t>3327903</t>
  </si>
  <si>
    <t>991004407849702656</t>
  </si>
  <si>
    <t>2267365020002656</t>
  </si>
  <si>
    <t>9780716700241</t>
  </si>
  <si>
    <t>32285001044295</t>
  </si>
  <si>
    <t>893894966</t>
  </si>
  <si>
    <t>QB808 .C47 1989</t>
  </si>
  <si>
    <t>0                      QB 0808000C  47          1989</t>
  </si>
  <si>
    <t>Stellar structure and stellar atmospheres.</t>
  </si>
  <si>
    <t>Chicago : University of Chicago Press, 1989.</t>
  </si>
  <si>
    <t>Selected papers / S. Chandrasekhar ; v. 1</t>
  </si>
  <si>
    <t>1989-11-01</t>
  </si>
  <si>
    <t>53100809:eng</t>
  </si>
  <si>
    <t>18411670</t>
  </si>
  <si>
    <t>991001344229702656</t>
  </si>
  <si>
    <t>2254890190002656</t>
  </si>
  <si>
    <t>9780226100906</t>
  </si>
  <si>
    <t>32285000010818</t>
  </si>
  <si>
    <t>893602531</t>
  </si>
  <si>
    <t>QB808 .H36 1994</t>
  </si>
  <si>
    <t>0                      QB 0808000H  36          1994</t>
  </si>
  <si>
    <t>Stellar interiors : physical principles, structure, and evolution / Carl J. Hansen, S. D. Kawaler.</t>
  </si>
  <si>
    <t>Hansen, Carl J.</t>
  </si>
  <si>
    <t>New York : Springer-Verlag, 1994.</t>
  </si>
  <si>
    <t>689830:eng</t>
  </si>
  <si>
    <t>28723614</t>
  </si>
  <si>
    <t>991004571859702656</t>
  </si>
  <si>
    <t>2262536790002656</t>
  </si>
  <si>
    <t>9780387941387</t>
  </si>
  <si>
    <t>32285002198249</t>
  </si>
  <si>
    <t>893888898</t>
  </si>
  <si>
    <t>QB808 .K57 1990</t>
  </si>
  <si>
    <t>0                      QB 0808000K  57          1990</t>
  </si>
  <si>
    <t>Stellar structure and evolution / R. Kippenhahn, A. Weigert.</t>
  </si>
  <si>
    <t>1990-12-19</t>
  </si>
  <si>
    <t>21544483:eng</t>
  </si>
  <si>
    <t>20669910</t>
  </si>
  <si>
    <t>991001600419702656</t>
  </si>
  <si>
    <t>2268184940002656</t>
  </si>
  <si>
    <t>9780387502113</t>
  </si>
  <si>
    <t>32285000405422</t>
  </si>
  <si>
    <t>893715535</t>
  </si>
  <si>
    <t>QB813 .H57 2001</t>
  </si>
  <si>
    <t>0                      QB 0813000H  57          2001</t>
  </si>
  <si>
    <t>Parallax : the race to measure the cosmos / Alan W. Hirshfeld.</t>
  </si>
  <si>
    <t>Hirshfeld, Alan.</t>
  </si>
  <si>
    <t>New York : W.H. Freeman and Co., c2001.</t>
  </si>
  <si>
    <t>136781:eng</t>
  </si>
  <si>
    <t>45583430</t>
  </si>
  <si>
    <t>991003617119702656</t>
  </si>
  <si>
    <t>2266070920002656</t>
  </si>
  <si>
    <t>9780716737117</t>
  </si>
  <si>
    <t>32285004393905</t>
  </si>
  <si>
    <t>893711569</t>
  </si>
  <si>
    <t>QB820 .B68 1998</t>
  </si>
  <si>
    <t>0                      QB 0820000B  68          1998</t>
  </si>
  <si>
    <t>Looking for earths : the race to find new solar systems / Alan Boss.</t>
  </si>
  <si>
    <t>Boss, Alan, 1951-</t>
  </si>
  <si>
    <t>New York : John Wiley, c1998.</t>
  </si>
  <si>
    <t>1999-12-22</t>
  </si>
  <si>
    <t>1999-12-13</t>
  </si>
  <si>
    <t>837027199:eng</t>
  </si>
  <si>
    <t>38081886</t>
  </si>
  <si>
    <t>991002890679702656</t>
  </si>
  <si>
    <t>2268909460002656</t>
  </si>
  <si>
    <t>9780471184218</t>
  </si>
  <si>
    <t>32285003632246</t>
  </si>
  <si>
    <t>893598021</t>
  </si>
  <si>
    <t>QB820 .D67 2002</t>
  </si>
  <si>
    <t>0                      QB 0820000D  67          2002</t>
  </si>
  <si>
    <t>Distant wanderers : the search for planets beyond the solar system / Bruce Dorminey.</t>
  </si>
  <si>
    <t>Dorminey, Bruce.</t>
  </si>
  <si>
    <t>New York : Copernicus, c2002.</t>
  </si>
  <si>
    <t>2002-07-15</t>
  </si>
  <si>
    <t>2002-07-10</t>
  </si>
  <si>
    <t>198037855:eng</t>
  </si>
  <si>
    <t>47666987</t>
  </si>
  <si>
    <t>991003821679702656</t>
  </si>
  <si>
    <t>2266523820002656</t>
  </si>
  <si>
    <t>9780387950747</t>
  </si>
  <si>
    <t>32285004497276</t>
  </si>
  <si>
    <t>893512399</t>
  </si>
  <si>
    <t>QB820 .M3913 2003</t>
  </si>
  <si>
    <t>0                      QB 0820000M  3913        2003</t>
  </si>
  <si>
    <t>New worlds in the cosmos : the discovery of exoplanets / Michel Mayor and Pierre-Yves Frei.</t>
  </si>
  <si>
    <t>Mayor, M. (Michel)</t>
  </si>
  <si>
    <t>Cambridge ; New York : Cambridge University Press, 2003.</t>
  </si>
  <si>
    <t>2005-05-09</t>
  </si>
  <si>
    <t>710191:eng</t>
  </si>
  <si>
    <t>51518497</t>
  </si>
  <si>
    <t>991004540409702656</t>
  </si>
  <si>
    <t>2259846730002656</t>
  </si>
  <si>
    <t>9780521812078</t>
  </si>
  <si>
    <t>32285005036081</t>
  </si>
  <si>
    <t>893417751</t>
  </si>
  <si>
    <t>QB835 .H5913 1985</t>
  </si>
  <si>
    <t>0                      QB 0835000H  5913        1985</t>
  </si>
  <si>
    <t>Variable stars / C. Hoffmeister, G. Richter, W. Wenzel ; translated by S. Dunlop.</t>
  </si>
  <si>
    <t>Hoffmeister, C. (Cuno), 1892-1968.</t>
  </si>
  <si>
    <t>Berlin ; New York : Springer-Verlag, c1985.</t>
  </si>
  <si>
    <t>2007-02-06</t>
  </si>
  <si>
    <t>4494900927:eng</t>
  </si>
  <si>
    <t>11915378</t>
  </si>
  <si>
    <t>991000610899702656</t>
  </si>
  <si>
    <t>2270839750002656</t>
  </si>
  <si>
    <t>9780387134031</t>
  </si>
  <si>
    <t>32285001434520</t>
  </si>
  <si>
    <t>893508944</t>
  </si>
  <si>
    <t>QB835 .N65 2004</t>
  </si>
  <si>
    <t>0                      QB 0835000N  65          2004</t>
  </si>
  <si>
    <t>Observing variable stars, novae, and supernovae / Gerald North ; (with accompanying CD-ROM by Nick James).</t>
  </si>
  <si>
    <t>North, Gerald.</t>
  </si>
  <si>
    <t>Cambridge, UK ; New York : Cambridge University Press, 2004.</t>
  </si>
  <si>
    <t>2005-11-23</t>
  </si>
  <si>
    <t>5621637751:eng</t>
  </si>
  <si>
    <t>61161343</t>
  </si>
  <si>
    <t>991004653359702656</t>
  </si>
  <si>
    <t>2270900390002656</t>
  </si>
  <si>
    <t>9780521820479</t>
  </si>
  <si>
    <t>32285005105969</t>
  </si>
  <si>
    <t>893712862</t>
  </si>
  <si>
    <t>QB835 .P4313 1987</t>
  </si>
  <si>
    <t>0                      QB 0835000P  4313        1987</t>
  </si>
  <si>
    <t>Variable stars / Michel Petit ; with a foreword by Paolo Maffei ; translated from the French by W.J. Duffin.</t>
  </si>
  <si>
    <t>Petit, Michel, 1935-</t>
  </si>
  <si>
    <t>Chichester ; New York : Wiley, c1987.</t>
  </si>
  <si>
    <t>7141497:eng</t>
  </si>
  <si>
    <t>13218697</t>
  </si>
  <si>
    <t>991000800299702656</t>
  </si>
  <si>
    <t>2260677250002656</t>
  </si>
  <si>
    <t>9780471909200</t>
  </si>
  <si>
    <t>32285001434538</t>
  </si>
  <si>
    <t>893608295</t>
  </si>
  <si>
    <t>QB843 .S95 1988</t>
  </si>
  <si>
    <t>0                      QB 0843000S  95          1988</t>
  </si>
  <si>
    <t>The supernova story / Laurence A. Marschall.</t>
  </si>
  <si>
    <t>Marschall, Laurence A.</t>
  </si>
  <si>
    <t>New York : Plenum Press, c1988, 1989 printing.</t>
  </si>
  <si>
    <t>2008-05-14</t>
  </si>
  <si>
    <t>891935:eng</t>
  </si>
  <si>
    <t>18072371</t>
  </si>
  <si>
    <t>991001303309702656</t>
  </si>
  <si>
    <t>2267261600002656</t>
  </si>
  <si>
    <t>9780306429552</t>
  </si>
  <si>
    <t>32285001434645</t>
  </si>
  <si>
    <t>893709170</t>
  </si>
  <si>
    <t>QB843.B55 A84 1977</t>
  </si>
  <si>
    <t>0                      QB 0843000B  55                 A  84          1977</t>
  </si>
  <si>
    <t>The collapsing universe / by Isaac Asimov.</t>
  </si>
  <si>
    <t>New York : Walker, 1977.</t>
  </si>
  <si>
    <t>1997-11-11</t>
  </si>
  <si>
    <t>1990-03-20</t>
  </si>
  <si>
    <t>2287341296:eng</t>
  </si>
  <si>
    <t>2887731</t>
  </si>
  <si>
    <t>991004273929702656</t>
  </si>
  <si>
    <t>2259616150002656</t>
  </si>
  <si>
    <t>9780802704863</t>
  </si>
  <si>
    <t>32285000091347</t>
  </si>
  <si>
    <t>893241227</t>
  </si>
  <si>
    <t>QB843.B55 B57</t>
  </si>
  <si>
    <t>0                      QB 0843000B  55                 B  57</t>
  </si>
  <si>
    <t>Black holes / edited by C. DeWitt [and] B. S. DeWitt.</t>
  </si>
  <si>
    <t>New York : Gordon and Breach, [1973]</t>
  </si>
  <si>
    <t>1992-02-12</t>
  </si>
  <si>
    <t>1991-09-27</t>
  </si>
  <si>
    <t>369902952:eng</t>
  </si>
  <si>
    <t>705479</t>
  </si>
  <si>
    <t>991003168419702656</t>
  </si>
  <si>
    <t>2259100960002656</t>
  </si>
  <si>
    <t>9780677156101</t>
  </si>
  <si>
    <t>32285000760115</t>
  </si>
  <si>
    <t>893799444</t>
  </si>
  <si>
    <t>QB843.B55 B59 1986</t>
  </si>
  <si>
    <t>0                      QB 0843000B  55                 B  59          1986</t>
  </si>
  <si>
    <t>Black holes : the membrane paradigm / edited by Kip S. Thorne, Richard H. Price, Douglas A. Macdonald.</t>
  </si>
  <si>
    <t>New Haven : Yale University Press, c1986.</t>
  </si>
  <si>
    <t>2007-04-15</t>
  </si>
  <si>
    <t>143982800:eng</t>
  </si>
  <si>
    <t>13759977</t>
  </si>
  <si>
    <t>991000866839702656</t>
  </si>
  <si>
    <t>2262490110002656</t>
  </si>
  <si>
    <t>9780300037708</t>
  </si>
  <si>
    <t>32285000974666</t>
  </si>
  <si>
    <t>893333850</t>
  </si>
  <si>
    <t>QB843.B55 B73 1986</t>
  </si>
  <si>
    <t>0                      QB 0843000B  55                 B  73          1986</t>
  </si>
  <si>
    <t>Journey into a black hole / by Franklyn M. Branley ; illustrated by Marc Simont.</t>
  </si>
  <si>
    <t>Branley, Franklyn M. (Franklyn Mansfield), 1915-2002.</t>
  </si>
  <si>
    <t>New York : HarperCollins, c1986.</t>
  </si>
  <si>
    <t>Let's-read-and-find-out science book</t>
  </si>
  <si>
    <t>1992-12-16</t>
  </si>
  <si>
    <t>54971556:eng</t>
  </si>
  <si>
    <t>13125837</t>
  </si>
  <si>
    <t>991004445689702656</t>
  </si>
  <si>
    <t>2257922900002656</t>
  </si>
  <si>
    <t>9780690045437</t>
  </si>
  <si>
    <t>32285001403244</t>
  </si>
  <si>
    <t>893767873</t>
  </si>
  <si>
    <t>QB843.B55 C48 1983</t>
  </si>
  <si>
    <t>0                      QB 0843000B  55                 C  48          1983</t>
  </si>
  <si>
    <t>The mathematical theory of black holes / S. Chandrasekhar.</t>
  </si>
  <si>
    <t>Oxford [Oxfordshire] : Clarendon Press ; New York : Oxford University Press, 1983.</t>
  </si>
  <si>
    <t>The International series of monographs on physics ; 69</t>
  </si>
  <si>
    <t>2007-02-10</t>
  </si>
  <si>
    <t>1992-02-13</t>
  </si>
  <si>
    <t>53100072:eng</t>
  </si>
  <si>
    <t>8451905</t>
  </si>
  <si>
    <t>991005245209702656</t>
  </si>
  <si>
    <t>2262719860002656</t>
  </si>
  <si>
    <t>9780198512912</t>
  </si>
  <si>
    <t>32285000980515</t>
  </si>
  <si>
    <t>893789674</t>
  </si>
  <si>
    <t>QB843.B55 C483 1991</t>
  </si>
  <si>
    <t>0                      QB 0843000B  55                 C  483         1991</t>
  </si>
  <si>
    <t>The mathematical theory of black holes and of colliding plane waves / S. Chandrasekhar.</t>
  </si>
  <si>
    <t>Selected papers ; v. 6</t>
  </si>
  <si>
    <t>2007-03-25</t>
  </si>
  <si>
    <t>1991-09-06</t>
  </si>
  <si>
    <t>1862771657:eng</t>
  </si>
  <si>
    <t>21948830</t>
  </si>
  <si>
    <t>991001732329702656</t>
  </si>
  <si>
    <t>2258577550002656</t>
  </si>
  <si>
    <t>9780226101019</t>
  </si>
  <si>
    <t>32285000702794</t>
  </si>
  <si>
    <t>893420553</t>
  </si>
  <si>
    <t>QB843.B55 D36 1985</t>
  </si>
  <si>
    <t>0                      QB 0843000B  55                 D  36          1985</t>
  </si>
  <si>
    <t>Black holes : an annotated bibliography, 1975-1983 / by Steven I. Danko.</t>
  </si>
  <si>
    <t>Danko, Steven I., 1950-</t>
  </si>
  <si>
    <t>Metuchen, N.J. : Scarecrow Press, 1985.</t>
  </si>
  <si>
    <t>2003-04-17</t>
  </si>
  <si>
    <t>1992-02-11</t>
  </si>
  <si>
    <t>5169889:eng</t>
  </si>
  <si>
    <t>12285728</t>
  </si>
  <si>
    <t>991000666749702656</t>
  </si>
  <si>
    <t>2256995730002656</t>
  </si>
  <si>
    <t>9780810818361</t>
  </si>
  <si>
    <t>32285000970094</t>
  </si>
  <si>
    <t>893249557</t>
  </si>
  <si>
    <t>QB843.B55 F54 1996</t>
  </si>
  <si>
    <t>0                      QB 0843000B  55                 F  54          1996</t>
  </si>
  <si>
    <t>Prisons of light : black holes / Kitty Ferguson.</t>
  </si>
  <si>
    <t>2007-10-28</t>
  </si>
  <si>
    <t>1996-10-16</t>
  </si>
  <si>
    <t>52993027:eng</t>
  </si>
  <si>
    <t>34409731</t>
  </si>
  <si>
    <t>991002624079702656</t>
  </si>
  <si>
    <t>2256021070002656</t>
  </si>
  <si>
    <t>9780521495189</t>
  </si>
  <si>
    <t>32285002366457</t>
  </si>
  <si>
    <t>893804824</t>
  </si>
  <si>
    <t>QB843.B55 G75 1992</t>
  </si>
  <si>
    <t>0                      QB 0843000B  55                 G  75          1992</t>
  </si>
  <si>
    <t>Unveiling the edge of time : black holes, white holes, wormholes / John Gribbin.</t>
  </si>
  <si>
    <t>New York : Harmony Books, c1992.</t>
  </si>
  <si>
    <t>2002-11-23</t>
  </si>
  <si>
    <t>1993-08-25</t>
  </si>
  <si>
    <t>28407655:eng</t>
  </si>
  <si>
    <t>25546174</t>
  </si>
  <si>
    <t>991002008529702656</t>
  </si>
  <si>
    <t>2261140790002656</t>
  </si>
  <si>
    <t>9780517585917</t>
  </si>
  <si>
    <t>32285001728350</t>
  </si>
  <si>
    <t>893603104</t>
  </si>
  <si>
    <t>QB843.B55 K38</t>
  </si>
  <si>
    <t>0                      QB 0843000B  55                 K  38</t>
  </si>
  <si>
    <t>Black holes and warped spacetime / William J. Kaufman, III.</t>
  </si>
  <si>
    <t>San Francisco : W. H. Freeman, c1979.</t>
  </si>
  <si>
    <t>1991-12-20</t>
  </si>
  <si>
    <t>447191:eng</t>
  </si>
  <si>
    <t>5239621</t>
  </si>
  <si>
    <t>991004804709702656</t>
  </si>
  <si>
    <t>2264314790002656</t>
  </si>
  <si>
    <t>9780716711520</t>
  </si>
  <si>
    <t>32285000908607</t>
  </si>
  <si>
    <t>893628372</t>
  </si>
  <si>
    <t>QB843.B55 M45 2003</t>
  </si>
  <si>
    <t>0                      QB 0843000B  55                 M  45          2003</t>
  </si>
  <si>
    <t>The black hole at the center of our galaxy / Fulvio Melia.</t>
  </si>
  <si>
    <t>Melia, Fulvio.</t>
  </si>
  <si>
    <t>Princeton : Princeton University Press, c2003.</t>
  </si>
  <si>
    <t>2008-10-08</t>
  </si>
  <si>
    <t>2003-08-06</t>
  </si>
  <si>
    <t>6114448:eng</t>
  </si>
  <si>
    <t>50510945</t>
  </si>
  <si>
    <t>991004090389702656</t>
  </si>
  <si>
    <t>2259387440002656</t>
  </si>
  <si>
    <t>9780691095059</t>
  </si>
  <si>
    <t>32285004758909</t>
  </si>
  <si>
    <t>893417215</t>
  </si>
  <si>
    <t>QB843.B55 M66 1976</t>
  </si>
  <si>
    <t>0                      QB 0843000B  55                 M  66          1976</t>
  </si>
  <si>
    <t>Black holes in space / Patrick Moore and Iain Nicolson.</t>
  </si>
  <si>
    <t>New York : Norton, 1976, c1974.</t>
  </si>
  <si>
    <t>1998-02-21</t>
  </si>
  <si>
    <t>460247:eng</t>
  </si>
  <si>
    <t>1418769</t>
  </si>
  <si>
    <t>991003746659702656</t>
  </si>
  <si>
    <t>2261184360002656</t>
  </si>
  <si>
    <t>9780393064056</t>
  </si>
  <si>
    <t>32285000974658</t>
  </si>
  <si>
    <t>893252718</t>
  </si>
  <si>
    <t>QB843.B55 N6713 1990</t>
  </si>
  <si>
    <t>0                      QB 0843000B  55                 N  6713        1990</t>
  </si>
  <si>
    <t>Black holes and the universe / Igor Novikov ; translated by Vitaly Kisin.</t>
  </si>
  <si>
    <t>Novikov, I. D. (Igorʹ Dmitrievich)</t>
  </si>
  <si>
    <t>1991-08-13</t>
  </si>
  <si>
    <t>7004354:eng</t>
  </si>
  <si>
    <t>20219581</t>
  </si>
  <si>
    <t>991001550599702656</t>
  </si>
  <si>
    <t>2272163340002656</t>
  </si>
  <si>
    <t>9780521366830</t>
  </si>
  <si>
    <t>32285000700400</t>
  </si>
  <si>
    <t>893590430</t>
  </si>
  <si>
    <t>QB843.B55 P53 1996</t>
  </si>
  <si>
    <t>0                      QB 0843000B  55                 P  53          1996</t>
  </si>
  <si>
    <t>Black holes : a traveler's guide / Clifford A. Pickover.</t>
  </si>
  <si>
    <t>New York : Wiley, c1996.</t>
  </si>
  <si>
    <t>549673:eng</t>
  </si>
  <si>
    <t>33132610</t>
  </si>
  <si>
    <t>991002550499702656</t>
  </si>
  <si>
    <t>2269226620002656</t>
  </si>
  <si>
    <t>9780471125808</t>
  </si>
  <si>
    <t>32285004758768</t>
  </si>
  <si>
    <t>893233100</t>
  </si>
  <si>
    <t>QB843.B55 S5 1983</t>
  </si>
  <si>
    <t>0                      QB 0843000B  55                 S  5           1983</t>
  </si>
  <si>
    <t>Black holes, white dwarfs, and neutron stars : the physics of compact objects / Stuart L. Shapiro, Saul A. Teukolsky.</t>
  </si>
  <si>
    <t>Shapiro, Stuart L. (Stuart Louis), 1947-</t>
  </si>
  <si>
    <t>New York : Wiley, c1983.</t>
  </si>
  <si>
    <t>2007-12-02</t>
  </si>
  <si>
    <t>1990-03-28</t>
  </si>
  <si>
    <t>796994654:eng</t>
  </si>
  <si>
    <t>8953728</t>
  </si>
  <si>
    <t>991000101309702656</t>
  </si>
  <si>
    <t>2269561680002656</t>
  </si>
  <si>
    <t>9780471873167</t>
  </si>
  <si>
    <t>32285000097260</t>
  </si>
  <si>
    <t>893595264</t>
  </si>
  <si>
    <t>QB843.B55 S54 1980</t>
  </si>
  <si>
    <t>0                      QB 0843000B  55                 S  54          1980</t>
  </si>
  <si>
    <t>Black holes, quasars, and the universe / Harry L. Shipman.</t>
  </si>
  <si>
    <t>Shipman, Harry L., 1948-</t>
  </si>
  <si>
    <t>Boston : Houghton Mifflin, c1980.</t>
  </si>
  <si>
    <t>1999-03-02</t>
  </si>
  <si>
    <t>3358131:eng</t>
  </si>
  <si>
    <t>6761479</t>
  </si>
  <si>
    <t>991005036049702656</t>
  </si>
  <si>
    <t>2260993580002656</t>
  </si>
  <si>
    <t>9780395284995</t>
  </si>
  <si>
    <t>32285000097278</t>
  </si>
  <si>
    <t>893870413</t>
  </si>
  <si>
    <t>QB843.B55 S94</t>
  </si>
  <si>
    <t>0                      QB 0843000B  55                 S  94</t>
  </si>
  <si>
    <t>Black holes : the edge of space, the edge of time / Walter Sullivan ; [maps by Andrew Sabbatini ; diagrams by Bob Michaels].</t>
  </si>
  <si>
    <t>Garden City, N.Y. : Doubleday, c1979.</t>
  </si>
  <si>
    <t>454035:eng</t>
  </si>
  <si>
    <t>4641934</t>
  </si>
  <si>
    <t>991004696309702656</t>
  </si>
  <si>
    <t>2257473650002656</t>
  </si>
  <si>
    <t>9780385071567</t>
  </si>
  <si>
    <t>32285000974641</t>
  </si>
  <si>
    <t>893712911</t>
  </si>
  <si>
    <t>QB843.B55 T39 1974</t>
  </si>
  <si>
    <t>0                      QB 0843000B  55                 T  39          1974</t>
  </si>
  <si>
    <t>Black holes : the end of the universe? / [by] John Taylor.</t>
  </si>
  <si>
    <t>Taylor, J. G. (John Gerald), 1931-2012.</t>
  </si>
  <si>
    <t>New York : Random House, [1974, c1973]</t>
  </si>
  <si>
    <t>[1st American ed.]</t>
  </si>
  <si>
    <t>898933:eng</t>
  </si>
  <si>
    <t>805008</t>
  </si>
  <si>
    <t>991003282829702656</t>
  </si>
  <si>
    <t>2265405110002656</t>
  </si>
  <si>
    <t>9780394490861</t>
  </si>
  <si>
    <t>32285000106475</t>
  </si>
  <si>
    <t>893592369</t>
  </si>
  <si>
    <t>QB843.N4 I79</t>
  </si>
  <si>
    <t>0                      QB 0843000N  4                  I  79</t>
  </si>
  <si>
    <t>Neutron stars / by J. M. Irvine.</t>
  </si>
  <si>
    <t>Irvine, J. M. (John Maxwell)</t>
  </si>
  <si>
    <t>Oxford [Eng.] : Clarendon Press, 1978. --</t>
  </si>
  <si>
    <t>Oxford studies in physics</t>
  </si>
  <si>
    <t>2004-03-23</t>
  </si>
  <si>
    <t>1992-03-03</t>
  </si>
  <si>
    <t>14905543:eng</t>
  </si>
  <si>
    <t>4536728</t>
  </si>
  <si>
    <t>991004675429702656</t>
  </si>
  <si>
    <t>2271102140002656</t>
  </si>
  <si>
    <t>9780198514602</t>
  </si>
  <si>
    <t>32285000990472</t>
  </si>
  <si>
    <t>893882784</t>
  </si>
  <si>
    <t>QB843.N4 N48</t>
  </si>
  <si>
    <t>0                      QB 0843000N  4                  N  48</t>
  </si>
  <si>
    <t>Neutron stars, black holes, and binary X-ray sources / edited by Herbert Gursky and Remo Ruffini.</t>
  </si>
  <si>
    <t>Dordrecht ; Boston : D. Reidel Pub. Co., [1975]</t>
  </si>
  <si>
    <t>Astrophysics and space science library ; v. 48</t>
  </si>
  <si>
    <t>1997-11-14</t>
  </si>
  <si>
    <t>510208821:eng</t>
  </si>
  <si>
    <t>1365268</t>
  </si>
  <si>
    <t>991003719749702656</t>
  </si>
  <si>
    <t>2256071760002656</t>
  </si>
  <si>
    <t>9789027705419</t>
  </si>
  <si>
    <t>32285002642865</t>
  </si>
  <si>
    <t>893787660</t>
  </si>
  <si>
    <t>QB843.N4 V37</t>
  </si>
  <si>
    <t>0                      QB 0843000N  4                  V  37</t>
  </si>
  <si>
    <t>Physics and astrophysics of neutron stars and black holes / edited by R. Giaconni and R. Ruffini.</t>
  </si>
  <si>
    <t>International School of Physics "Enrico Fermi."</t>
  </si>
  <si>
    <t>Amsterdam ; New York : North-Holland Pub. Co., 1978, 1980 printing.</t>
  </si>
  <si>
    <t>Proceedings of the International School of Physics "Enrico Fermi" ; course 65</t>
  </si>
  <si>
    <t>42783975:eng</t>
  </si>
  <si>
    <t>4494971</t>
  </si>
  <si>
    <t>991004654719702656</t>
  </si>
  <si>
    <t>2265452240002656</t>
  </si>
  <si>
    <t>9780720407204</t>
  </si>
  <si>
    <t>32285001434611</t>
  </si>
  <si>
    <t>893253954</t>
  </si>
  <si>
    <t>QB843.P8 M36</t>
  </si>
  <si>
    <t>0                      QB 0843000P  8                  M  36</t>
  </si>
  <si>
    <t>Pulsars / Richard N. Manchester, Joseph H. Taylor.</t>
  </si>
  <si>
    <t>Manchester, Richard N.</t>
  </si>
  <si>
    <t>1997-11-20</t>
  </si>
  <si>
    <t>3901468977:eng</t>
  </si>
  <si>
    <t>2875132</t>
  </si>
  <si>
    <t>991004270129702656</t>
  </si>
  <si>
    <t>2259431340002656</t>
  </si>
  <si>
    <t>9780716703587</t>
  </si>
  <si>
    <t>32285000760123</t>
  </si>
  <si>
    <t>893519447</t>
  </si>
  <si>
    <t>QB843.P8 P84</t>
  </si>
  <si>
    <t>0                      QB 0843000P  8                  P  84</t>
  </si>
  <si>
    <t>Pulsars : International Astronomical Union symposium no. 95, held in Bonn, Federal Republic of Germany, August 26-29, 1980 / edited by W. Sieber and R. Wielebinski.</t>
  </si>
  <si>
    <t>Dordrecht, Holland ; Boston : D. Riedel ; Hingham, MA : Sold and distributed in the U.S.A. and Canada by Kluwer Boston, c1981.</t>
  </si>
  <si>
    <t>Symposium - International Astronomical Union ; no. 95</t>
  </si>
  <si>
    <t>1997-11-07</t>
  </si>
  <si>
    <t>141143110:eng</t>
  </si>
  <si>
    <t>7461992</t>
  </si>
  <si>
    <t>991005115399702656</t>
  </si>
  <si>
    <t>2265891470002656</t>
  </si>
  <si>
    <t>9789027712806</t>
  </si>
  <si>
    <t>32285001434629</t>
  </si>
  <si>
    <t>893619477</t>
  </si>
  <si>
    <t>QB843.P8 S56</t>
  </si>
  <si>
    <t>0                      QB 0843000P  8                  S  56</t>
  </si>
  <si>
    <t>Pulsars / F. G. Smith.</t>
  </si>
  <si>
    <t>Cambridge ; New York : Cambridge University Press, 1977.</t>
  </si>
  <si>
    <t>1992-02-01</t>
  </si>
  <si>
    <t>66798819:eng</t>
  </si>
  <si>
    <t>2005499</t>
  </si>
  <si>
    <t>991003976389702656</t>
  </si>
  <si>
    <t>2262081500002656</t>
  </si>
  <si>
    <t>9780521212410</t>
  </si>
  <si>
    <t>32285000760131</t>
  </si>
  <si>
    <t>893599271</t>
  </si>
  <si>
    <t>QB843.S95 G65 1989</t>
  </si>
  <si>
    <t>0                      QB 0843000S  95                 G  65          1989</t>
  </si>
  <si>
    <t>Supernova! : the exploding star of 1987 / Donald Goldsmith.</t>
  </si>
  <si>
    <t>New York : St. Martin's Press, c1989.</t>
  </si>
  <si>
    <t>1990-06-20</t>
  </si>
  <si>
    <t>225833662:eng</t>
  </si>
  <si>
    <t>18558670</t>
  </si>
  <si>
    <t>991001366119702656</t>
  </si>
  <si>
    <t>2262152330002656</t>
  </si>
  <si>
    <t>9780312026479</t>
  </si>
  <si>
    <t>32285000178839</t>
  </si>
  <si>
    <t>893608794</t>
  </si>
  <si>
    <t>QB843.S95 M87 1985</t>
  </si>
  <si>
    <t>0                      QB 0843000S  95                 M  87          1985</t>
  </si>
  <si>
    <t>Supernovae / Paul Murdin, Lesley Murdin.</t>
  </si>
  <si>
    <t>1992-03-24</t>
  </si>
  <si>
    <t>3835817:eng</t>
  </si>
  <si>
    <t>11316158</t>
  </si>
  <si>
    <t>991000518919702656</t>
  </si>
  <si>
    <t>2256850570002656</t>
  </si>
  <si>
    <t>9780521300384</t>
  </si>
  <si>
    <t>32285001004133</t>
  </si>
  <si>
    <t>893790593</t>
  </si>
  <si>
    <t>QB851 .H6</t>
  </si>
  <si>
    <t>0                      QB 0851000H  6</t>
  </si>
  <si>
    <t>The physics and astronomy of galaxies and cosmology [by] Paul W. Hodge.</t>
  </si>
  <si>
    <t>Hodge, Paul W.</t>
  </si>
  <si>
    <t>New York, McGraw-Hill [1966]</t>
  </si>
  <si>
    <t>McGraw-Hill series in undergraduate astronomy</t>
  </si>
  <si>
    <t>1543857:eng</t>
  </si>
  <si>
    <t>530725</t>
  </si>
  <si>
    <t>991002930509702656</t>
  </si>
  <si>
    <t>2266483850002656</t>
  </si>
  <si>
    <t>32285002642881</t>
  </si>
  <si>
    <t>893504994</t>
  </si>
  <si>
    <t>QB853 .S47 1972</t>
  </si>
  <si>
    <t>0                      QB 0853000S  47          1972</t>
  </si>
  <si>
    <t>Galaxies / by Harlow Shapley.</t>
  </si>
  <si>
    <t>Shapley, Harlow, 1885-1972.</t>
  </si>
  <si>
    <t>Cambridge, Mass. : Harvard University Press, 1972.</t>
  </si>
  <si>
    <t>[3rd ed.] Rev. by Paul W. Hodge.</t>
  </si>
  <si>
    <t>1993-11-29</t>
  </si>
  <si>
    <t>4919450263:eng</t>
  </si>
  <si>
    <t>324347</t>
  </si>
  <si>
    <t>991002344419702656</t>
  </si>
  <si>
    <t>2255167580002656</t>
  </si>
  <si>
    <t>9780674340510</t>
  </si>
  <si>
    <t>32285001434694</t>
  </si>
  <si>
    <t>893898647</t>
  </si>
  <si>
    <t>QB855.55 .O87 1989</t>
  </si>
  <si>
    <t>0                      QB 0855550O  87          1989</t>
  </si>
  <si>
    <t>Astrophysics of gaseous nebulae and active galactic nuclei / Donald E. Osterbrock.</t>
  </si>
  <si>
    <t>Osterbrock, Donald E.</t>
  </si>
  <si>
    <t>Mill Valley, Calif. : University Science Books, 1989.</t>
  </si>
  <si>
    <t>2010-04-16</t>
  </si>
  <si>
    <t>877309:eng</t>
  </si>
  <si>
    <t>27266541</t>
  </si>
  <si>
    <t>991001420599702656</t>
  </si>
  <si>
    <t>2266778820002656</t>
  </si>
  <si>
    <t>9780935702224</t>
  </si>
  <si>
    <t>32285000012483</t>
  </si>
  <si>
    <t>893709261</t>
  </si>
  <si>
    <t>QB855.9.O75 O34 2003</t>
  </si>
  <si>
    <t>0                      QB 0855900O  75                 O  34          2003</t>
  </si>
  <si>
    <t>The Orion Nebula : where stars are born / C. Robert O'Dell.</t>
  </si>
  <si>
    <t>O'Dell, C. Robert (Charles Robert), 1937-</t>
  </si>
  <si>
    <t>Cambridge, Mass. : Belknap Press of Harvard University Press, 2003.</t>
  </si>
  <si>
    <t>2004-01-05</t>
  </si>
  <si>
    <t>838904103:eng</t>
  </si>
  <si>
    <t>52178145</t>
  </si>
  <si>
    <t>991004184999702656</t>
  </si>
  <si>
    <t>2264777580002656</t>
  </si>
  <si>
    <t>9780674011830</t>
  </si>
  <si>
    <t>32285004848387</t>
  </si>
  <si>
    <t>893241129</t>
  </si>
  <si>
    <t>QB857 .B522 1998</t>
  </si>
  <si>
    <t>0                      QB 0857000B  522         1998</t>
  </si>
  <si>
    <t>Galactic astronomy / James Binney and Michael Merrifield.</t>
  </si>
  <si>
    <t>Binney, James, 1950-</t>
  </si>
  <si>
    <t>Princeton, NJ : Princeton University Press, c1998.</t>
  </si>
  <si>
    <t>4714386554:eng</t>
  </si>
  <si>
    <t>39108765</t>
  </si>
  <si>
    <t>991002939659702656</t>
  </si>
  <si>
    <t>2263696510002656</t>
  </si>
  <si>
    <t>9780691004020</t>
  </si>
  <si>
    <t>32285003632220</t>
  </si>
  <si>
    <t>893323546</t>
  </si>
  <si>
    <t>QB857 .B524 1987</t>
  </si>
  <si>
    <t>0                      QB 0857000B  524         1987</t>
  </si>
  <si>
    <t>Galactic dynamics / James Binney and Scott Tremaine.</t>
  </si>
  <si>
    <t>Princeton, N.J. : Princeton University Press, c1987.</t>
  </si>
  <si>
    <t>9846253:eng</t>
  </si>
  <si>
    <t>15654197</t>
  </si>
  <si>
    <t>991001051129702656</t>
  </si>
  <si>
    <t>2266813050002656</t>
  </si>
  <si>
    <t>9780691084459</t>
  </si>
  <si>
    <t>32285001434736</t>
  </si>
  <si>
    <t>893321592</t>
  </si>
  <si>
    <t>QB857 .F47 1982</t>
  </si>
  <si>
    <t>0                      QB 0857000F  47          1982</t>
  </si>
  <si>
    <t>Galaxies / written and with photographs selected by Timothy Ferris ; illustrations by Sarah Landry.</t>
  </si>
  <si>
    <t>Ferris, Timothy.</t>
  </si>
  <si>
    <t>New York : Stewart, Tabori &amp; Chang ; San Francisco : Sierra Club Books, 1982.</t>
  </si>
  <si>
    <t>1998-12-09</t>
  </si>
  <si>
    <t>565423:eng</t>
  </si>
  <si>
    <t>8111937</t>
  </si>
  <si>
    <t>991005204599702656</t>
  </si>
  <si>
    <t>2257146040002656</t>
  </si>
  <si>
    <t>9780941434010</t>
  </si>
  <si>
    <t>32285001434744</t>
  </si>
  <si>
    <t>893446650</t>
  </si>
  <si>
    <t>QB857 .H625 1986</t>
  </si>
  <si>
    <t>0                      QB 0857000H  625         1986</t>
  </si>
  <si>
    <t>Galaxies / Paul W. Hodge.</t>
  </si>
  <si>
    <t>Cambridge, Mass. : Harvard University Press, 1986.</t>
  </si>
  <si>
    <t>3945656142:eng</t>
  </si>
  <si>
    <t>12104223</t>
  </si>
  <si>
    <t>991000641099702656</t>
  </si>
  <si>
    <t>2260022830002656</t>
  </si>
  <si>
    <t>9780674340657</t>
  </si>
  <si>
    <t>32285001434777</t>
  </si>
  <si>
    <t>893321216</t>
  </si>
  <si>
    <t>QB857 .R83 1997</t>
  </si>
  <si>
    <t>0                      QB 0857000R  83          1997</t>
  </si>
  <si>
    <t>Bright galaxies, dark matters / Vera Rubin.</t>
  </si>
  <si>
    <t>Rubin, Vera C., 1928-2016.</t>
  </si>
  <si>
    <t>Woodbury, N.Y. : American Institute of Physics, c1997.</t>
  </si>
  <si>
    <t>Masters of modern physics</t>
  </si>
  <si>
    <t>5612294508:eng</t>
  </si>
  <si>
    <t>35033547</t>
  </si>
  <si>
    <t>991002680799702656</t>
  </si>
  <si>
    <t>2269146360002656</t>
  </si>
  <si>
    <t>9781563962318</t>
  </si>
  <si>
    <t>32285003283461</t>
  </si>
  <si>
    <t>893591642</t>
  </si>
  <si>
    <t>QB857 .S73 1990</t>
  </si>
  <si>
    <t>0                      QB 0857000S  73          1990</t>
  </si>
  <si>
    <t>Stars and galaxies : citizens of the universe : readings from Scientific American magazine / edited by Donald E. Osterbrock.</t>
  </si>
  <si>
    <t>New York : W.H. Freeman, c1990.</t>
  </si>
  <si>
    <t>836749941:eng</t>
  </si>
  <si>
    <t>20690356</t>
  </si>
  <si>
    <t>991001604159702656</t>
  </si>
  <si>
    <t>2258032590002656</t>
  </si>
  <si>
    <t>9780716720690</t>
  </si>
  <si>
    <t>32285000669175</t>
  </si>
  <si>
    <t>893516310</t>
  </si>
  <si>
    <t>QB857 .T37 1993</t>
  </si>
  <si>
    <t>0                      QB 0857000T  37          1993</t>
  </si>
  <si>
    <t>Galaxies : structure and evolution / Roger J. Tayler.</t>
  </si>
  <si>
    <t>Cambridge [England] ; New York, NY, USA : Cambridge University Press, 1993.</t>
  </si>
  <si>
    <t>1994-01-13</t>
  </si>
  <si>
    <t>28472234:eng</t>
  </si>
  <si>
    <t>26054702</t>
  </si>
  <si>
    <t>991002042099702656</t>
  </si>
  <si>
    <t>2256446370002656</t>
  </si>
  <si>
    <t>9780521364317</t>
  </si>
  <si>
    <t>32285001831048</t>
  </si>
  <si>
    <t>893427140</t>
  </si>
  <si>
    <t>QB857 .U55 1984</t>
  </si>
  <si>
    <t>0                      QB 0857000U  55          1984</t>
  </si>
  <si>
    <t>The Universe of galaxies / compiled by Paul W. Hodge.</t>
  </si>
  <si>
    <t>New York : W.H. Freeman, c1984.</t>
  </si>
  <si>
    <t>1028233803:eng</t>
  </si>
  <si>
    <t>10505597</t>
  </si>
  <si>
    <t>991000382329702656</t>
  </si>
  <si>
    <t>2254982560002656</t>
  </si>
  <si>
    <t>9780716716761</t>
  </si>
  <si>
    <t>32285001434835</t>
  </si>
  <si>
    <t>893796591</t>
  </si>
  <si>
    <t>QB857.7 .A38 1989</t>
  </si>
  <si>
    <t>0                      QB 0857700A  38          1989</t>
  </si>
  <si>
    <t>The Milky Way as a galaxy : Saas-Fee Advanced Course no. 19, lecture notes, Swiss Society of Astrophysics and Astronomy, 1989 / Gerard Gilmore, Ivan R. King, Pieter C. van der Kruit ; edited by Roland Buser, Ivan R. King.</t>
  </si>
  <si>
    <t>Advanced Course of the Swiss Society of Astrophysics and Astronomy (19th : 1989 : Leysin, Switzerland)</t>
  </si>
  <si>
    <t>Mill Valley, CA : University Science Books, c1990.</t>
  </si>
  <si>
    <t>1991-09-24</t>
  </si>
  <si>
    <t>8907797241:eng</t>
  </si>
  <si>
    <t>22336151</t>
  </si>
  <si>
    <t>991001767579702656</t>
  </si>
  <si>
    <t>2258474620002656</t>
  </si>
  <si>
    <t>9780935702620</t>
  </si>
  <si>
    <t>32285000704972</t>
  </si>
  <si>
    <t>893697016</t>
  </si>
  <si>
    <t>QB857.7 .B64 1981</t>
  </si>
  <si>
    <t>0                      QB 0857700B  64          1981</t>
  </si>
  <si>
    <t>The Milky Way / Bart J. Bok and Priscilla F. Bok.</t>
  </si>
  <si>
    <t>Bok, Bart J. (Bart Jan), 1906-1983.</t>
  </si>
  <si>
    <t>Cambridge, Mass. : Harvard University Press, 1981.</t>
  </si>
  <si>
    <t>5th ed.</t>
  </si>
  <si>
    <t>1992-05-18</t>
  </si>
  <si>
    <t>1992-01-14</t>
  </si>
  <si>
    <t>192228005:eng</t>
  </si>
  <si>
    <t>6762059</t>
  </si>
  <si>
    <t>991005036469702656</t>
  </si>
  <si>
    <t>2258403180002656</t>
  </si>
  <si>
    <t>9780674575035</t>
  </si>
  <si>
    <t>32285000897529</t>
  </si>
  <si>
    <t>893801624</t>
  </si>
  <si>
    <t>QB857.7 .M53 1981</t>
  </si>
  <si>
    <t>0                      QB 0857700M  53          1981</t>
  </si>
  <si>
    <t>Galactic astronomy : structure and kinematics / Dimitri Mihalas and James Binney.</t>
  </si>
  <si>
    <t>Mihalas, Dimitri, 1939-</t>
  </si>
  <si>
    <t>San Francisco : W.H. Freeman, c1981.</t>
  </si>
  <si>
    <t>1330810:eng</t>
  </si>
  <si>
    <t>7273281</t>
  </si>
  <si>
    <t>991005095919702656</t>
  </si>
  <si>
    <t>2258385280002656</t>
  </si>
  <si>
    <t>9780716712800</t>
  </si>
  <si>
    <t>32285000897545</t>
  </si>
  <si>
    <t>893707244</t>
  </si>
  <si>
    <t>QB858.3 .P37 1990</t>
  </si>
  <si>
    <t>0                      QB 0858300P  37          1990</t>
  </si>
  <si>
    <t>Colliding galaxies : the universe in turmoil / Barry Parker ; drawings by Lori Scoffield.</t>
  </si>
  <si>
    <t>New York : Plenum Press, c1990.</t>
  </si>
  <si>
    <t>1991-06-13</t>
  </si>
  <si>
    <t>293215223:eng</t>
  </si>
  <si>
    <t>21901257</t>
  </si>
  <si>
    <t>991001727269702656</t>
  </si>
  <si>
    <t>2258946090002656</t>
  </si>
  <si>
    <t>9780306435669</t>
  </si>
  <si>
    <t>32285000655968</t>
  </si>
  <si>
    <t>893866429</t>
  </si>
  <si>
    <t>QB86 .F3 1983</t>
  </si>
  <si>
    <t>0                      QB 0086000F  3           1983</t>
  </si>
  <si>
    <t>Microcomputers in astronomy / Russell M. Genet, editor ; Anna M. Genet, assistant editor.</t>
  </si>
  <si>
    <t>Fairborn Symposium (4th : 1983 : Fairborn, Ohio)</t>
  </si>
  <si>
    <t>Fairborn, Ohio : Fairborn Observatory, c1983.</t>
  </si>
  <si>
    <t>1994-02-15</t>
  </si>
  <si>
    <t>352279251:eng</t>
  </si>
  <si>
    <t>10084634</t>
  </si>
  <si>
    <t>991000309949702656</t>
  </si>
  <si>
    <t>2264987160002656</t>
  </si>
  <si>
    <t>9780911351033</t>
  </si>
  <si>
    <t>32285001432235</t>
  </si>
  <si>
    <t>893351480</t>
  </si>
  <si>
    <t>QB86 .S74 2000</t>
  </si>
  <si>
    <t>0                      QB 0086000S  74          2000</t>
  </si>
  <si>
    <t>The universe unveiled : instruments and images through history / Bruce Stephenson, Marvin Bolt, Anna Felicity Friedman.</t>
  </si>
  <si>
    <t>Stephenson, Bruce.</t>
  </si>
  <si>
    <t>Cambridge ; New York : Cambridge University Press ; Chicago, IL : Adler Planetarium &amp; Astronomy Museum, 2000.</t>
  </si>
  <si>
    <t>2001-10-23</t>
  </si>
  <si>
    <t>837045670:eng</t>
  </si>
  <si>
    <t>44634367</t>
  </si>
  <si>
    <t>991003634939702656</t>
  </si>
  <si>
    <t>2257318750002656</t>
  </si>
  <si>
    <t>9780521791434</t>
  </si>
  <si>
    <t>32285004399118</t>
  </si>
  <si>
    <t>893598783</t>
  </si>
  <si>
    <t>QB860 .A76 1987</t>
  </si>
  <si>
    <t>0                      QB 0860000A  76          1987</t>
  </si>
  <si>
    <t>Quasars, redshifts, and controversies / Halton Arp.</t>
  </si>
  <si>
    <t>Arp, Halton C.</t>
  </si>
  <si>
    <t>Berkeley, CA : Interstellar Media, c1987.</t>
  </si>
  <si>
    <t>2008-04-12</t>
  </si>
  <si>
    <t>12304433:eng</t>
  </si>
  <si>
    <t>16669457</t>
  </si>
  <si>
    <t>991001128299702656</t>
  </si>
  <si>
    <t>2266825180002656</t>
  </si>
  <si>
    <t>9780941325004</t>
  </si>
  <si>
    <t>32285001434868</t>
  </si>
  <si>
    <t>893327896</t>
  </si>
  <si>
    <t>QB860 .K3 1968</t>
  </si>
  <si>
    <t>0                      QB 0860000K  3           1968</t>
  </si>
  <si>
    <t>Quasars : their importance in astronomy and physics / by F. D. Kahn and H. P. Palmer.</t>
  </si>
  <si>
    <t>Kahn, F. D. (Franz Daniel)</t>
  </si>
  <si>
    <t>Cambridge : Harvard University Press, 1968.</t>
  </si>
  <si>
    <t>[2d ed.]</t>
  </si>
  <si>
    <t>2236528:eng</t>
  </si>
  <si>
    <t>13533084</t>
  </si>
  <si>
    <t>991000843529702656</t>
  </si>
  <si>
    <t>2255713800002656</t>
  </si>
  <si>
    <t>32285000648575</t>
  </si>
  <si>
    <t>893509165</t>
  </si>
  <si>
    <t>QB88 .A6 1928</t>
  </si>
  <si>
    <t>0                      QB 0088000A  6           1928</t>
  </si>
  <si>
    <t>Amateur telescope making / Albert G. Ingalls, editor ; with a foreword by Dr. Harlow Shapley.</t>
  </si>
  <si>
    <t>[New York] : Scientific American publishing co., 1928.</t>
  </si>
  <si>
    <t>1993-08-16</t>
  </si>
  <si>
    <t>3768362142:eng</t>
  </si>
  <si>
    <t>15655377</t>
  </si>
  <si>
    <t>991001051499702656</t>
  </si>
  <si>
    <t>2267724040002656</t>
  </si>
  <si>
    <t>32285001751261</t>
  </si>
  <si>
    <t>893696421</t>
  </si>
  <si>
    <t>QB88 .A6 1945</t>
  </si>
  <si>
    <t>0                      QB 0088000A  6           1945</t>
  </si>
  <si>
    <t>Amateur telescope making : book one / Albert G. Ingalls, editor ; foreword by Harlow Shapley.</t>
  </si>
  <si>
    <t>New York : Scientific American, cl945 1959 printing.</t>
  </si>
  <si>
    <t>2004-10-25</t>
  </si>
  <si>
    <t>5522537855:eng</t>
  </si>
  <si>
    <t>6748565</t>
  </si>
  <si>
    <t>991005035129702656</t>
  </si>
  <si>
    <t>2270430070002656</t>
  </si>
  <si>
    <t>32285001432250</t>
  </si>
  <si>
    <t>893533058</t>
  </si>
  <si>
    <t>QB88 .A62 1946</t>
  </si>
  <si>
    <t>0                      QB 0088000A  62          1946</t>
  </si>
  <si>
    <t>Amateur telescope making, advanced (book two) : a sequel to Amateur telescope making (book one) / Albert G. Ingalls, editor ; A collection of contributions to amateur precision optics by numerous authorities.</t>
  </si>
  <si>
    <t>[New York] : Scientific American, c1946, 1980 printing.</t>
  </si>
  <si>
    <t>1946</t>
  </si>
  <si>
    <t>2008-05-20</t>
  </si>
  <si>
    <t>3980127733:eng</t>
  </si>
  <si>
    <t>7649250</t>
  </si>
  <si>
    <t>991005143419702656</t>
  </si>
  <si>
    <t>2261947510002656</t>
  </si>
  <si>
    <t>32285001432276</t>
  </si>
  <si>
    <t>893536409</t>
  </si>
  <si>
    <t>QB88 .A76</t>
  </si>
  <si>
    <t>0                      QB 0088000A  76</t>
  </si>
  <si>
    <t>Eyes on the universe : a history of the telescope / Isaac Asimov.</t>
  </si>
  <si>
    <t>Boston : Houghton Mifflin, 1975.</t>
  </si>
  <si>
    <t>1997-04-30</t>
  </si>
  <si>
    <t>347279381:eng</t>
  </si>
  <si>
    <t>1418798</t>
  </si>
  <si>
    <t>991003746709702656</t>
  </si>
  <si>
    <t>2261138630002656</t>
  </si>
  <si>
    <t>9780395207161</t>
  </si>
  <si>
    <t>32285002640018</t>
  </si>
  <si>
    <t>893441662</t>
  </si>
  <si>
    <t>QB88 .B37</t>
  </si>
  <si>
    <t>0                      QB 0088000B  37</t>
  </si>
  <si>
    <t>The astronomical telescope / Boris V. Barlow.</t>
  </si>
  <si>
    <t>Barlow, Boris V.</t>
  </si>
  <si>
    <t>London : Wykeham Publications ; New York : Springer-Verlag, 1975.</t>
  </si>
  <si>
    <t>The Wykeham science series ; 31</t>
  </si>
  <si>
    <t>2001-05-01</t>
  </si>
  <si>
    <t>2174487:eng</t>
  </si>
  <si>
    <t>1256164</t>
  </si>
  <si>
    <t>991003652539702656</t>
  </si>
  <si>
    <t>2258257810002656</t>
  </si>
  <si>
    <t>9780387911199</t>
  </si>
  <si>
    <t>32285002640026</t>
  </si>
  <si>
    <t>893410511</t>
  </si>
  <si>
    <t>QB88 .B4 1922</t>
  </si>
  <si>
    <t>0                      QB 0088000B  4           1922</t>
  </si>
  <si>
    <t>The telescope, by Louis Bell ...</t>
  </si>
  <si>
    <t>Bell, Louis, 1864-1923.</t>
  </si>
  <si>
    <t>New York [etc.] McGraw-Hill book company, inc., 1922.</t>
  </si>
  <si>
    <t>494705:eng</t>
  </si>
  <si>
    <t>399559</t>
  </si>
  <si>
    <t>991002684779702656</t>
  </si>
  <si>
    <t>2257827430002656</t>
  </si>
  <si>
    <t>32285002640034</t>
  </si>
  <si>
    <t>893716786</t>
  </si>
  <si>
    <t>QB88 .D5</t>
  </si>
  <si>
    <t>0                      QB 0088000D  5</t>
  </si>
  <si>
    <t>Telescopes and accessories, by George Z. Dimitroff and James G. Baker.</t>
  </si>
  <si>
    <t>Dimitroff, George Z. (George Zakharieff), 1901-</t>
  </si>
  <si>
    <t>Philadelphia, The Blakiston Company [1945]</t>
  </si>
  <si>
    <t>1818343:eng</t>
  </si>
  <si>
    <t>598561</t>
  </si>
  <si>
    <t>991003035589702656</t>
  </si>
  <si>
    <t>2271168080002656</t>
  </si>
  <si>
    <t>32285002640042</t>
  </si>
  <si>
    <t>893434592</t>
  </si>
  <si>
    <t>QB88 .I54 1985</t>
  </si>
  <si>
    <t>0                      QB 0088000I  54          1985</t>
  </si>
  <si>
    <t>Infinite vistas : new tools for astronomy / edited by James Cornell and John Carr.</t>
  </si>
  <si>
    <t>New York : Scribner, c1985.</t>
  </si>
  <si>
    <t>1994-02-21</t>
  </si>
  <si>
    <t>5207506:eng</t>
  </si>
  <si>
    <t>12238457</t>
  </si>
  <si>
    <t>991000661279702656</t>
  </si>
  <si>
    <t>2266705500002656</t>
  </si>
  <si>
    <t>9780684182872</t>
  </si>
  <si>
    <t>32285001432300</t>
  </si>
  <si>
    <t>893327478</t>
  </si>
  <si>
    <t>QB88 .K5 1955a</t>
  </si>
  <si>
    <t>0                      QB 0088000K  5           1955a</t>
  </si>
  <si>
    <t>The history of the telescope / with a foreword by Sir Harold Spencer Jones.</t>
  </si>
  <si>
    <t>King, Henry C.</t>
  </si>
  <si>
    <t>London : Griffin, [1955]</t>
  </si>
  <si>
    <t>1996-04-02</t>
  </si>
  <si>
    <t>1994-02-23</t>
  </si>
  <si>
    <t>494349:eng</t>
  </si>
  <si>
    <t>1383556</t>
  </si>
  <si>
    <t>991003731969702656</t>
  </si>
  <si>
    <t>2263966770002656</t>
  </si>
  <si>
    <t>32285001839629</t>
  </si>
  <si>
    <t>893868783</t>
  </si>
  <si>
    <t>QB88 .M85 1985</t>
  </si>
  <si>
    <t>0                      QB 0088000M  85          1985</t>
  </si>
  <si>
    <t>How to use an astronomical telescope : a beginner's guide to observing the cosmos / by James Muirden.</t>
  </si>
  <si>
    <t>Muirden, James.</t>
  </si>
  <si>
    <t>New York : Linden Press/Simon &amp; Schuster, 1985.</t>
  </si>
  <si>
    <t>4132275:eng</t>
  </si>
  <si>
    <t>11235687</t>
  </si>
  <si>
    <t>991000510559702656</t>
  </si>
  <si>
    <t>2259580250002656</t>
  </si>
  <si>
    <t>9780671477448</t>
  </si>
  <si>
    <t>32285001432318</t>
  </si>
  <si>
    <t>893890753</t>
  </si>
  <si>
    <t>QB88 .S88 2004</t>
  </si>
  <si>
    <t>0                      QB 0088000S  88          2004</t>
  </si>
  <si>
    <t>The Nexstar user's guide / Michael W. Swanson.</t>
  </si>
  <si>
    <t>Swanson, Michael W., 1963-</t>
  </si>
  <si>
    <t>London ; New York : Springer, c2004.</t>
  </si>
  <si>
    <t>Patrick Moore's practical astronomy series</t>
  </si>
  <si>
    <t>815704:eng</t>
  </si>
  <si>
    <t>52152350</t>
  </si>
  <si>
    <t>991005285279702656</t>
  </si>
  <si>
    <t>2259686770002656</t>
  </si>
  <si>
    <t>9781852337148</t>
  </si>
  <si>
    <t>32285005474282</t>
  </si>
  <si>
    <t>893783354</t>
  </si>
  <si>
    <t>QB88 .T83 1986</t>
  </si>
  <si>
    <t>0                      QB 0088000T  83          1986</t>
  </si>
  <si>
    <t>The cosmic inquirers : modern telescopes and their makers / Wallace Tucker, Karen Tucker.</t>
  </si>
  <si>
    <t>1994-02-11</t>
  </si>
  <si>
    <t>5212215:eng</t>
  </si>
  <si>
    <t>12582170</t>
  </si>
  <si>
    <t>991000710359702656</t>
  </si>
  <si>
    <t>2272286380002656</t>
  </si>
  <si>
    <t>9780674174351</t>
  </si>
  <si>
    <t>32285001432326</t>
  </si>
  <si>
    <t>893614432</t>
  </si>
  <si>
    <t>QB88 .W38 2005</t>
  </si>
  <si>
    <t>0                      QB 0088000W  38          2005</t>
  </si>
  <si>
    <t>Stargazer : the life and times of the telescope / Fred Watson.</t>
  </si>
  <si>
    <t>Watson, Fred, 1944-</t>
  </si>
  <si>
    <t>Cambridge, MA : Da Capo Press, 2005.</t>
  </si>
  <si>
    <t>1st Da Capo Press ed.</t>
  </si>
  <si>
    <t>2009-04-03</t>
  </si>
  <si>
    <t>2006-01-26</t>
  </si>
  <si>
    <t>87228:eng</t>
  </si>
  <si>
    <t>60821069</t>
  </si>
  <si>
    <t>991004719399702656</t>
  </si>
  <si>
    <t>2271181880002656</t>
  </si>
  <si>
    <t>9780306814327</t>
  </si>
  <si>
    <t>32285005156608</t>
  </si>
  <si>
    <t>893229748</t>
  </si>
  <si>
    <t>QB980 .B54 1984</t>
  </si>
  <si>
    <t>0                      QB 0980000B  54          1984</t>
  </si>
  <si>
    <t>The Big bang and Georges Lemaître : proceedings of a symposium in honour of G. Lemaître fifty years after his initiation of big-bang cosmology, Louvain-la-Neuve, Belgium, 10-13 October 1983 / edited by A. Berger.</t>
  </si>
  <si>
    <t>Dordrecht ; Boston : D. Reidel Pub. Co. ; Hingham, MA : Sold and distributed in the U.S.A. and Canada by Kluwer Academic Publishers, c1984.</t>
  </si>
  <si>
    <t>1996-04-16</t>
  </si>
  <si>
    <t>836675539:eng</t>
  </si>
  <si>
    <t>11089944</t>
  </si>
  <si>
    <t>991000487709702656</t>
  </si>
  <si>
    <t>2265170400002656</t>
  </si>
  <si>
    <t>9789027718488</t>
  </si>
  <si>
    <t>32285001434926</t>
  </si>
  <si>
    <t>893333515</t>
  </si>
  <si>
    <t>QB980 .N37 1986</t>
  </si>
  <si>
    <t>0                      QB 0980000N  37          1986</t>
  </si>
  <si>
    <t>Gauge theory and the early universe / edited by P. Galeotti and David N. Schramm.</t>
  </si>
  <si>
    <t>NATO Advanced Study Institute on Gauge Theory and the Early Universe (1986 : Erice, Italy)</t>
  </si>
  <si>
    <t>Dordrecht ; Boston : Kluwer Academic Publishers, 1988.</t>
  </si>
  <si>
    <t>NATO ASI series. Series C, Mathematical and physical sciences ; vol. 248</t>
  </si>
  <si>
    <t>2007-04-10</t>
  </si>
  <si>
    <t>1991-03-06</t>
  </si>
  <si>
    <t>499433280:eng</t>
  </si>
  <si>
    <t>18464174</t>
  </si>
  <si>
    <t>991001354969702656</t>
  </si>
  <si>
    <t>2268889450002656</t>
  </si>
  <si>
    <t>9789027728050</t>
  </si>
  <si>
    <t>32285000493238</t>
  </si>
  <si>
    <t>893321857</t>
  </si>
  <si>
    <t>QB980 .V46 1983</t>
  </si>
  <si>
    <t>0                      QB 0980000V  46          1983</t>
  </si>
  <si>
    <t>The Very early universe : proceedings of the Nuffield workshop, Cambridge, 21 June to 9 July, 1982 / edited by G.W. Gibbons and S.W. Hawking and S.T.C. Siklos.</t>
  </si>
  <si>
    <t>Cambridge [Cambridgeshire] ; New York : Cambridge University Press, 1983.</t>
  </si>
  <si>
    <t>2003-02-26</t>
  </si>
  <si>
    <t>836723881:eng</t>
  </si>
  <si>
    <t>9488764</t>
  </si>
  <si>
    <t>991000205369702656</t>
  </si>
  <si>
    <t>2259156260002656</t>
  </si>
  <si>
    <t>9780521253499</t>
  </si>
  <si>
    <t>32285001434942</t>
  </si>
  <si>
    <t>893413182</t>
  </si>
  <si>
    <t>QB981 .A45</t>
  </si>
  <si>
    <t>0                      QB 0981000A  45</t>
  </si>
  <si>
    <t>Synthesis &amp; abundances of the elements; selected reprints.</t>
  </si>
  <si>
    <t>New York, Published for the American Association of Physics Teachers by the American Institute of Physics [1967?]</t>
  </si>
  <si>
    <t>2007-11-09</t>
  </si>
  <si>
    <t>1790887:eng</t>
  </si>
  <si>
    <t>645410</t>
  </si>
  <si>
    <t>991003095849702656</t>
  </si>
  <si>
    <t>2259785850002656</t>
  </si>
  <si>
    <t>32285002643020</t>
  </si>
  <si>
    <t>893805425</t>
  </si>
  <si>
    <t>QB981 .A5513</t>
  </si>
  <si>
    <t>0                      QB 0981000A  5513</t>
  </si>
  <si>
    <t>Worlds-antiworlds; antimatter in cosmology.</t>
  </si>
  <si>
    <t>Alfvén, Hannes, 1908-1995.</t>
  </si>
  <si>
    <t>San Francisco, W. H. Freeman [1966]</t>
  </si>
  <si>
    <t>364449615:eng</t>
  </si>
  <si>
    <t>2120750</t>
  </si>
  <si>
    <t>991004020109702656</t>
  </si>
  <si>
    <t>2269392590002656</t>
  </si>
  <si>
    <t>32285002643038</t>
  </si>
  <si>
    <t>893331116</t>
  </si>
  <si>
    <t>QB981 .A95 1981</t>
  </si>
  <si>
    <t>0                      QB 0981000A  95          1981</t>
  </si>
  <si>
    <t>The creation / P.W. Atkins.</t>
  </si>
  <si>
    <t>Atkins, P. W. (Peter William), 1940-</t>
  </si>
  <si>
    <t>Oxford ; San Francisco : W.H. Freeman, c1981.</t>
  </si>
  <si>
    <t>1996-03-27</t>
  </si>
  <si>
    <t>3943302443:eng</t>
  </si>
  <si>
    <t>7574173</t>
  </si>
  <si>
    <t>991005133059702656</t>
  </si>
  <si>
    <t>2271053930002656</t>
  </si>
  <si>
    <t>9780716713500</t>
  </si>
  <si>
    <t>32285001434967</t>
  </si>
  <si>
    <t>893437213</t>
  </si>
  <si>
    <t>QB981 .A96 1992</t>
  </si>
  <si>
    <t>0                      QB 0981000A  96          1992</t>
  </si>
  <si>
    <t>Creation revisited / P.W. Atkins.</t>
  </si>
  <si>
    <t>Oxford ; New York : W.H. Freeman, c1992.</t>
  </si>
  <si>
    <t>2009-05-01</t>
  </si>
  <si>
    <t>24132027:eng</t>
  </si>
  <si>
    <t>26161299</t>
  </si>
  <si>
    <t>991002050499702656</t>
  </si>
  <si>
    <t>2271737810002656</t>
  </si>
  <si>
    <t>9780716745006</t>
  </si>
  <si>
    <t>32285001813384</t>
  </si>
  <si>
    <t>893439716</t>
  </si>
  <si>
    <t>QB981 .A99 1992</t>
  </si>
  <si>
    <t>0                      QB 0981000A  99          1992</t>
  </si>
  <si>
    <t>Conversing with the planets : how science and myth invented the cosmos / Anthony Aveni.</t>
  </si>
  <si>
    <t>New York : Times Books, c1992.</t>
  </si>
  <si>
    <t>2004-10-27</t>
  </si>
  <si>
    <t>1031875:eng</t>
  </si>
  <si>
    <t>25283224</t>
  </si>
  <si>
    <t>991001991299702656</t>
  </si>
  <si>
    <t>2272399130002656</t>
  </si>
  <si>
    <t>9780812919752</t>
  </si>
  <si>
    <t>32285001727121</t>
  </si>
  <si>
    <t>893226318</t>
  </si>
  <si>
    <t>QB981 .B2795 1983</t>
  </si>
  <si>
    <t>0                      QB 0981000B  2795        1983</t>
  </si>
  <si>
    <t>The left hand of creation : the origin and evolution of the expanding universe / John D. Barrow, Joseph Silk.</t>
  </si>
  <si>
    <t>Barrow, John D., 1952-</t>
  </si>
  <si>
    <t>328058:eng</t>
  </si>
  <si>
    <t>9784264</t>
  </si>
  <si>
    <t>991005403269702656</t>
  </si>
  <si>
    <t>2268680760002656</t>
  </si>
  <si>
    <t>9780465038954</t>
  </si>
  <si>
    <t>32285001434975</t>
  </si>
  <si>
    <t>893628756</t>
  </si>
  <si>
    <t>QB981 .B2798 1994</t>
  </si>
  <si>
    <t>0                      QB 0981000B  2798        1994</t>
  </si>
  <si>
    <t>The origin of the universe / John D. Barrow.</t>
  </si>
  <si>
    <t>New York : BasicBooks, c1994.</t>
  </si>
  <si>
    <t>Science masters series</t>
  </si>
  <si>
    <t>1995-02-22</t>
  </si>
  <si>
    <t>20956002:eng</t>
  </si>
  <si>
    <t>29913158</t>
  </si>
  <si>
    <t>991002307179702656</t>
  </si>
  <si>
    <t>2255688640002656</t>
  </si>
  <si>
    <t>9780465053544</t>
  </si>
  <si>
    <t>32285002000023</t>
  </si>
  <si>
    <t>893497955</t>
  </si>
  <si>
    <t>QB981 .B54</t>
  </si>
  <si>
    <t>0                      QB 0981000B  54</t>
  </si>
  <si>
    <t>Principles of cosmology and gravitation / Michael Berry.</t>
  </si>
  <si>
    <t>Berry, Michael V.</t>
  </si>
  <si>
    <t>Cambridge [Eng.] ; New York : Cambridge University Press, 1976.</t>
  </si>
  <si>
    <t>32405:eng</t>
  </si>
  <si>
    <t>1958138</t>
  </si>
  <si>
    <t>991003951129702656</t>
  </si>
  <si>
    <t>2262951240002656</t>
  </si>
  <si>
    <t>9780521210614</t>
  </si>
  <si>
    <t>32285002643053</t>
  </si>
  <si>
    <t>893535733</t>
  </si>
  <si>
    <t>QB981 .B7 1961</t>
  </si>
  <si>
    <t>0                      QB 0981000B  7           1961</t>
  </si>
  <si>
    <t>Cosmology.</t>
  </si>
  <si>
    <t>Bondi, Hermann.</t>
  </si>
  <si>
    <t>Cambridge [Eng.] University Press, 1961.</t>
  </si>
  <si>
    <t>2005-08-02</t>
  </si>
  <si>
    <t>1407507:eng</t>
  </si>
  <si>
    <t>1442236</t>
  </si>
  <si>
    <t>991003758509702656</t>
  </si>
  <si>
    <t>2256593070002656</t>
  </si>
  <si>
    <t>32285002643061</t>
  </si>
  <si>
    <t>893441678</t>
  </si>
  <si>
    <t>QB981 .B725 1988</t>
  </si>
  <si>
    <t>0                      QB 0981000B  725         1988</t>
  </si>
  <si>
    <t>The early universe : facts and fiction / G. Börner.</t>
  </si>
  <si>
    <t>Börner, G. (Gerhard), 1941-</t>
  </si>
  <si>
    <t>Berlin ; New York : Springer-Verlag, c1988.</t>
  </si>
  <si>
    <t>Texts and monographs in physics</t>
  </si>
  <si>
    <t>2005-03-22</t>
  </si>
  <si>
    <t>1990-07-16</t>
  </si>
  <si>
    <t>335392:eng</t>
  </si>
  <si>
    <t>17674858</t>
  </si>
  <si>
    <t>991001249989702656</t>
  </si>
  <si>
    <t>2263673810002656</t>
  </si>
  <si>
    <t>9780387161877</t>
  </si>
  <si>
    <t>32285000208594</t>
  </si>
  <si>
    <t>893590147</t>
  </si>
  <si>
    <t>QB981 .B7269 1992</t>
  </si>
  <si>
    <t>0                      QB 0981000B  7269        1992</t>
  </si>
  <si>
    <t>Masters of time : cosmology at the end of innocence / John Boslough ; illustrations by Wendy W. Cortesi.</t>
  </si>
  <si>
    <t>Boslough, John.</t>
  </si>
  <si>
    <t>Reading, Mass. : Addison-Wesley Pub. Co., c1992.</t>
  </si>
  <si>
    <t>1996-09-11</t>
  </si>
  <si>
    <t>1993-08-12</t>
  </si>
  <si>
    <t>905769972:eng</t>
  </si>
  <si>
    <t>24671889</t>
  </si>
  <si>
    <t>991001952199702656</t>
  </si>
  <si>
    <t>2270332910002656</t>
  </si>
  <si>
    <t>9780201577914</t>
  </si>
  <si>
    <t>32285001726289</t>
  </si>
  <si>
    <t>893523015</t>
  </si>
  <si>
    <t>QB981 .B7274 1998</t>
  </si>
  <si>
    <t>0                      QB 0981000B  7274        1998</t>
  </si>
  <si>
    <t>Modern cosmological observations and problems / by Greg Bothun.</t>
  </si>
  <si>
    <t>Bothun, Greg.</t>
  </si>
  <si>
    <t>London ; Bristol, Pa. : Taylor &amp; Francis, c1998.</t>
  </si>
  <si>
    <t>1999-10-27</t>
  </si>
  <si>
    <t>584043:eng</t>
  </si>
  <si>
    <t>39106078</t>
  </si>
  <si>
    <t>991002939239702656</t>
  </si>
  <si>
    <t>2262256170002656</t>
  </si>
  <si>
    <t>9780748403325</t>
  </si>
  <si>
    <t>32285003614426</t>
  </si>
  <si>
    <t>893698460</t>
  </si>
  <si>
    <t>QB981 .C4</t>
  </si>
  <si>
    <t>0                      QB 0981000C  4</t>
  </si>
  <si>
    <t>Cosmic dawn : the origins of matter and life / Eric Chaisson ; illustrated by Lola Judith Chaisson.</t>
  </si>
  <si>
    <t>Chaisson, Eric.</t>
  </si>
  <si>
    <t>Boston : Little, Brown, c1981.</t>
  </si>
  <si>
    <t>1994-10-01</t>
  </si>
  <si>
    <t>4164028288:eng</t>
  </si>
  <si>
    <t>7170243</t>
  </si>
  <si>
    <t>991005079759702656</t>
  </si>
  <si>
    <t>2256640040002656</t>
  </si>
  <si>
    <t>9780316135900</t>
  </si>
  <si>
    <t>32285001450013</t>
  </si>
  <si>
    <t>893600583</t>
  </si>
  <si>
    <t>QB981 .C412 2001</t>
  </si>
  <si>
    <t>0                      QB 0981000C  412         2001</t>
  </si>
  <si>
    <t>Cosmic evolution : the rise of complexity in nature / Eric J. Chaisson.</t>
  </si>
  <si>
    <t>2004-10-13</t>
  </si>
  <si>
    <t>2001-07-10</t>
  </si>
  <si>
    <t>235211326:eng</t>
  </si>
  <si>
    <t>44613085</t>
  </si>
  <si>
    <t>991003537389702656</t>
  </si>
  <si>
    <t>2260685550002656</t>
  </si>
  <si>
    <t>9780674003422</t>
  </si>
  <si>
    <t>32285004331004</t>
  </si>
  <si>
    <t>893881270</t>
  </si>
  <si>
    <t>QB981 .C62</t>
  </si>
  <si>
    <t>0                      QB 0981000C  62</t>
  </si>
  <si>
    <t>The dark night sky : a personal adventure in cosmology / Donald D. Clayton.</t>
  </si>
  <si>
    <t>Clayton, Donald D.</t>
  </si>
  <si>
    <t>New York : Quadrangle/New York Times Book Co., [1975]</t>
  </si>
  <si>
    <t>2006-12-22</t>
  </si>
  <si>
    <t>293734477:eng</t>
  </si>
  <si>
    <t>1500072</t>
  </si>
  <si>
    <t>991003784449702656</t>
  </si>
  <si>
    <t>2260428490002656</t>
  </si>
  <si>
    <t>9780812905854</t>
  </si>
  <si>
    <t>32285002643087</t>
  </si>
  <si>
    <t>893881536</t>
  </si>
  <si>
    <t>QB981 .C79 1991</t>
  </si>
  <si>
    <t>0                      QB 0981000C  79          1991</t>
  </si>
  <si>
    <t>Cosmology and particle physics / edited by David Lindley, Edward W. Kolb, David N. Schramm.</t>
  </si>
  <si>
    <t>College Park, MD : American Association of Physics Teachers, c1991.</t>
  </si>
  <si>
    <t>1996-02-01</t>
  </si>
  <si>
    <t>55542645:eng</t>
  </si>
  <si>
    <t>25150204</t>
  </si>
  <si>
    <t>991001981439702656</t>
  </si>
  <si>
    <t>2264998080002656</t>
  </si>
  <si>
    <t>9780917853425</t>
  </si>
  <si>
    <t>32285001400315</t>
  </si>
  <si>
    <t>893534777</t>
  </si>
  <si>
    <t>QB981 .C818</t>
  </si>
  <si>
    <t>0                      QB 0981000C  818</t>
  </si>
  <si>
    <t>Cosmologie physique = Physical cosmology / édité par Jean Audouze, Roger Balian, David N. Schramm.</t>
  </si>
  <si>
    <t>Amsterdam ; New York : North Holland Pub. Co. ; New York : sole distributors for the USA and Canada, Elsevier North-Holland, 1980.</t>
  </si>
  <si>
    <t>2005-04-05</t>
  </si>
  <si>
    <t>1017087152:eng</t>
  </si>
  <si>
    <t>6379015</t>
  </si>
  <si>
    <t>991004974519702656</t>
  </si>
  <si>
    <t>2270732430002656</t>
  </si>
  <si>
    <t>9780444854339</t>
  </si>
  <si>
    <t>32285001450054</t>
  </si>
  <si>
    <t>893242034</t>
  </si>
  <si>
    <t>QB981 .C82</t>
  </si>
  <si>
    <t>0                      QB 0981000C  82</t>
  </si>
  <si>
    <t>Cosmology, history, and theology / edited by Wolfgang Yourgrau, Allen D. Breck ; contributors, Hannes O. Alfvén ... [et al.].</t>
  </si>
  <si>
    <t>New York : Plenum Press, c1977.</t>
  </si>
  <si>
    <t>2002-09-11</t>
  </si>
  <si>
    <t>1997-07-09</t>
  </si>
  <si>
    <t>347111271:eng</t>
  </si>
  <si>
    <t>2597346</t>
  </si>
  <si>
    <t>991004177059702656</t>
  </si>
  <si>
    <t>2268578880002656</t>
  </si>
  <si>
    <t>9780306309403</t>
  </si>
  <si>
    <t>32285002897444</t>
  </si>
  <si>
    <t>893800684</t>
  </si>
  <si>
    <t>QB981 .C884 2001</t>
  </si>
  <si>
    <t>0                      QB 0981000C  884         2001</t>
  </si>
  <si>
    <t>The universe at midnight : observations illuminating the cosmos / Ken Croswell.</t>
  </si>
  <si>
    <t>Croswell, Ken.</t>
  </si>
  <si>
    <t>New York : Free Press, c2001.</t>
  </si>
  <si>
    <t>2007-11-14</t>
  </si>
  <si>
    <t>2003-11-13</t>
  </si>
  <si>
    <t>20811057:eng</t>
  </si>
  <si>
    <t>47073310</t>
  </si>
  <si>
    <t>991004163009702656</t>
  </si>
  <si>
    <t>2257534320002656</t>
  </si>
  <si>
    <t>9780684859316</t>
  </si>
  <si>
    <t>32285004797063</t>
  </si>
  <si>
    <t>893712228</t>
  </si>
  <si>
    <t>QB981 .D275 2001</t>
  </si>
  <si>
    <t>0                      QB 0981000D  275         2001</t>
  </si>
  <si>
    <t>Don't know much about the universe : everything you need to know about the cosmos but never learned / Kenneth C. Davis.</t>
  </si>
  <si>
    <t>Davis, Kenneth C.</t>
  </si>
  <si>
    <t>New York : HarperCollins, 2001.</t>
  </si>
  <si>
    <t>Don't know much about series.</t>
  </si>
  <si>
    <t>2006-10-16</t>
  </si>
  <si>
    <t>2002-04-18</t>
  </si>
  <si>
    <t>2864284464:eng</t>
  </si>
  <si>
    <t>46812091</t>
  </si>
  <si>
    <t>991003794539702656</t>
  </si>
  <si>
    <t>2261324500002656</t>
  </si>
  <si>
    <t>9780060194598</t>
  </si>
  <si>
    <t>32285004481650</t>
  </si>
  <si>
    <t>893499718</t>
  </si>
  <si>
    <t>QB981 .D4313 1998</t>
  </si>
  <si>
    <t>0                      QB 0981000D  4313        1998</t>
  </si>
  <si>
    <t>Our cosmic origins : from the Big Bang to the emergence of life and intelligence / Armand Delsemme ; [foreword by Christian de Duve].</t>
  </si>
  <si>
    <t>Delsemme, A. H.</t>
  </si>
  <si>
    <t>1998-08-04</t>
  </si>
  <si>
    <t>47353:eng</t>
  </si>
  <si>
    <t>37451824</t>
  </si>
  <si>
    <t>991002842739702656</t>
  </si>
  <si>
    <t>2260347820002656</t>
  </si>
  <si>
    <t>9780521620383</t>
  </si>
  <si>
    <t>32285003448825</t>
  </si>
  <si>
    <t>893504892</t>
  </si>
  <si>
    <t>QB981 .D89 1983</t>
  </si>
  <si>
    <t>0                      QB 0981000D  89          1983</t>
  </si>
  <si>
    <t>Frame of the universe : a history of physical cosmology / Frank Durham, Robert D. Purrington.</t>
  </si>
  <si>
    <t>Durham, Frank, 1935-</t>
  </si>
  <si>
    <t>New York : Columbia University Press, 1983.</t>
  </si>
  <si>
    <t>1996-10-20</t>
  </si>
  <si>
    <t>918626038:eng</t>
  </si>
  <si>
    <t>8689434</t>
  </si>
  <si>
    <t>991000052229702656</t>
  </si>
  <si>
    <t>2272021350002656</t>
  </si>
  <si>
    <t>9780231053921</t>
  </si>
  <si>
    <t>32285001450088</t>
  </si>
  <si>
    <t>893683118</t>
  </si>
  <si>
    <t>QB981 .E58 1988</t>
  </si>
  <si>
    <t>0                      QB 0981000E  58          1988</t>
  </si>
  <si>
    <t>The scientific companion : exploring the physical world with facts, figures, and formulas / Cesare Emiliani.</t>
  </si>
  <si>
    <t>1994-01-29</t>
  </si>
  <si>
    <t>1991-04-17</t>
  </si>
  <si>
    <t>836968830:eng</t>
  </si>
  <si>
    <t>15793300</t>
  </si>
  <si>
    <t>991001065699702656</t>
  </si>
  <si>
    <t>2261157300002656</t>
  </si>
  <si>
    <t>9780471624837</t>
  </si>
  <si>
    <t>32285000568559</t>
  </si>
  <si>
    <t>893432571</t>
  </si>
  <si>
    <t>QB981 .F175 2002</t>
  </si>
  <si>
    <t>0                      QB 0981000F  175         2002</t>
  </si>
  <si>
    <t>The far-future universe : eschatology from a cosmic perspective / edited by George F.R. Ellis.</t>
  </si>
  <si>
    <t>Philadelphia : Templeton Foundation Press, c2002.</t>
  </si>
  <si>
    <t>2006-03-06</t>
  </si>
  <si>
    <t>510490079:eng</t>
  </si>
  <si>
    <t>49260974</t>
  </si>
  <si>
    <t>991004728009702656</t>
  </si>
  <si>
    <t>2254720410002656</t>
  </si>
  <si>
    <t>9781890151904</t>
  </si>
  <si>
    <t>32285005162978</t>
  </si>
  <si>
    <t>893446363</t>
  </si>
  <si>
    <t>QB981 .F38 1997</t>
  </si>
  <si>
    <t>0                      QB 0981000F  38          1997</t>
  </si>
  <si>
    <t>The whole shebang : a state-of-the-universe(s) report / Timothy Ferris.</t>
  </si>
  <si>
    <t>New York : Simon &amp; Schuster, c1997.</t>
  </si>
  <si>
    <t>2005-03-23</t>
  </si>
  <si>
    <t>1997-05-12</t>
  </si>
  <si>
    <t>796320177:eng</t>
  </si>
  <si>
    <t>35990287</t>
  </si>
  <si>
    <t>991002740739702656</t>
  </si>
  <si>
    <t>2264399830002656</t>
  </si>
  <si>
    <t>9780684810201</t>
  </si>
  <si>
    <t>32285002607066</t>
  </si>
  <si>
    <t>893603955</t>
  </si>
  <si>
    <t>QB981 .F7413 1984</t>
  </si>
  <si>
    <t>0                      QB 0981000F  7413        1984</t>
  </si>
  <si>
    <t>The creation of matter : the universe from beginning to end / Harald Fritzsch ; translated by Jean Steinberg.</t>
  </si>
  <si>
    <t>Fritzsch, Harald, 1943-</t>
  </si>
  <si>
    <t>New York : Basic Books, c1984.</t>
  </si>
  <si>
    <t>1994-04-02</t>
  </si>
  <si>
    <t>3768423650:eng</t>
  </si>
  <si>
    <t>11523835</t>
  </si>
  <si>
    <t>991000548849702656</t>
  </si>
  <si>
    <t>2268226220002656</t>
  </si>
  <si>
    <t>9780465014460</t>
  </si>
  <si>
    <t>32285001450104</t>
  </si>
  <si>
    <t>893871776</t>
  </si>
  <si>
    <t>QB981 .G3 1961</t>
  </si>
  <si>
    <t>0                      QB 0981000G  3           1961</t>
  </si>
  <si>
    <t>The creation of the universe.</t>
  </si>
  <si>
    <t>New York : Viking Press, [1961]</t>
  </si>
  <si>
    <t>1994-05-06</t>
  </si>
  <si>
    <t>3768745571:eng</t>
  </si>
  <si>
    <t>530555</t>
  </si>
  <si>
    <t>991002929809702656</t>
  </si>
  <si>
    <t>2266598970002656</t>
  </si>
  <si>
    <t>32285001907681</t>
  </si>
  <si>
    <t>893710855</t>
  </si>
  <si>
    <t>QB981 .G57413 2002</t>
  </si>
  <si>
    <t>0                      QB 0981000G  57413       2002</t>
  </si>
  <si>
    <t>The prophet and the astronomer : a scientific journey to the end of time / by Marcelo Gleiser.</t>
  </si>
  <si>
    <t>Gleiser, Marcelo.</t>
  </si>
  <si>
    <t>New York : W.W. Norton, c2002.</t>
  </si>
  <si>
    <t>2002-07-02</t>
  </si>
  <si>
    <t>2002-06-27</t>
  </si>
  <si>
    <t>844396:eng</t>
  </si>
  <si>
    <t>48811197</t>
  </si>
  <si>
    <t>991003823939702656</t>
  </si>
  <si>
    <t>2268290040002656</t>
  </si>
  <si>
    <t>9780393049879</t>
  </si>
  <si>
    <t>32285004495999</t>
  </si>
  <si>
    <t>893234638</t>
  </si>
  <si>
    <t>QB981 .G594 1995</t>
  </si>
  <si>
    <t>0                      QB 0981000G  594         1995</t>
  </si>
  <si>
    <t>Einstein's greatest blunder? : the cosmological constant and other fudge factors in the physics of the Universe / Donald Goldsmith.</t>
  </si>
  <si>
    <t>Cambridge, Mass. : Harvard University Press, 1995.</t>
  </si>
  <si>
    <t>1996-04-10</t>
  </si>
  <si>
    <t>836943205:eng</t>
  </si>
  <si>
    <t>32347251</t>
  </si>
  <si>
    <t>991002484629702656</t>
  </si>
  <si>
    <t>2261012370002656</t>
  </si>
  <si>
    <t>9780674242418</t>
  </si>
  <si>
    <t>32285002151149</t>
  </si>
  <si>
    <t>893616184</t>
  </si>
  <si>
    <t>QB981 .G597 1999</t>
  </si>
  <si>
    <t>0                      QB 0981000G  597         1999</t>
  </si>
  <si>
    <t>The runaway universe : the race to find the future of the cosmos / Donald Goldsmith.</t>
  </si>
  <si>
    <t>Cambridge, Mass. : Perseus Books, 1999, c2000.</t>
  </si>
  <si>
    <t>2010-11-29</t>
  </si>
  <si>
    <t>2000-02-14</t>
  </si>
  <si>
    <t>802545999:eng</t>
  </si>
  <si>
    <t>43336503</t>
  </si>
  <si>
    <t>991003052519702656</t>
  </si>
  <si>
    <t>2272410680002656</t>
  </si>
  <si>
    <t>9780738200682</t>
  </si>
  <si>
    <t>32285003661773</t>
  </si>
  <si>
    <t>893434608</t>
  </si>
  <si>
    <t>QB981 .G664 1994</t>
  </si>
  <si>
    <t>0                      QB 0981000G  664         1994</t>
  </si>
  <si>
    <t>Planets, stars, and orbs : the medieval cosmos, 1200-1687 / Edward Grant.</t>
  </si>
  <si>
    <t>Grant, Edward, 1926-</t>
  </si>
  <si>
    <t>Cambridge [England] ; New York : Cambridge University Press, 1994.</t>
  </si>
  <si>
    <t>1999-10-25</t>
  </si>
  <si>
    <t>1994-06-28</t>
  </si>
  <si>
    <t>807498847:eng</t>
  </si>
  <si>
    <t>28376647</t>
  </si>
  <si>
    <t>991002205649702656</t>
  </si>
  <si>
    <t>2256893310002656</t>
  </si>
  <si>
    <t>9780521433440</t>
  </si>
  <si>
    <t>32285001924678</t>
  </si>
  <si>
    <t>893597141</t>
  </si>
  <si>
    <t>QB981 .G746 1988</t>
  </si>
  <si>
    <t>0                      QB 0981000G  746         1988</t>
  </si>
  <si>
    <t>The symbiotic universe : life and mind in the cosmos / George Greenstein ; illustrations by Dolores R. Santoliquido.</t>
  </si>
  <si>
    <t>Greenstein, George, 1940-</t>
  </si>
  <si>
    <t>New York : Morrow, c1988.</t>
  </si>
  <si>
    <t>1996-02-25</t>
  </si>
  <si>
    <t>196620885:eng</t>
  </si>
  <si>
    <t>16224995</t>
  </si>
  <si>
    <t>991001091729702656</t>
  </si>
  <si>
    <t>2268210050002656</t>
  </si>
  <si>
    <t>9780688076047</t>
  </si>
  <si>
    <t>32285001108397</t>
  </si>
  <si>
    <t>893528652</t>
  </si>
  <si>
    <t>QB981 .G755 1991</t>
  </si>
  <si>
    <t>0                      QB 0981000G  755         1991</t>
  </si>
  <si>
    <t>Cosmic coincidences : dark matter, mankind and anthropic cosmology / John Gribbin &amp; Martin Rees.</t>
  </si>
  <si>
    <t>London : Black Swan, 1991.</t>
  </si>
  <si>
    <t>2007-11-17</t>
  </si>
  <si>
    <t>11303706:eng</t>
  </si>
  <si>
    <t>24719926</t>
  </si>
  <si>
    <t>991001955209702656</t>
  </si>
  <si>
    <t>2269769250002656</t>
  </si>
  <si>
    <t>9780552994439</t>
  </si>
  <si>
    <t>32285001446870</t>
  </si>
  <si>
    <t>893352081</t>
  </si>
  <si>
    <t>QB981 .H27 1997</t>
  </si>
  <si>
    <t>0                      QB 0981000H  27          1997</t>
  </si>
  <si>
    <t>The structure of the universe / Paul Halpern ; foreword by Bruce Gregory.</t>
  </si>
  <si>
    <t>Halpern, Paul, 1961-</t>
  </si>
  <si>
    <t>New York : H. Holt and Co., 1997.</t>
  </si>
  <si>
    <t>A scientific American focus book</t>
  </si>
  <si>
    <t>1997-07-07</t>
  </si>
  <si>
    <t>1997-06-18</t>
  </si>
  <si>
    <t>34954446:eng</t>
  </si>
  <si>
    <t>35318981</t>
  </si>
  <si>
    <t>991002705799702656</t>
  </si>
  <si>
    <t>2256708960002656</t>
  </si>
  <si>
    <t>9780805040289</t>
  </si>
  <si>
    <t>32285002752367</t>
  </si>
  <si>
    <t>893347825</t>
  </si>
  <si>
    <t>QB981 .H4513 1982</t>
  </si>
  <si>
    <t>0                      QB 0981000H  4513        1982</t>
  </si>
  <si>
    <t>Encountering the universe / Michael Heller ; translated by A. Potocki ; edited by George W. Collins.</t>
  </si>
  <si>
    <t>Heller, Michał.</t>
  </si>
  <si>
    <t>Tucson, Ariz. : Pachart Pub. House, c1982.</t>
  </si>
  <si>
    <t>The astronomy quarterly library ; 2</t>
  </si>
  <si>
    <t>1999-08-09</t>
  </si>
  <si>
    <t>905751425:eng</t>
  </si>
  <si>
    <t>9323022</t>
  </si>
  <si>
    <t>991000169589702656</t>
  </si>
  <si>
    <t>2257855840002656</t>
  </si>
  <si>
    <t>9780912918075</t>
  </si>
  <si>
    <t>32285000240225</t>
  </si>
  <si>
    <t>893896674</t>
  </si>
  <si>
    <t>QB981 .H46 1996</t>
  </si>
  <si>
    <t>0                      QB 0981000H  46          1996</t>
  </si>
  <si>
    <t>Lemaître, big bang, and the quantum universe : with his original manuscript / Michael Heller.</t>
  </si>
  <si>
    <t>Tucson : Pachart Publishing House, c1996.</t>
  </si>
  <si>
    <t>Pachart history of astronomy series ; v. 10</t>
  </si>
  <si>
    <t>1997-06-10</t>
  </si>
  <si>
    <t>140899706:eng</t>
  </si>
  <si>
    <t>35446655</t>
  </si>
  <si>
    <t>991002708749702656</t>
  </si>
  <si>
    <t>2268412680002656</t>
  </si>
  <si>
    <t>9780881262858</t>
  </si>
  <si>
    <t>32285002751369</t>
  </si>
  <si>
    <t>893445315</t>
  </si>
  <si>
    <t>QB981 .H685 1998</t>
  </si>
  <si>
    <t>0                      QB 0981000H  685         1998</t>
  </si>
  <si>
    <t>The little book of the big bang : a cosmic primer / Craig J. Hogan ; with a foreword by Martin Rees.</t>
  </si>
  <si>
    <t>Hogan, Craig J.</t>
  </si>
  <si>
    <t>New York, NY : Copernicus, c1998.</t>
  </si>
  <si>
    <t>52982336:eng</t>
  </si>
  <si>
    <t>37947572</t>
  </si>
  <si>
    <t>991002879539702656</t>
  </si>
  <si>
    <t>2268295620002656</t>
  </si>
  <si>
    <t>9780387983851</t>
  </si>
  <si>
    <t>32285003454021</t>
  </si>
  <si>
    <t>893710786</t>
  </si>
  <si>
    <t>QB981 .J23 1987</t>
  </si>
  <si>
    <t>0                      QB 0981000J  23          1987</t>
  </si>
  <si>
    <t>Life in the universe / Francis Jackson and Patrick Moore.</t>
  </si>
  <si>
    <t>Jackson, Francis, 1922-</t>
  </si>
  <si>
    <t>London : Routledge &amp; Kegan Paul, 1987.</t>
  </si>
  <si>
    <t>1996-10-03</t>
  </si>
  <si>
    <t>2144471:eng</t>
  </si>
  <si>
    <t>16089887</t>
  </si>
  <si>
    <t>991001082239702656</t>
  </si>
  <si>
    <t>2255456640002656</t>
  </si>
  <si>
    <t>9780710209481</t>
  </si>
  <si>
    <t>32285001450153</t>
  </si>
  <si>
    <t>893865946</t>
  </si>
  <si>
    <t>QB981 .K3</t>
  </si>
  <si>
    <t>0                      QB 0981000K  3</t>
  </si>
  <si>
    <t>Relativity and cosmology [by] William J. Kaufmann, III.</t>
  </si>
  <si>
    <t>New York, Harper &amp; Row [1973]</t>
  </si>
  <si>
    <t>1998-10-26</t>
  </si>
  <si>
    <t>403594:eng</t>
  </si>
  <si>
    <t>658036</t>
  </si>
  <si>
    <t>991003112969702656</t>
  </si>
  <si>
    <t>2260084050002656</t>
  </si>
  <si>
    <t>9780060435684</t>
  </si>
  <si>
    <t>32285002643160</t>
  </si>
  <si>
    <t>893874443</t>
  </si>
  <si>
    <t>QB981 .K47 1989</t>
  </si>
  <si>
    <t>0                      QB 0981000K  47          1989</t>
  </si>
  <si>
    <t>The invented universe : the Einstein-De Sitter controversy (1916-17) and the rise of relativistic cosmology / Pierre Kerszberg.</t>
  </si>
  <si>
    <t>Kerszberg, Pierre.</t>
  </si>
  <si>
    <t>Oxford [England] : Clarendon Press ; New York : Oxford University Press, 1989.</t>
  </si>
  <si>
    <t>1990-12-05</t>
  </si>
  <si>
    <t>806855159:eng</t>
  </si>
  <si>
    <t>18879120</t>
  </si>
  <si>
    <t>991001409779702656</t>
  </si>
  <si>
    <t>2268953390002656</t>
  </si>
  <si>
    <t>9780198518761</t>
  </si>
  <si>
    <t>32285000358571</t>
  </si>
  <si>
    <t>893334330</t>
  </si>
  <si>
    <t>QB981 .K69513 1987</t>
  </si>
  <si>
    <t>0                      QB 0981000K  69513       1987</t>
  </si>
  <si>
    <t>Cosmology : the structure and evolution of the universe / G. Contopoulos, D. Kotsakis ; translated by M. Petrou and P.L. Palmer.</t>
  </si>
  <si>
    <t>Contopoulos, George, 1928-</t>
  </si>
  <si>
    <t>Berlin ; New York : Springer-Verlag, c1987.</t>
  </si>
  <si>
    <t>[2nd updated and expanded ed.]</t>
  </si>
  <si>
    <t>2007-08-13</t>
  </si>
  <si>
    <t>7200976:eng</t>
  </si>
  <si>
    <t>14166672</t>
  </si>
  <si>
    <t>991000914649702656</t>
  </si>
  <si>
    <t>2267423140002656</t>
  </si>
  <si>
    <t>9780387169224</t>
  </si>
  <si>
    <t>32285001450195</t>
  </si>
  <si>
    <t>893413793</t>
  </si>
  <si>
    <t>QB981 .K73 1996</t>
  </si>
  <si>
    <t>0                      QB 0981000K  73          1996</t>
  </si>
  <si>
    <t>Cosmology and controversy : the historical development of two theories of the universe / Helge Kragh.</t>
  </si>
  <si>
    <t>Kragh, Helge, 1944-</t>
  </si>
  <si>
    <t>Princeton, NJ : Princeton University Press, c1996.</t>
  </si>
  <si>
    <t>890988:eng</t>
  </si>
  <si>
    <t>34473321</t>
  </si>
  <si>
    <t>991002628919702656</t>
  </si>
  <si>
    <t>2262890770002656</t>
  </si>
  <si>
    <t>9780691026237</t>
  </si>
  <si>
    <t>32285002882610</t>
  </si>
  <si>
    <t>893698034</t>
  </si>
  <si>
    <t>QB981 .K77 2001</t>
  </si>
  <si>
    <t>0                      QB 0981000K  77          2001</t>
  </si>
  <si>
    <t>Atom : an odyssey from the big bang to life on earth-- and beyond / Lawrence M. Krauss.</t>
  </si>
  <si>
    <t>Boston : Little Brown &amp; Company, c2001.</t>
  </si>
  <si>
    <t>2001-09-15</t>
  </si>
  <si>
    <t>2001-09-05</t>
  </si>
  <si>
    <t>19551548:eng</t>
  </si>
  <si>
    <t>44467528</t>
  </si>
  <si>
    <t>991003597269702656</t>
  </si>
  <si>
    <t>2271061240002656</t>
  </si>
  <si>
    <t>9780316499460</t>
  </si>
  <si>
    <t>32285004384631</t>
  </si>
  <si>
    <t>893336686</t>
  </si>
  <si>
    <t>QB981 .K93 1987</t>
  </si>
  <si>
    <t>0                      QB 0981000K  93          1987</t>
  </si>
  <si>
    <t>The universe and life : origins and evolution / G. Siegfried Kutter.</t>
  </si>
  <si>
    <t>Kutter, G. Siegfried.</t>
  </si>
  <si>
    <t>Boston : Jones and Bartlett, c1987.</t>
  </si>
  <si>
    <t>5715998:eng</t>
  </si>
  <si>
    <t>12692612</t>
  </si>
  <si>
    <t>991000724429702656</t>
  </si>
  <si>
    <t>2259209820002656</t>
  </si>
  <si>
    <t>9780867200331</t>
  </si>
  <si>
    <t>32285000090794</t>
  </si>
  <si>
    <t>893425978</t>
  </si>
  <si>
    <t>QB981 .L287</t>
  </si>
  <si>
    <t>0                      QB 0981000L  287</t>
  </si>
  <si>
    <t>Mathematical cosmology : an introduction / Peter T. Landsberg and David A. Evans. --</t>
  </si>
  <si>
    <t>Landsberg, Peter T. (Peter Theodore)</t>
  </si>
  <si>
    <t>Oxford [Eng.] : Clarendon Press, 1977.</t>
  </si>
  <si>
    <t>1995-04-25</t>
  </si>
  <si>
    <t>11258300:eng</t>
  </si>
  <si>
    <t>4134944</t>
  </si>
  <si>
    <t>991004592159702656</t>
  </si>
  <si>
    <t>2256453660002656</t>
  </si>
  <si>
    <t>9780198511366</t>
  </si>
  <si>
    <t>32285001450203</t>
  </si>
  <si>
    <t>893795024</t>
  </si>
  <si>
    <t>QB981 .L33 1984</t>
  </si>
  <si>
    <t>0                      QB 0981000L  33          1984</t>
  </si>
  <si>
    <t>Constructing the universe / David Layzer.</t>
  </si>
  <si>
    <t>Layzer, David.</t>
  </si>
  <si>
    <t>New York : Scientific American Library : Distributed by W.H. Freeman, [1984]</t>
  </si>
  <si>
    <t>2003-06-01</t>
  </si>
  <si>
    <t>1991-06-27</t>
  </si>
  <si>
    <t>2874286:eng</t>
  </si>
  <si>
    <t>10605693</t>
  </si>
  <si>
    <t>991000399519702656</t>
  </si>
  <si>
    <t>2258764690002656</t>
  </si>
  <si>
    <t>9780716750031</t>
  </si>
  <si>
    <t>32285000634765</t>
  </si>
  <si>
    <t>893714547</t>
  </si>
  <si>
    <t>QB981 .L36 1993</t>
  </si>
  <si>
    <t>0                      QB 0981000L  36          1993</t>
  </si>
  <si>
    <t>The light at the edge of the universe : leading cosmologists on the brink of a scientific revolution / Michael D. Lemonick.</t>
  </si>
  <si>
    <t>New York : Villard Books, 1993.</t>
  </si>
  <si>
    <t>1994-09-30</t>
  </si>
  <si>
    <t>3943715978:eng</t>
  </si>
  <si>
    <t>26809627</t>
  </si>
  <si>
    <t>991002089969702656</t>
  </si>
  <si>
    <t>2257117110002656</t>
  </si>
  <si>
    <t>9780679413042</t>
  </si>
  <si>
    <t>32285001817062</t>
  </si>
  <si>
    <t>893510278</t>
  </si>
  <si>
    <t>QB981 .L534 1999</t>
  </si>
  <si>
    <t>0                      QB 0981000L  534         1999</t>
  </si>
  <si>
    <t>An introduction to modern cosmology / Andrew Liddle.</t>
  </si>
  <si>
    <t>Liddle, Andrew R.</t>
  </si>
  <si>
    <t>2000-03-06</t>
  </si>
  <si>
    <t>702647:eng</t>
  </si>
  <si>
    <t>40199963</t>
  </si>
  <si>
    <t>991002984829702656</t>
  </si>
  <si>
    <t>2266299690002656</t>
  </si>
  <si>
    <t>9780471987574</t>
  </si>
  <si>
    <t>32285003666996</t>
  </si>
  <si>
    <t>893616857</t>
  </si>
  <si>
    <t>QB981 .L538 1991</t>
  </si>
  <si>
    <t>0                      QB 0981000L  538         1991</t>
  </si>
  <si>
    <t>Ancient light : our changing view of the universe / Alan Lightman.</t>
  </si>
  <si>
    <t>Cambridge, Mass. : Harvard University Press, 1991.</t>
  </si>
  <si>
    <t>1998-09-10</t>
  </si>
  <si>
    <t>836739649:eng</t>
  </si>
  <si>
    <t>23356490</t>
  </si>
  <si>
    <t>991001858989702656</t>
  </si>
  <si>
    <t>2256921540002656</t>
  </si>
  <si>
    <t>9780674033627</t>
  </si>
  <si>
    <t>32285001037141</t>
  </si>
  <si>
    <t>893516629</t>
  </si>
  <si>
    <t>QB981 .M774 1990</t>
  </si>
  <si>
    <t>0                      QB 0981000M  774         1990</t>
  </si>
  <si>
    <t>Modern cosmology in retrospect / edited by B. Bertotti ... [et al.].</t>
  </si>
  <si>
    <t>1992-07-15</t>
  </si>
  <si>
    <t>23326652:eng</t>
  </si>
  <si>
    <t>21975927</t>
  </si>
  <si>
    <t>991001738529702656</t>
  </si>
  <si>
    <t>2267135920002656</t>
  </si>
  <si>
    <t>9780521372138</t>
  </si>
  <si>
    <t>32285001158533</t>
  </si>
  <si>
    <t>893522789</t>
  </si>
  <si>
    <t>QB981 .M863 1982</t>
  </si>
  <si>
    <t>0                      QB 0981000M  863         1982</t>
  </si>
  <si>
    <t>The fate of the universe / Richard Morris.</t>
  </si>
  <si>
    <t>Morris, Richard, 1939-2003.</t>
  </si>
  <si>
    <t>New York : Playboy Press, c1982.</t>
  </si>
  <si>
    <t>1993-10-25</t>
  </si>
  <si>
    <t>30278459:eng</t>
  </si>
  <si>
    <t>7924027</t>
  </si>
  <si>
    <t>991005176869702656</t>
  </si>
  <si>
    <t>2269279270002656</t>
  </si>
  <si>
    <t>9780872237483</t>
  </si>
  <si>
    <t>32285001450260</t>
  </si>
  <si>
    <t>893338657</t>
  </si>
  <si>
    <t>QB981 .N7913 1983</t>
  </si>
  <si>
    <t>0                      QB 0981000N  7913        1983</t>
  </si>
  <si>
    <t>Evolution of the universe / I.D. Novikov ; translated by M.M. Basko.</t>
  </si>
  <si>
    <t>Cambridge ; New York : Cambridge University Press, 1983.</t>
  </si>
  <si>
    <t>1992-12-02</t>
  </si>
  <si>
    <t>352287651:eng</t>
  </si>
  <si>
    <t>8476389</t>
  </si>
  <si>
    <t>991005249389702656</t>
  </si>
  <si>
    <t>2257645490002656</t>
  </si>
  <si>
    <t>9780521241298</t>
  </si>
  <si>
    <t>32285001450278</t>
  </si>
  <si>
    <t>893514331</t>
  </si>
  <si>
    <t>QB981 .O96 1991</t>
  </si>
  <si>
    <t>0                      QB 0981000O  96          1991</t>
  </si>
  <si>
    <t>Lonely hearts of the cosmos : the scientific quest for the secret of the universe / Dennis Overbye.</t>
  </si>
  <si>
    <t>Overbye, Dennis, 1944-</t>
  </si>
  <si>
    <t>New York, NY : HarperCollins, c1991.</t>
  </si>
  <si>
    <t>1997-04-25</t>
  </si>
  <si>
    <t>23018650:eng</t>
  </si>
  <si>
    <t>21561901</t>
  </si>
  <si>
    <t>991001705789702656</t>
  </si>
  <si>
    <t>2264952960002656</t>
  </si>
  <si>
    <t>9780060159641</t>
  </si>
  <si>
    <t>32285001155422</t>
  </si>
  <si>
    <t>893328313</t>
  </si>
  <si>
    <t>QB981 .P244 1996</t>
  </si>
  <si>
    <t>0                      QB 0981000P  244         1996</t>
  </si>
  <si>
    <t>Cosmology and astrophysics through problems / T. Padmanabhan.</t>
  </si>
  <si>
    <t>Padmanabhan, T. (Thanu), 1957-</t>
  </si>
  <si>
    <t>2004-03-02</t>
  </si>
  <si>
    <t>8908892124:eng</t>
  </si>
  <si>
    <t>33947766</t>
  </si>
  <si>
    <t>991004239339702656</t>
  </si>
  <si>
    <t>2262050980002656</t>
  </si>
  <si>
    <t>9780521462303</t>
  </si>
  <si>
    <t>32285004891155</t>
  </si>
  <si>
    <t>893869468</t>
  </si>
  <si>
    <t>QB981 .P29 1988</t>
  </si>
  <si>
    <t>0                      QB 0981000P  29          1988</t>
  </si>
  <si>
    <t>Creation : the story of the origin and evolution of the universe / Barry Parker ; drawings by Lori Scoffield.</t>
  </si>
  <si>
    <t>New York : Plenum Press, c1988.</t>
  </si>
  <si>
    <t>1996-04-15</t>
  </si>
  <si>
    <t>1992-01-28</t>
  </si>
  <si>
    <t>196507653:eng</t>
  </si>
  <si>
    <t>18050962</t>
  </si>
  <si>
    <t>991001297979702656</t>
  </si>
  <si>
    <t>2268418590002656</t>
  </si>
  <si>
    <t>9780306429521</t>
  </si>
  <si>
    <t>32285000899657</t>
  </si>
  <si>
    <t>893872450</t>
  </si>
  <si>
    <t>QB981 .P294 1993</t>
  </si>
  <si>
    <t>0                      QB 0981000P  294         1993</t>
  </si>
  <si>
    <t>The vindication of the big bang : breakthroughs and barriers / Barry Parker.</t>
  </si>
  <si>
    <t>New York : Plenum Press, c1993.</t>
  </si>
  <si>
    <t>365892951:eng</t>
  </si>
  <si>
    <t>27069165</t>
  </si>
  <si>
    <t>991002112919702656</t>
  </si>
  <si>
    <t>2254742680002656</t>
  </si>
  <si>
    <t>9780306444692</t>
  </si>
  <si>
    <t>32285001816874</t>
  </si>
  <si>
    <t>893603211</t>
  </si>
  <si>
    <t>QB981 .P44 1983</t>
  </si>
  <si>
    <t>0                      QB 0981000P  44          1983</t>
  </si>
  <si>
    <t>Darwin's universe : origins and crises in the history of life / Charles R. Pellegrino, Jesse A. Stoff.</t>
  </si>
  <si>
    <t>Pellegrino, Charles R.</t>
  </si>
  <si>
    <t>New York : Van Nostrand Reinhold, c1983.</t>
  </si>
  <si>
    <t>1996-10-02</t>
  </si>
  <si>
    <t>1992-05-06</t>
  </si>
  <si>
    <t>7010366:eng</t>
  </si>
  <si>
    <t>8452154</t>
  </si>
  <si>
    <t>991005245589702656</t>
  </si>
  <si>
    <t>2263013320002656</t>
  </si>
  <si>
    <t>9780442275266</t>
  </si>
  <si>
    <t>32285001121036</t>
  </si>
  <si>
    <t>893248602</t>
  </si>
  <si>
    <t>QB981 .P562 1991</t>
  </si>
  <si>
    <t>0                      QB 0981000P  562         1991</t>
  </si>
  <si>
    <t>Philosophy and the origin and evolution of the universe / edited by Evandro Agazzi and Alberto Cordero.</t>
  </si>
  <si>
    <t>Dordrecht ; Boston : Kluwer Academic Publishers, 1991.</t>
  </si>
  <si>
    <t>Synthese library ; v. 217</t>
  </si>
  <si>
    <t>1997-11-25</t>
  </si>
  <si>
    <t>1992-03-17</t>
  </si>
  <si>
    <t>356201531:eng</t>
  </si>
  <si>
    <t>23900636</t>
  </si>
  <si>
    <t>991001892199702656</t>
  </si>
  <si>
    <t>2254928670002656</t>
  </si>
  <si>
    <t>9780792313229</t>
  </si>
  <si>
    <t>32285000939743</t>
  </si>
  <si>
    <t>893898139</t>
  </si>
  <si>
    <t>QB981 .P875 1985</t>
  </si>
  <si>
    <t>0                      QB 0981000P  875         1985</t>
  </si>
  <si>
    <t>Light in Einstein's universe : the role of energy in cosmology and relativity / by S.J. Prokhovnik.</t>
  </si>
  <si>
    <t>Prokhovnik, S. J.</t>
  </si>
  <si>
    <t>Dordrecht ; Boston : D. Reidel Pub. Co. ; Hingham, MA, U.S.A. : Sold and distributed in the U.S.A. and Canada by Kluwer Academic Publishers, c1985.</t>
  </si>
  <si>
    <t>Fundamental theories of physics</t>
  </si>
  <si>
    <t>1999-04-16</t>
  </si>
  <si>
    <t>836717826:eng</t>
  </si>
  <si>
    <t>12189077</t>
  </si>
  <si>
    <t>991000653179702656</t>
  </si>
  <si>
    <t>2255383160002656</t>
  </si>
  <si>
    <t>9789027720931</t>
  </si>
  <si>
    <t>32285001450294</t>
  </si>
  <si>
    <t>893601940</t>
  </si>
  <si>
    <t>QB981 .R34 1997</t>
  </si>
  <si>
    <t>0                      QB 0981000R  34          1997</t>
  </si>
  <si>
    <t>Before the beginning : our universe and others / Martin Rees ; foreword by Stephen Hawking.</t>
  </si>
  <si>
    <t>Rees, Martin J., 1942-</t>
  </si>
  <si>
    <t>Reading, Mass. : Addison-Wesley, 1997.</t>
  </si>
  <si>
    <t>2004-08-24</t>
  </si>
  <si>
    <t>1998-04-06</t>
  </si>
  <si>
    <t>600055:eng</t>
  </si>
  <si>
    <t>36877342</t>
  </si>
  <si>
    <t>991002806859702656</t>
  </si>
  <si>
    <t>2256928360002656</t>
  </si>
  <si>
    <t>9780201151428</t>
  </si>
  <si>
    <t>32285003383188</t>
  </si>
  <si>
    <t>893880444</t>
  </si>
  <si>
    <t>QB981 .R3813 1991</t>
  </si>
  <si>
    <t>0                      QB 0981000R  3813        1991</t>
  </si>
  <si>
    <t>The hour of our delight : cosmic evolution, order, and complexity / Hubert Reeves.</t>
  </si>
  <si>
    <t>Reeves, Hubert.</t>
  </si>
  <si>
    <t>New York : W.H. Freeman, c1991.</t>
  </si>
  <si>
    <t>1992-07-23</t>
  </si>
  <si>
    <t>3001519109:eng</t>
  </si>
  <si>
    <t>22809958</t>
  </si>
  <si>
    <t>991001815249702656</t>
  </si>
  <si>
    <t>2259319060002656</t>
  </si>
  <si>
    <t>9780716722205</t>
  </si>
  <si>
    <t>32285001155471</t>
  </si>
  <si>
    <t>893352026</t>
  </si>
  <si>
    <t>QB981 .R653 2003</t>
  </si>
  <si>
    <t>0                      QB 0981000R  653         2003</t>
  </si>
  <si>
    <t>Introduction to cosmology / Matts Roos.</t>
  </si>
  <si>
    <t>Roos, Matts.</t>
  </si>
  <si>
    <t>Chichester, West Sussex, England ; Hoboken, NJ : Wiley, c2003.</t>
  </si>
  <si>
    <t>551047:eng</t>
  </si>
  <si>
    <t>53096953</t>
  </si>
  <si>
    <t>991004495489702656</t>
  </si>
  <si>
    <t>2264077200002656</t>
  </si>
  <si>
    <t>9780470849095</t>
  </si>
  <si>
    <t>32285005048615</t>
  </si>
  <si>
    <t>893869777</t>
  </si>
  <si>
    <t>QB981 .R69 1981</t>
  </si>
  <si>
    <t>0                      QB 0981000R  69          1981</t>
  </si>
  <si>
    <t>Cosmology / Michael Rowan-Robinson.</t>
  </si>
  <si>
    <t>Rowan-Robinson, Michael.</t>
  </si>
  <si>
    <t>Oxford : Clarendon Press, 1981.</t>
  </si>
  <si>
    <t>Oxford physics series ; 15</t>
  </si>
  <si>
    <t>1999-09-29</t>
  </si>
  <si>
    <t>416285:eng</t>
  </si>
  <si>
    <t>7701584</t>
  </si>
  <si>
    <t>991005149159702656</t>
  </si>
  <si>
    <t>2259864560002656</t>
  </si>
  <si>
    <t>9780198518570</t>
  </si>
  <si>
    <t>32285001450336</t>
  </si>
  <si>
    <t>893338596</t>
  </si>
  <si>
    <t>QB981 .S55</t>
  </si>
  <si>
    <t>0                      QB 0981000S  55</t>
  </si>
  <si>
    <t>The big bang : the creation and evolution of the universe / Joseph Silk ; with a foreword by Dennis Sciama.</t>
  </si>
  <si>
    <t>Silk, Joseph, 1942-</t>
  </si>
  <si>
    <t>2006-04-04</t>
  </si>
  <si>
    <t>48413:eng</t>
  </si>
  <si>
    <t>5310727</t>
  </si>
  <si>
    <t>991005378219702656</t>
  </si>
  <si>
    <t>2264341190002656</t>
  </si>
  <si>
    <t>9780716710844</t>
  </si>
  <si>
    <t>32285000899665</t>
  </si>
  <si>
    <t>893877438</t>
  </si>
  <si>
    <t>QB981 .S553 1994</t>
  </si>
  <si>
    <t>0                      QB 0981000S  553         1994</t>
  </si>
  <si>
    <t>Cosmic enigmas / Joseph Silk.</t>
  </si>
  <si>
    <t>Woodbury, NY : AIP Press, c1994.</t>
  </si>
  <si>
    <t>Masters of modern physics ; v. 10</t>
  </si>
  <si>
    <t>1999-08-30</t>
  </si>
  <si>
    <t>31380771:eng</t>
  </si>
  <si>
    <t>29219689</t>
  </si>
  <si>
    <t>991002254729702656</t>
  </si>
  <si>
    <t>2261566270002656</t>
  </si>
  <si>
    <t>9781563960611</t>
  </si>
  <si>
    <t>32285001975738</t>
  </si>
  <si>
    <t>893591116</t>
  </si>
  <si>
    <t>QB981 .S695 1993</t>
  </si>
  <si>
    <t>0                      QB 0981000S  695         1993</t>
  </si>
  <si>
    <t>Wrinkles in time / George Smoot and Keay Davidson.</t>
  </si>
  <si>
    <t>Smoot, George.</t>
  </si>
  <si>
    <t>New York, NY : W. Morrow, 1993.</t>
  </si>
  <si>
    <t>2006-03-28</t>
  </si>
  <si>
    <t>30464559:eng</t>
  </si>
  <si>
    <t>28215032</t>
  </si>
  <si>
    <t>991002193999702656</t>
  </si>
  <si>
    <t>2265842660002656</t>
  </si>
  <si>
    <t>9780688123307</t>
  </si>
  <si>
    <t>32285001841252</t>
  </si>
  <si>
    <t>893798288</t>
  </si>
  <si>
    <t>QB981 .S88</t>
  </si>
  <si>
    <t>0                      QB 0981000S  88</t>
  </si>
  <si>
    <t>The universe.</t>
  </si>
  <si>
    <t>Struve, Otto, 1897-1963.</t>
  </si>
  <si>
    <t>Cambridge, M.I.T. Press [1962]</t>
  </si>
  <si>
    <t>Karl Taylor Compton lectures ; 1959</t>
  </si>
  <si>
    <t>2001-06-30</t>
  </si>
  <si>
    <t>1370833:eng</t>
  </si>
  <si>
    <t>261535</t>
  </si>
  <si>
    <t>991002049369702656</t>
  </si>
  <si>
    <t>2263076830002656</t>
  </si>
  <si>
    <t>32285002643301</t>
  </si>
  <si>
    <t>893347042</t>
  </si>
  <si>
    <t>QB981 .T57 1994</t>
  </si>
  <si>
    <t>0                      QB 0981000T  57          1994</t>
  </si>
  <si>
    <t>The physics of immortality : modern cosmology, God, and the resurrection of the dead / Frank J. Tipler.</t>
  </si>
  <si>
    <t>Tipler, Frank J.</t>
  </si>
  <si>
    <t>New York : Doubleday, c1994.</t>
  </si>
  <si>
    <t>1996-08-26</t>
  </si>
  <si>
    <t>1994-11-14</t>
  </si>
  <si>
    <t>13524203:eng</t>
  </si>
  <si>
    <t>29427823</t>
  </si>
  <si>
    <t>991002267449702656</t>
  </si>
  <si>
    <t>2269968670002656</t>
  </si>
  <si>
    <t>9780385467988</t>
  </si>
  <si>
    <t>32285001958429</t>
  </si>
  <si>
    <t>893534936</t>
  </si>
  <si>
    <t>QB981 .W233 1983</t>
  </si>
  <si>
    <t>0                      QB 0981000W  233         1983</t>
  </si>
  <si>
    <t>Cosmic horizons : understanding the universe / Robert V. Wagoner and Donald W. Goldsmith.</t>
  </si>
  <si>
    <t>Wagoner, Robert V.</t>
  </si>
  <si>
    <t>San Francisco : W.H. Freeman, c1983.</t>
  </si>
  <si>
    <t>1994-04-24</t>
  </si>
  <si>
    <t>432433814:eng</t>
  </si>
  <si>
    <t>8954689</t>
  </si>
  <si>
    <t>991000102529702656</t>
  </si>
  <si>
    <t>2271174090002656</t>
  </si>
  <si>
    <t>9780716714170</t>
  </si>
  <si>
    <t>32285001108819</t>
  </si>
  <si>
    <t>893514999</t>
  </si>
  <si>
    <t>QB981 .W24</t>
  </si>
  <si>
    <t>0                      QB 0981000W  24</t>
  </si>
  <si>
    <t>Space, time, and gravity : the theory of the big bang and black holes / Robert M. Wald.</t>
  </si>
  <si>
    <t>Wald, Robert M.</t>
  </si>
  <si>
    <t>Chicago : University of Chicago Press, 1977.</t>
  </si>
  <si>
    <t>364472536:eng</t>
  </si>
  <si>
    <t>2875525</t>
  </si>
  <si>
    <t>991004270539702656</t>
  </si>
  <si>
    <t>2259583840002656</t>
  </si>
  <si>
    <t>9780226870304</t>
  </si>
  <si>
    <t>32285002643335</t>
  </si>
  <si>
    <t>893687554</t>
  </si>
  <si>
    <t>QB981 .W24 1992</t>
  </si>
  <si>
    <t>0                      QB 0981000W  24          1992</t>
  </si>
  <si>
    <t>Chicago : University of Chicago Press, 1992.</t>
  </si>
  <si>
    <t>1993-09-01</t>
  </si>
  <si>
    <t>24173814</t>
  </si>
  <si>
    <t>991001914239702656</t>
  </si>
  <si>
    <t>2268938880002656</t>
  </si>
  <si>
    <t>9780226870298</t>
  </si>
  <si>
    <t>32285001729382</t>
  </si>
  <si>
    <t>893697136</t>
  </si>
  <si>
    <t>QB981 .W64 1990</t>
  </si>
  <si>
    <t>0                      QB 0981000W  64          1990</t>
  </si>
  <si>
    <t>Exploring the physics of the unknown universe : an adventurer's guide / by Milo Wolff ; book design and illustrations by Jennifer Snow Wolff.</t>
  </si>
  <si>
    <t>Wolff, Milo.</t>
  </si>
  <si>
    <t>Manhattan Beach, Calif. : Technotran Press ; Commack, N.Y. : Nova Science Pub., Inc., 1990.</t>
  </si>
  <si>
    <t>1998-03-23</t>
  </si>
  <si>
    <t>27613100:eng</t>
  </si>
  <si>
    <t>25602190</t>
  </si>
  <si>
    <t>991002011739702656</t>
  </si>
  <si>
    <t>2257512810002656</t>
  </si>
  <si>
    <t>9780962778704</t>
  </si>
  <si>
    <t>32285001155513</t>
  </si>
  <si>
    <t>893615586</t>
  </si>
  <si>
    <t>QB991.B54 A47 2001</t>
  </si>
  <si>
    <t>0                      QB 0991000B  54                 A  47          2001</t>
  </si>
  <si>
    <t>Genesis of the big bang / Ralph A. Alpher, Robert Herman.</t>
  </si>
  <si>
    <t>Alpher, Ralph, 1921-2007.</t>
  </si>
  <si>
    <t>New York : Oxford University Press, 2001.</t>
  </si>
  <si>
    <t>2009-04-15</t>
  </si>
  <si>
    <t>2001-07-09</t>
  </si>
  <si>
    <t>28881582:eng</t>
  </si>
  <si>
    <t>43552399</t>
  </si>
  <si>
    <t>991003538079702656</t>
  </si>
  <si>
    <t>2255189080002656</t>
  </si>
  <si>
    <t>9780195111828</t>
  </si>
  <si>
    <t>32285004330410</t>
  </si>
  <si>
    <t>893900089</t>
  </si>
  <si>
    <t>QB991.B54 G75 1986</t>
  </si>
  <si>
    <t>0                      QB 0991000B  54                 G  75          1986</t>
  </si>
  <si>
    <t>In search of the big bang : quantum physics and cosmology / John Gribbin ; [illustrations by Neil Hyslop].</t>
  </si>
  <si>
    <t>Toronto ; New York : Bantam Books, c1986.</t>
  </si>
  <si>
    <t>4927796486:eng</t>
  </si>
  <si>
    <t>12975146</t>
  </si>
  <si>
    <t>991000763069702656</t>
  </si>
  <si>
    <t>2262118850002656</t>
  </si>
  <si>
    <t>9780553342581</t>
  </si>
  <si>
    <t>32285001450369</t>
  </si>
  <si>
    <t>893333752</t>
  </si>
  <si>
    <t>QB991.B54 H39 1993</t>
  </si>
  <si>
    <t>0                      QB 0991000B  54                 H  39          1993</t>
  </si>
  <si>
    <t>Hawking on the big bang and black holes / Stephen Hawking.</t>
  </si>
  <si>
    <t>Hawking, Stephen, 1942-2018.</t>
  </si>
  <si>
    <t>Singapore ; New Jersey : World Scientific, c1993.</t>
  </si>
  <si>
    <t xml:space="preserve">si </t>
  </si>
  <si>
    <t>Advanced series in astrophysics and cosmology ; vol. 8</t>
  </si>
  <si>
    <t>11306322:eng</t>
  </si>
  <si>
    <t>28953343</t>
  </si>
  <si>
    <t>991002244529702656</t>
  </si>
  <si>
    <t>2259339370002656</t>
  </si>
  <si>
    <t>32285001921856</t>
  </si>
  <si>
    <t>893703851</t>
  </si>
  <si>
    <t>QB991.B54 L47 1991</t>
  </si>
  <si>
    <t>0                      QB 0991000B  54                 L  47          1991</t>
  </si>
  <si>
    <t>The big bang never happened / Eric J. Lerner.</t>
  </si>
  <si>
    <t>Lerner, Eric J.</t>
  </si>
  <si>
    <t>New York : Times Books/Random House, c1991.</t>
  </si>
  <si>
    <t>1992-06-22</t>
  </si>
  <si>
    <t>20691867:eng</t>
  </si>
  <si>
    <t>21116848</t>
  </si>
  <si>
    <t>991001653419702656</t>
  </si>
  <si>
    <t>2261867010002656</t>
  </si>
  <si>
    <t>9780812918533</t>
  </si>
  <si>
    <t>32285001155646</t>
  </si>
  <si>
    <t>893809129</t>
  </si>
  <si>
    <t>QB991.B54 S45 1995</t>
  </si>
  <si>
    <t>0                      QB 0991000B  54                 S  45          1995</t>
  </si>
  <si>
    <t>The search for infinity : solving the mysteries of the universe / Gordon Fraser, Egil Lillestøl, Inge Sellevåg ; introduction by Stephen Hawking</t>
  </si>
  <si>
    <t>Fraser, Gordon, 1943-</t>
  </si>
  <si>
    <t>New York : Facts on File, c1995.</t>
  </si>
  <si>
    <t>1995-09-27</t>
  </si>
  <si>
    <t>33589571:eng</t>
  </si>
  <si>
    <t>30896289</t>
  </si>
  <si>
    <t>991002377549702656</t>
  </si>
  <si>
    <t>2272169540002656</t>
  </si>
  <si>
    <t>9780816032501</t>
  </si>
  <si>
    <t>32285002094844</t>
  </si>
  <si>
    <t>893341359</t>
  </si>
  <si>
    <t>QB991.B54 S56 2005</t>
  </si>
  <si>
    <t>0                      QB 0991000B  54                 S  56          2005</t>
  </si>
  <si>
    <t>Big bang : the origin of the universe / Simon Singh.</t>
  </si>
  <si>
    <t>Singh, Simon.</t>
  </si>
  <si>
    <t>New York : Harper Perennial, 2005.</t>
  </si>
  <si>
    <t>2010-01-07</t>
  </si>
  <si>
    <t>2009-11-30</t>
  </si>
  <si>
    <t>2054531124:eng</t>
  </si>
  <si>
    <t>62212282</t>
  </si>
  <si>
    <t>991005344379702656</t>
  </si>
  <si>
    <t>2256346240002656</t>
  </si>
  <si>
    <t>9780007162215</t>
  </si>
  <si>
    <t>32285005552343</t>
  </si>
  <si>
    <t>893594882</t>
  </si>
  <si>
    <t>QB991.B54 T7 1983</t>
  </si>
  <si>
    <t>0                      QB 0991000B  54                 T  7           1983</t>
  </si>
  <si>
    <t>The moment of creation : big bang physics from before the first millisecond to the present universe / James S. Trefil ; illustrations by Gloria Walters.</t>
  </si>
  <si>
    <t>New York : Scribner, c1983.</t>
  </si>
  <si>
    <t>1994-09-28</t>
  </si>
  <si>
    <t>2875437:eng</t>
  </si>
  <si>
    <t>9575558</t>
  </si>
  <si>
    <t>991000219329702656</t>
  </si>
  <si>
    <t>2267055730002656</t>
  </si>
  <si>
    <t>9780684179636</t>
  </si>
  <si>
    <t>32285001450377</t>
  </si>
  <si>
    <t>893802612</t>
  </si>
  <si>
    <t>QB991.C64 C487 1996</t>
  </si>
  <si>
    <t>0                      QB 0991000C  64                 C  487         1996</t>
  </si>
  <si>
    <t>Afterglow of creation : from the fireball to the discovery of cosmic ripples / Marcus Chown.</t>
  </si>
  <si>
    <t>Chown, Marcus.</t>
  </si>
  <si>
    <t>Sausalito, CA : University Science Books, 1996.</t>
  </si>
  <si>
    <t>1999-11-08</t>
  </si>
  <si>
    <t>1996-06-04</t>
  </si>
  <si>
    <t>5218490270:eng</t>
  </si>
  <si>
    <t>33103490</t>
  </si>
  <si>
    <t>991002548409702656</t>
  </si>
  <si>
    <t>2269931250002656</t>
  </si>
  <si>
    <t>9780935702408</t>
  </si>
  <si>
    <t>32285002186780</t>
  </si>
  <si>
    <t>893591478</t>
  </si>
  <si>
    <t>QB991.C64 L33 1999</t>
  </si>
  <si>
    <t>0                      QB 0991000C  64                 L  33          1999</t>
  </si>
  <si>
    <t>The cosmological background radiation / Marc Lachièze-Rey and Edgard Gunzig.</t>
  </si>
  <si>
    <t>Lachièze-Rey, Marc.</t>
  </si>
  <si>
    <t>New York : Cambridge University Press, 1999.</t>
  </si>
  <si>
    <t>2000-07-24</t>
  </si>
  <si>
    <t>20834597:eng</t>
  </si>
  <si>
    <t>39633898</t>
  </si>
  <si>
    <t>991003214449702656</t>
  </si>
  <si>
    <t>2268570140002656</t>
  </si>
  <si>
    <t>9780521052153</t>
  </si>
  <si>
    <t>32285003741740</t>
  </si>
  <si>
    <t>893330074</t>
  </si>
  <si>
    <t>QB991.C64 P37 1995</t>
  </si>
  <si>
    <t>0                      QB 0991000C  64                 P  37          1995</t>
  </si>
  <si>
    <t>3 K : the cosmic microwave background radiation / R.B. Partridge.</t>
  </si>
  <si>
    <t>Partridge, R. B.</t>
  </si>
  <si>
    <t>Cambridge astrophysics series ; 25</t>
  </si>
  <si>
    <t>1996-11-12</t>
  </si>
  <si>
    <t>836865812:eng</t>
  </si>
  <si>
    <t>30319172</t>
  </si>
  <si>
    <t>991002328989702656</t>
  </si>
  <si>
    <t>2265432240002656</t>
  </si>
  <si>
    <t>9780521352543</t>
  </si>
  <si>
    <t>32285002371986</t>
  </si>
  <si>
    <t>893867078</t>
  </si>
  <si>
    <t>QB991.C64 R68 1993</t>
  </si>
  <si>
    <t>0                      QB 0991000C  64                 R  68          1993</t>
  </si>
  <si>
    <t>Ripples in the cosmos : a view behind the scenes of the new cosmology / Michael Rowan-Robinson.</t>
  </si>
  <si>
    <t>Oxford [England] ; New York : W.H. Freeman Spektrum, c1993.</t>
  </si>
  <si>
    <t>1996-01-16</t>
  </si>
  <si>
    <t>793349986:eng</t>
  </si>
  <si>
    <t>28016060</t>
  </si>
  <si>
    <t>991002175469702656</t>
  </si>
  <si>
    <t>2256873900002656</t>
  </si>
  <si>
    <t>9780716745037</t>
  </si>
  <si>
    <t>32285002116977</t>
  </si>
  <si>
    <t>893590999</t>
  </si>
  <si>
    <t>QB991.G73 D74 1994</t>
  </si>
  <si>
    <t>0                      QB 0991000G  73                 D  74          1994</t>
  </si>
  <si>
    <t>Voyage to the Great Attractor : exploring intergalactic space / Alan Dressler.</t>
  </si>
  <si>
    <t>Dressler, Alan Michael.</t>
  </si>
  <si>
    <t>New York : A.A. Knopf, 1994.</t>
  </si>
  <si>
    <t>1995-10-27</t>
  </si>
  <si>
    <t>32559473:eng</t>
  </si>
  <si>
    <t>29798847</t>
  </si>
  <si>
    <t>991002297729702656</t>
  </si>
  <si>
    <t>2255474230002656</t>
  </si>
  <si>
    <t>9780394588995</t>
  </si>
  <si>
    <t>32285002094794</t>
  </si>
  <si>
    <t>893251050</t>
  </si>
  <si>
    <t>QB991.I54 G88 1997</t>
  </si>
  <si>
    <t>0                      QB 0991000I  54                 G  88          1997</t>
  </si>
  <si>
    <t>The inflationary universe : the quest for a new theory of cosmic origins / Alan H. Guth ; with a foreword by Alan Lightman.</t>
  </si>
  <si>
    <t>Guth, Alan H.</t>
  </si>
  <si>
    <t>Reading, Mass. : Addison-Wesley Publishing, 1997.</t>
  </si>
  <si>
    <t>1997-07-08</t>
  </si>
  <si>
    <t>20797345:eng</t>
  </si>
  <si>
    <t>35701222</t>
  </si>
  <si>
    <t>991002722689702656</t>
  </si>
  <si>
    <t>2271595980002656</t>
  </si>
  <si>
    <t>9780201149425</t>
  </si>
  <si>
    <t>32285002880788</t>
  </si>
  <si>
    <t>893704431</t>
  </si>
  <si>
    <t>Keep in Collection? (Yes/No)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</si>
</sst>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color theme="1"/>
      <name val="Calibri"/>
      <family val="2"/>
      <scheme val="minor"/>
    </font>
    <font>
      <u/>
      <sz val="11"/>
      <color rgb="FF0000FF"/>
      <name val="Calibri"/>
      <family val="2"/>
      <scheme val="minor"/>
    </font>
  </fonts>
  <fills count="3">
    <fill>
      <patternFill patternType="none"/>
    </fill>
    <fill>
      <patternFill patternType="gray125"/>
    </fill>
    <fill>
      <patternFill patternType="solid">
        <fgColor rgb="FFC0C0C0"/>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horizontal="center" vertical="center" wrapText="1"/>
    </xf>
    <xf numFmtId="0" fontId="0" fillId="0" borderId="0" xfId="0" applyAlignment="1">
      <alignment vertical="center" wrapText="1"/>
    </xf>
    <xf numFmtId="49" fontId="0" fillId="0" borderId="0" xfId="0" applyNumberFormat="1"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0" fontId="2" fillId="0" borderId="0" xfId="0" applyFont="1" applyAlignment="1">
      <alignment horizontal="center" vertical="center" wrapText="1"/>
    </xf>
    <xf numFmtId="0" fontId="0" fillId="0" borderId="0" xfId="0" applyProtection="1">
      <protection locked="0"/>
    </xf>
    <xf numFmtId="0" fontId="1" fillId="2" borderId="0" xfId="0" applyFont="1" applyFill="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1E447-C0A8-4B84-B462-AC6FA2FBD150}">
  <dimension ref="A1:BD621"/>
  <sheetViews>
    <sheetView tabSelected="1" workbookViewId="0">
      <pane ySplit="1" topLeftCell="A2" activePane="bottomLeft" state="frozen"/>
      <selection pane="bottomLeft" activeCell="K2" sqref="K2"/>
    </sheetView>
  </sheetViews>
  <sheetFormatPr defaultRowHeight="31.5" customHeight="1" x14ac:dyDescent="0.25"/>
  <cols>
    <col min="1" max="1" width="13.5703125" customWidth="1"/>
    <col min="2" max="2" width="18.5703125" customWidth="1"/>
    <col min="3" max="3" width="0" hidden="1" customWidth="1"/>
    <col min="4" max="4" width="49.5703125" customWidth="1"/>
    <col min="6" max="10" width="0" hidden="1" customWidth="1"/>
    <col min="11" max="11" width="20.7109375" customWidth="1"/>
    <col min="12" max="12" width="19.85546875" customWidth="1"/>
    <col min="14" max="17" width="0" hidden="1" customWidth="1"/>
    <col min="20" max="26" width="0" hidden="1" customWidth="1"/>
    <col min="28" max="28" width="0" hidden="1" customWidth="1"/>
    <col min="30" max="30" width="0" hidden="1" customWidth="1"/>
    <col min="31" max="31" width="17" customWidth="1"/>
    <col min="32" max="41" width="0" hidden="1" customWidth="1"/>
    <col min="42" max="44" width="11.28515625" customWidth="1"/>
    <col min="47" max="56" width="0" hidden="1" customWidth="1"/>
  </cols>
  <sheetData>
    <row r="1" spans="1:56" ht="42.75" customHeight="1" x14ac:dyDescent="0.25">
      <c r="A1" s="8" t="s">
        <v>7806</v>
      </c>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row>
    <row r="2" spans="1:56" ht="31.5" customHeight="1" x14ac:dyDescent="0.25">
      <c r="A2" s="7" t="s">
        <v>58</v>
      </c>
      <c r="B2" s="2" t="s">
        <v>55</v>
      </c>
      <c r="C2" s="2" t="s">
        <v>56</v>
      </c>
      <c r="D2" s="2" t="s">
        <v>57</v>
      </c>
      <c r="F2" s="3" t="s">
        <v>58</v>
      </c>
      <c r="G2" s="3" t="s">
        <v>59</v>
      </c>
      <c r="H2" s="3" t="s">
        <v>58</v>
      </c>
      <c r="I2" s="3" t="s">
        <v>58</v>
      </c>
      <c r="J2" s="3" t="s">
        <v>60</v>
      </c>
      <c r="L2" s="2" t="s">
        <v>61</v>
      </c>
      <c r="M2" s="3" t="s">
        <v>62</v>
      </c>
      <c r="O2" s="3" t="s">
        <v>63</v>
      </c>
      <c r="P2" s="3" t="s">
        <v>64</v>
      </c>
      <c r="R2" s="3" t="s">
        <v>65</v>
      </c>
      <c r="S2" s="4">
        <v>1</v>
      </c>
      <c r="T2" s="4">
        <v>1</v>
      </c>
      <c r="U2" s="5" t="s">
        <v>66</v>
      </c>
      <c r="V2" s="5" t="s">
        <v>66</v>
      </c>
      <c r="W2" s="5" t="s">
        <v>67</v>
      </c>
      <c r="X2" s="5" t="s">
        <v>67</v>
      </c>
      <c r="Y2" s="4">
        <v>190</v>
      </c>
      <c r="Z2" s="4">
        <v>166</v>
      </c>
      <c r="AA2" s="4">
        <v>172</v>
      </c>
      <c r="AB2" s="4">
        <v>2</v>
      </c>
      <c r="AC2" s="4">
        <v>2</v>
      </c>
      <c r="AD2" s="4">
        <v>8</v>
      </c>
      <c r="AE2" s="4">
        <v>8</v>
      </c>
      <c r="AF2" s="4">
        <v>0</v>
      </c>
      <c r="AG2" s="4">
        <v>0</v>
      </c>
      <c r="AH2" s="4">
        <v>2</v>
      </c>
      <c r="AI2" s="4">
        <v>2</v>
      </c>
      <c r="AJ2" s="4">
        <v>6</v>
      </c>
      <c r="AK2" s="4">
        <v>6</v>
      </c>
      <c r="AL2" s="4">
        <v>1</v>
      </c>
      <c r="AM2" s="4">
        <v>1</v>
      </c>
      <c r="AN2" s="4">
        <v>0</v>
      </c>
      <c r="AO2" s="4">
        <v>0</v>
      </c>
      <c r="AP2" s="3" t="s">
        <v>58</v>
      </c>
      <c r="AQ2" s="3" t="s">
        <v>68</v>
      </c>
      <c r="AR2" s="6" t="str">
        <f>HYPERLINK("http://catalog.hathitrust.org/Record/004041275","HathiTrust Record")</f>
        <v>HathiTrust Record</v>
      </c>
      <c r="AS2" s="6" t="str">
        <f>HYPERLINK("https://creighton-primo.hosted.exlibrisgroup.com/primo-explore/search?tab=default_tab&amp;search_scope=EVERYTHING&amp;vid=01CRU&amp;lang=en_US&amp;offset=0&amp;query=any,contains,991002974869702656","Catalog Record")</f>
        <v>Catalog Record</v>
      </c>
      <c r="AT2" s="6" t="str">
        <f>HYPERLINK("http://www.worldcat.org/oclc/39890335","WorldCat Record")</f>
        <v>WorldCat Record</v>
      </c>
      <c r="AU2" s="3" t="s">
        <v>69</v>
      </c>
      <c r="AV2" s="3" t="s">
        <v>70</v>
      </c>
      <c r="AW2" s="3" t="s">
        <v>71</v>
      </c>
      <c r="AX2" s="3" t="s">
        <v>71</v>
      </c>
      <c r="AY2" s="3" t="s">
        <v>72</v>
      </c>
      <c r="AZ2" s="3" t="s">
        <v>73</v>
      </c>
      <c r="BB2" s="3" t="s">
        <v>74</v>
      </c>
      <c r="BC2" s="3" t="s">
        <v>75</v>
      </c>
      <c r="BD2" s="3" t="s">
        <v>76</v>
      </c>
    </row>
    <row r="3" spans="1:56" ht="31.5" customHeight="1" x14ac:dyDescent="0.25">
      <c r="A3" s="7" t="s">
        <v>58</v>
      </c>
      <c r="B3" s="2" t="s">
        <v>77</v>
      </c>
      <c r="C3" s="2" t="s">
        <v>78</v>
      </c>
      <c r="D3" s="2" t="s">
        <v>79</v>
      </c>
      <c r="F3" s="3" t="s">
        <v>58</v>
      </c>
      <c r="G3" s="3" t="s">
        <v>59</v>
      </c>
      <c r="H3" s="3" t="s">
        <v>58</v>
      </c>
      <c r="I3" s="3" t="s">
        <v>58</v>
      </c>
      <c r="J3" s="3" t="s">
        <v>60</v>
      </c>
      <c r="K3" s="2" t="s">
        <v>80</v>
      </c>
      <c r="L3" s="2" t="s">
        <v>81</v>
      </c>
      <c r="M3" s="3" t="s">
        <v>82</v>
      </c>
      <c r="O3" s="3" t="s">
        <v>63</v>
      </c>
      <c r="P3" s="3" t="s">
        <v>83</v>
      </c>
      <c r="R3" s="3" t="s">
        <v>65</v>
      </c>
      <c r="S3" s="4">
        <v>1</v>
      </c>
      <c r="T3" s="4">
        <v>1</v>
      </c>
      <c r="U3" s="5" t="s">
        <v>84</v>
      </c>
      <c r="V3" s="5" t="s">
        <v>84</v>
      </c>
      <c r="W3" s="5" t="s">
        <v>84</v>
      </c>
      <c r="X3" s="5" t="s">
        <v>84</v>
      </c>
      <c r="Y3" s="4">
        <v>569</v>
      </c>
      <c r="Z3" s="4">
        <v>534</v>
      </c>
      <c r="AA3" s="4">
        <v>540</v>
      </c>
      <c r="AB3" s="4">
        <v>4</v>
      </c>
      <c r="AC3" s="4">
        <v>4</v>
      </c>
      <c r="AD3" s="4">
        <v>17</v>
      </c>
      <c r="AE3" s="4">
        <v>17</v>
      </c>
      <c r="AF3" s="4">
        <v>8</v>
      </c>
      <c r="AG3" s="4">
        <v>8</v>
      </c>
      <c r="AH3" s="4">
        <v>2</v>
      </c>
      <c r="AI3" s="4">
        <v>2</v>
      </c>
      <c r="AJ3" s="4">
        <v>10</v>
      </c>
      <c r="AK3" s="4">
        <v>10</v>
      </c>
      <c r="AL3" s="4">
        <v>3</v>
      </c>
      <c r="AM3" s="4">
        <v>3</v>
      </c>
      <c r="AN3" s="4">
        <v>0</v>
      </c>
      <c r="AO3" s="4">
        <v>0</v>
      </c>
      <c r="AP3" s="3" t="s">
        <v>58</v>
      </c>
      <c r="AQ3" s="3" t="s">
        <v>68</v>
      </c>
      <c r="AR3" s="6" t="str">
        <f>HYPERLINK("http://catalog.hathitrust.org/Record/004301459","HathiTrust Record")</f>
        <v>HathiTrust Record</v>
      </c>
      <c r="AS3" s="6" t="str">
        <f>HYPERLINK("https://creighton-primo.hosted.exlibrisgroup.com/primo-explore/search?tab=default_tab&amp;search_scope=EVERYTHING&amp;vid=01CRU&amp;lang=en_US&amp;offset=0&amp;query=any,contains,991004058129702656","Catalog Record")</f>
        <v>Catalog Record</v>
      </c>
      <c r="AT3" s="6" t="str">
        <f>HYPERLINK("http://www.worldcat.org/oclc/50041441","WorldCat Record")</f>
        <v>WorldCat Record</v>
      </c>
      <c r="AU3" s="3" t="s">
        <v>85</v>
      </c>
      <c r="AV3" s="3" t="s">
        <v>86</v>
      </c>
      <c r="AW3" s="3" t="s">
        <v>87</v>
      </c>
      <c r="AX3" s="3" t="s">
        <v>87</v>
      </c>
      <c r="AY3" s="3" t="s">
        <v>88</v>
      </c>
      <c r="AZ3" s="3" t="s">
        <v>73</v>
      </c>
      <c r="BB3" s="3" t="s">
        <v>89</v>
      </c>
      <c r="BC3" s="3" t="s">
        <v>90</v>
      </c>
      <c r="BD3" s="3" t="s">
        <v>91</v>
      </c>
    </row>
    <row r="4" spans="1:56" ht="31.5" customHeight="1" x14ac:dyDescent="0.25">
      <c r="A4" s="7" t="s">
        <v>58</v>
      </c>
      <c r="B4" s="2" t="s">
        <v>92</v>
      </c>
      <c r="C4" s="2" t="s">
        <v>93</v>
      </c>
      <c r="D4" s="2" t="s">
        <v>94</v>
      </c>
      <c r="F4" s="3" t="s">
        <v>58</v>
      </c>
      <c r="G4" s="3" t="s">
        <v>59</v>
      </c>
      <c r="H4" s="3" t="s">
        <v>58</v>
      </c>
      <c r="I4" s="3" t="s">
        <v>58</v>
      </c>
      <c r="J4" s="3" t="s">
        <v>60</v>
      </c>
      <c r="K4" s="2" t="s">
        <v>95</v>
      </c>
      <c r="L4" s="2" t="s">
        <v>96</v>
      </c>
      <c r="M4" s="3" t="s">
        <v>97</v>
      </c>
      <c r="O4" s="3" t="s">
        <v>63</v>
      </c>
      <c r="P4" s="3" t="s">
        <v>98</v>
      </c>
      <c r="R4" s="3" t="s">
        <v>65</v>
      </c>
      <c r="S4" s="4">
        <v>4</v>
      </c>
      <c r="T4" s="4">
        <v>4</v>
      </c>
      <c r="U4" s="5" t="s">
        <v>99</v>
      </c>
      <c r="V4" s="5" t="s">
        <v>99</v>
      </c>
      <c r="W4" s="5" t="s">
        <v>100</v>
      </c>
      <c r="X4" s="5" t="s">
        <v>100</v>
      </c>
      <c r="Y4" s="4">
        <v>180</v>
      </c>
      <c r="Z4" s="4">
        <v>131</v>
      </c>
      <c r="AA4" s="4">
        <v>134</v>
      </c>
      <c r="AB4" s="4">
        <v>1</v>
      </c>
      <c r="AC4" s="4">
        <v>1</v>
      </c>
      <c r="AD4" s="4">
        <v>2</v>
      </c>
      <c r="AE4" s="4">
        <v>2</v>
      </c>
      <c r="AF4" s="4">
        <v>0</v>
      </c>
      <c r="AG4" s="4">
        <v>0</v>
      </c>
      <c r="AH4" s="4">
        <v>2</v>
      </c>
      <c r="AI4" s="4">
        <v>2</v>
      </c>
      <c r="AJ4" s="4">
        <v>0</v>
      </c>
      <c r="AK4" s="4">
        <v>0</v>
      </c>
      <c r="AL4" s="4">
        <v>0</v>
      </c>
      <c r="AM4" s="4">
        <v>0</v>
      </c>
      <c r="AN4" s="4">
        <v>0</v>
      </c>
      <c r="AO4" s="4">
        <v>0</v>
      </c>
      <c r="AP4" s="3" t="s">
        <v>58</v>
      </c>
      <c r="AQ4" s="3" t="s">
        <v>68</v>
      </c>
      <c r="AR4" s="6" t="str">
        <f>HYPERLINK("http://catalog.hathitrust.org/Record/001541189","HathiTrust Record")</f>
        <v>HathiTrust Record</v>
      </c>
      <c r="AS4" s="6" t="str">
        <f>HYPERLINK("https://creighton-primo.hosted.exlibrisgroup.com/primo-explore/search?tab=default_tab&amp;search_scope=EVERYTHING&amp;vid=01CRU&amp;lang=en_US&amp;offset=0&amp;query=any,contains,991001441659702656","Catalog Record")</f>
        <v>Catalog Record</v>
      </c>
      <c r="AT4" s="6" t="str">
        <f>HYPERLINK("http://www.worldcat.org/oclc/19262808","WorldCat Record")</f>
        <v>WorldCat Record</v>
      </c>
      <c r="AU4" s="3" t="s">
        <v>101</v>
      </c>
      <c r="AV4" s="3" t="s">
        <v>102</v>
      </c>
      <c r="AW4" s="3" t="s">
        <v>103</v>
      </c>
      <c r="AX4" s="3" t="s">
        <v>103</v>
      </c>
      <c r="AY4" s="3" t="s">
        <v>104</v>
      </c>
      <c r="AZ4" s="3" t="s">
        <v>73</v>
      </c>
      <c r="BB4" s="3" t="s">
        <v>105</v>
      </c>
      <c r="BC4" s="3" t="s">
        <v>106</v>
      </c>
      <c r="BD4" s="3" t="s">
        <v>107</v>
      </c>
    </row>
    <row r="5" spans="1:56" ht="31.5" customHeight="1" x14ac:dyDescent="0.25">
      <c r="A5" s="7" t="s">
        <v>58</v>
      </c>
      <c r="B5" s="2" t="s">
        <v>108</v>
      </c>
      <c r="C5" s="2" t="s">
        <v>109</v>
      </c>
      <c r="D5" s="2" t="s">
        <v>110</v>
      </c>
      <c r="F5" s="3" t="s">
        <v>58</v>
      </c>
      <c r="G5" s="3" t="s">
        <v>59</v>
      </c>
      <c r="H5" s="3" t="s">
        <v>58</v>
      </c>
      <c r="I5" s="3" t="s">
        <v>58</v>
      </c>
      <c r="J5" s="3" t="s">
        <v>60</v>
      </c>
      <c r="K5" s="2" t="s">
        <v>111</v>
      </c>
      <c r="L5" s="2" t="s">
        <v>112</v>
      </c>
      <c r="M5" s="3" t="s">
        <v>113</v>
      </c>
      <c r="O5" s="3" t="s">
        <v>63</v>
      </c>
      <c r="P5" s="3" t="s">
        <v>114</v>
      </c>
      <c r="R5" s="3" t="s">
        <v>65</v>
      </c>
      <c r="S5" s="4">
        <v>1</v>
      </c>
      <c r="T5" s="4">
        <v>1</v>
      </c>
      <c r="U5" s="5" t="s">
        <v>115</v>
      </c>
      <c r="V5" s="5" t="s">
        <v>115</v>
      </c>
      <c r="W5" s="5" t="s">
        <v>115</v>
      </c>
      <c r="X5" s="5" t="s">
        <v>115</v>
      </c>
      <c r="Y5" s="4">
        <v>288</v>
      </c>
      <c r="Z5" s="4">
        <v>263</v>
      </c>
      <c r="AA5" s="4">
        <v>314</v>
      </c>
      <c r="AB5" s="4">
        <v>3</v>
      </c>
      <c r="AC5" s="4">
        <v>4</v>
      </c>
      <c r="AD5" s="4">
        <v>7</v>
      </c>
      <c r="AE5" s="4">
        <v>7</v>
      </c>
      <c r="AF5" s="4">
        <v>4</v>
      </c>
      <c r="AG5" s="4">
        <v>4</v>
      </c>
      <c r="AH5" s="4">
        <v>1</v>
      </c>
      <c r="AI5" s="4">
        <v>1</v>
      </c>
      <c r="AJ5" s="4">
        <v>3</v>
      </c>
      <c r="AK5" s="4">
        <v>3</v>
      </c>
      <c r="AL5" s="4">
        <v>2</v>
      </c>
      <c r="AM5" s="4">
        <v>2</v>
      </c>
      <c r="AN5" s="4">
        <v>0</v>
      </c>
      <c r="AO5" s="4">
        <v>0</v>
      </c>
      <c r="AP5" s="3" t="s">
        <v>58</v>
      </c>
      <c r="AQ5" s="3" t="s">
        <v>68</v>
      </c>
      <c r="AR5" s="6" t="str">
        <f>HYPERLINK("http://catalog.hathitrust.org/Record/008442112","HathiTrust Record")</f>
        <v>HathiTrust Record</v>
      </c>
      <c r="AS5" s="6" t="str">
        <f>HYPERLINK("https://creighton-primo.hosted.exlibrisgroup.com/primo-explore/search?tab=default_tab&amp;search_scope=EVERYTHING&amp;vid=01CRU&amp;lang=en_US&amp;offset=0&amp;query=any,contains,991005285319702656","Catalog Record")</f>
        <v>Catalog Record</v>
      </c>
      <c r="AT5" s="6" t="str">
        <f>HYPERLINK("http://www.worldcat.org/oclc/51042897","WorldCat Record")</f>
        <v>WorldCat Record</v>
      </c>
      <c r="AU5" s="3" t="s">
        <v>116</v>
      </c>
      <c r="AV5" s="3" t="s">
        <v>117</v>
      </c>
      <c r="AW5" s="3" t="s">
        <v>118</v>
      </c>
      <c r="AX5" s="3" t="s">
        <v>118</v>
      </c>
      <c r="AY5" s="3" t="s">
        <v>119</v>
      </c>
      <c r="AZ5" s="3" t="s">
        <v>73</v>
      </c>
      <c r="BB5" s="3" t="s">
        <v>120</v>
      </c>
      <c r="BC5" s="3" t="s">
        <v>121</v>
      </c>
      <c r="BD5" s="3" t="s">
        <v>122</v>
      </c>
    </row>
    <row r="6" spans="1:56" ht="31.5" customHeight="1" x14ac:dyDescent="0.25">
      <c r="A6" s="7" t="s">
        <v>58</v>
      </c>
      <c r="B6" s="2" t="s">
        <v>123</v>
      </c>
      <c r="C6" s="2" t="s">
        <v>124</v>
      </c>
      <c r="D6" s="2" t="s">
        <v>125</v>
      </c>
      <c r="F6" s="3" t="s">
        <v>58</v>
      </c>
      <c r="G6" s="3" t="s">
        <v>59</v>
      </c>
      <c r="H6" s="3" t="s">
        <v>58</v>
      </c>
      <c r="I6" s="3" t="s">
        <v>58</v>
      </c>
      <c r="J6" s="3" t="s">
        <v>60</v>
      </c>
      <c r="K6" s="2" t="s">
        <v>126</v>
      </c>
      <c r="L6" s="2" t="s">
        <v>127</v>
      </c>
      <c r="M6" s="3" t="s">
        <v>128</v>
      </c>
      <c r="O6" s="3" t="s">
        <v>63</v>
      </c>
      <c r="P6" s="3" t="s">
        <v>129</v>
      </c>
      <c r="R6" s="3" t="s">
        <v>65</v>
      </c>
      <c r="S6" s="4">
        <v>6</v>
      </c>
      <c r="T6" s="4">
        <v>6</v>
      </c>
      <c r="U6" s="5" t="s">
        <v>130</v>
      </c>
      <c r="V6" s="5" t="s">
        <v>130</v>
      </c>
      <c r="W6" s="5" t="s">
        <v>131</v>
      </c>
      <c r="X6" s="5" t="s">
        <v>131</v>
      </c>
      <c r="Y6" s="4">
        <v>525</v>
      </c>
      <c r="Z6" s="4">
        <v>396</v>
      </c>
      <c r="AA6" s="4">
        <v>402</v>
      </c>
      <c r="AB6" s="4">
        <v>3</v>
      </c>
      <c r="AC6" s="4">
        <v>3</v>
      </c>
      <c r="AD6" s="4">
        <v>13</v>
      </c>
      <c r="AE6" s="4">
        <v>13</v>
      </c>
      <c r="AF6" s="4">
        <v>6</v>
      </c>
      <c r="AG6" s="4">
        <v>6</v>
      </c>
      <c r="AH6" s="4">
        <v>1</v>
      </c>
      <c r="AI6" s="4">
        <v>1</v>
      </c>
      <c r="AJ6" s="4">
        <v>7</v>
      </c>
      <c r="AK6" s="4">
        <v>7</v>
      </c>
      <c r="AL6" s="4">
        <v>2</v>
      </c>
      <c r="AM6" s="4">
        <v>2</v>
      </c>
      <c r="AN6" s="4">
        <v>0</v>
      </c>
      <c r="AO6" s="4">
        <v>0</v>
      </c>
      <c r="AP6" s="3" t="s">
        <v>58</v>
      </c>
      <c r="AQ6" s="3" t="s">
        <v>58</v>
      </c>
      <c r="AS6" s="6" t="str">
        <f>HYPERLINK("https://creighton-primo.hosted.exlibrisgroup.com/primo-explore/search?tab=default_tab&amp;search_scope=EVERYTHING&amp;vid=01CRU&amp;lang=en_US&amp;offset=0&amp;query=any,contains,991002121199702656","Catalog Record")</f>
        <v>Catalog Record</v>
      </c>
      <c r="AT6" s="6" t="str">
        <f>HYPERLINK("http://www.worldcat.org/oclc/27186135","WorldCat Record")</f>
        <v>WorldCat Record</v>
      </c>
      <c r="AU6" s="3" t="s">
        <v>132</v>
      </c>
      <c r="AV6" s="3" t="s">
        <v>133</v>
      </c>
      <c r="AW6" s="3" t="s">
        <v>134</v>
      </c>
      <c r="AX6" s="3" t="s">
        <v>134</v>
      </c>
      <c r="AY6" s="3" t="s">
        <v>135</v>
      </c>
      <c r="AZ6" s="3" t="s">
        <v>73</v>
      </c>
      <c r="BB6" s="3" t="s">
        <v>136</v>
      </c>
      <c r="BC6" s="3" t="s">
        <v>137</v>
      </c>
      <c r="BD6" s="3" t="s">
        <v>138</v>
      </c>
    </row>
    <row r="7" spans="1:56" ht="31.5" customHeight="1" x14ac:dyDescent="0.25">
      <c r="A7" s="7" t="s">
        <v>58</v>
      </c>
      <c r="B7" s="2" t="s">
        <v>139</v>
      </c>
      <c r="C7" s="2" t="s">
        <v>140</v>
      </c>
      <c r="D7" s="2" t="s">
        <v>141</v>
      </c>
      <c r="F7" s="3" t="s">
        <v>58</v>
      </c>
      <c r="G7" s="3" t="s">
        <v>59</v>
      </c>
      <c r="H7" s="3" t="s">
        <v>58</v>
      </c>
      <c r="I7" s="3" t="s">
        <v>58</v>
      </c>
      <c r="J7" s="3" t="s">
        <v>60</v>
      </c>
      <c r="K7" s="2" t="s">
        <v>142</v>
      </c>
      <c r="L7" s="2" t="s">
        <v>143</v>
      </c>
      <c r="M7" s="3" t="s">
        <v>144</v>
      </c>
      <c r="O7" s="3" t="s">
        <v>63</v>
      </c>
      <c r="P7" s="3" t="s">
        <v>145</v>
      </c>
      <c r="R7" s="3" t="s">
        <v>65</v>
      </c>
      <c r="S7" s="4">
        <v>2</v>
      </c>
      <c r="T7" s="4">
        <v>2</v>
      </c>
      <c r="U7" s="5" t="s">
        <v>146</v>
      </c>
      <c r="V7" s="5" t="s">
        <v>146</v>
      </c>
      <c r="W7" s="5" t="s">
        <v>147</v>
      </c>
      <c r="X7" s="5" t="s">
        <v>147</v>
      </c>
      <c r="Y7" s="4">
        <v>98</v>
      </c>
      <c r="Z7" s="4">
        <v>74</v>
      </c>
      <c r="AA7" s="4">
        <v>75</v>
      </c>
      <c r="AB7" s="4">
        <v>2</v>
      </c>
      <c r="AC7" s="4">
        <v>2</v>
      </c>
      <c r="AD7" s="4">
        <v>1</v>
      </c>
      <c r="AE7" s="4">
        <v>1</v>
      </c>
      <c r="AF7" s="4">
        <v>0</v>
      </c>
      <c r="AG7" s="4">
        <v>0</v>
      </c>
      <c r="AH7" s="4">
        <v>0</v>
      </c>
      <c r="AI7" s="4">
        <v>0</v>
      </c>
      <c r="AJ7" s="4">
        <v>0</v>
      </c>
      <c r="AK7" s="4">
        <v>0</v>
      </c>
      <c r="AL7" s="4">
        <v>1</v>
      </c>
      <c r="AM7" s="4">
        <v>1</v>
      </c>
      <c r="AN7" s="4">
        <v>0</v>
      </c>
      <c r="AO7" s="4">
        <v>0</v>
      </c>
      <c r="AP7" s="3" t="s">
        <v>58</v>
      </c>
      <c r="AQ7" s="3" t="s">
        <v>68</v>
      </c>
      <c r="AR7" s="6" t="str">
        <f>HYPERLINK("http://catalog.hathitrust.org/Record/000774531","HathiTrust Record")</f>
        <v>HathiTrust Record</v>
      </c>
      <c r="AS7" s="6" t="str">
        <f>HYPERLINK("https://creighton-primo.hosted.exlibrisgroup.com/primo-explore/search?tab=default_tab&amp;search_scope=EVERYTHING&amp;vid=01CRU&amp;lang=en_US&amp;offset=0&amp;query=any,contains,991005248719702656","Catalog Record")</f>
        <v>Catalog Record</v>
      </c>
      <c r="AT7" s="6" t="str">
        <f>HYPERLINK("http://www.worldcat.org/oclc/8475758","WorldCat Record")</f>
        <v>WorldCat Record</v>
      </c>
      <c r="AU7" s="3" t="s">
        <v>148</v>
      </c>
      <c r="AV7" s="3" t="s">
        <v>149</v>
      </c>
      <c r="AW7" s="3" t="s">
        <v>150</v>
      </c>
      <c r="AX7" s="3" t="s">
        <v>150</v>
      </c>
      <c r="AY7" s="3" t="s">
        <v>151</v>
      </c>
      <c r="AZ7" s="3" t="s">
        <v>73</v>
      </c>
      <c r="BB7" s="3" t="s">
        <v>152</v>
      </c>
      <c r="BC7" s="3" t="s">
        <v>153</v>
      </c>
      <c r="BD7" s="3" t="s">
        <v>154</v>
      </c>
    </row>
    <row r="8" spans="1:56" ht="31.5" customHeight="1" x14ac:dyDescent="0.25">
      <c r="A8" s="7" t="s">
        <v>58</v>
      </c>
      <c r="B8" s="2" t="s">
        <v>155</v>
      </c>
      <c r="C8" s="2" t="s">
        <v>156</v>
      </c>
      <c r="D8" s="2" t="s">
        <v>157</v>
      </c>
      <c r="F8" s="3" t="s">
        <v>58</v>
      </c>
      <c r="G8" s="3" t="s">
        <v>59</v>
      </c>
      <c r="H8" s="3" t="s">
        <v>58</v>
      </c>
      <c r="I8" s="3" t="s">
        <v>58</v>
      </c>
      <c r="J8" s="3" t="s">
        <v>60</v>
      </c>
      <c r="L8" s="2" t="s">
        <v>158</v>
      </c>
      <c r="M8" s="3" t="s">
        <v>159</v>
      </c>
      <c r="O8" s="3" t="s">
        <v>63</v>
      </c>
      <c r="P8" s="3" t="s">
        <v>145</v>
      </c>
      <c r="R8" s="3" t="s">
        <v>65</v>
      </c>
      <c r="S8" s="4">
        <v>1</v>
      </c>
      <c r="T8" s="4">
        <v>1</v>
      </c>
      <c r="U8" s="5" t="s">
        <v>160</v>
      </c>
      <c r="V8" s="5" t="s">
        <v>160</v>
      </c>
      <c r="W8" s="5" t="s">
        <v>161</v>
      </c>
      <c r="X8" s="5" t="s">
        <v>161</v>
      </c>
      <c r="Y8" s="4">
        <v>182</v>
      </c>
      <c r="Z8" s="4">
        <v>156</v>
      </c>
      <c r="AA8" s="4">
        <v>157</v>
      </c>
      <c r="AB8" s="4">
        <v>1</v>
      </c>
      <c r="AC8" s="4">
        <v>1</v>
      </c>
      <c r="AD8" s="4">
        <v>3</v>
      </c>
      <c r="AE8" s="4">
        <v>3</v>
      </c>
      <c r="AF8" s="4">
        <v>2</v>
      </c>
      <c r="AG8" s="4">
        <v>2</v>
      </c>
      <c r="AH8" s="4">
        <v>2</v>
      </c>
      <c r="AI8" s="4">
        <v>2</v>
      </c>
      <c r="AJ8" s="4">
        <v>1</v>
      </c>
      <c r="AK8" s="4">
        <v>1</v>
      </c>
      <c r="AL8" s="4">
        <v>0</v>
      </c>
      <c r="AM8" s="4">
        <v>0</v>
      </c>
      <c r="AN8" s="4">
        <v>0</v>
      </c>
      <c r="AO8" s="4">
        <v>0</v>
      </c>
      <c r="AP8" s="3" t="s">
        <v>58</v>
      </c>
      <c r="AQ8" s="3" t="s">
        <v>68</v>
      </c>
      <c r="AR8" s="6" t="str">
        <f>HYPERLINK("http://catalog.hathitrust.org/Record/000451943","HathiTrust Record")</f>
        <v>HathiTrust Record</v>
      </c>
      <c r="AS8" s="6" t="str">
        <f>HYPERLINK("https://creighton-primo.hosted.exlibrisgroup.com/primo-explore/search?tab=default_tab&amp;search_scope=EVERYTHING&amp;vid=01CRU&amp;lang=en_US&amp;offset=0&amp;query=any,contains,991000304739702656","Catalog Record")</f>
        <v>Catalog Record</v>
      </c>
      <c r="AT8" s="6" t="str">
        <f>HYPERLINK("http://www.worldcat.org/oclc/10046242","WorldCat Record")</f>
        <v>WorldCat Record</v>
      </c>
      <c r="AU8" s="3" t="s">
        <v>162</v>
      </c>
      <c r="AV8" s="3" t="s">
        <v>163</v>
      </c>
      <c r="AW8" s="3" t="s">
        <v>164</v>
      </c>
      <c r="AX8" s="3" t="s">
        <v>164</v>
      </c>
      <c r="AY8" s="3" t="s">
        <v>165</v>
      </c>
      <c r="AZ8" s="3" t="s">
        <v>73</v>
      </c>
      <c r="BB8" s="3" t="s">
        <v>166</v>
      </c>
      <c r="BC8" s="3" t="s">
        <v>167</v>
      </c>
      <c r="BD8" s="3" t="s">
        <v>168</v>
      </c>
    </row>
    <row r="9" spans="1:56" ht="31.5" customHeight="1" x14ac:dyDescent="0.25">
      <c r="A9" s="7" t="s">
        <v>58</v>
      </c>
      <c r="B9" s="2" t="s">
        <v>169</v>
      </c>
      <c r="C9" s="2" t="s">
        <v>170</v>
      </c>
      <c r="D9" s="2" t="s">
        <v>171</v>
      </c>
      <c r="F9" s="3" t="s">
        <v>58</v>
      </c>
      <c r="G9" s="3" t="s">
        <v>59</v>
      </c>
      <c r="H9" s="3" t="s">
        <v>58</v>
      </c>
      <c r="I9" s="3" t="s">
        <v>58</v>
      </c>
      <c r="J9" s="3" t="s">
        <v>60</v>
      </c>
      <c r="L9" s="2" t="s">
        <v>172</v>
      </c>
      <c r="M9" s="3" t="s">
        <v>159</v>
      </c>
      <c r="O9" s="3" t="s">
        <v>63</v>
      </c>
      <c r="P9" s="3" t="s">
        <v>129</v>
      </c>
      <c r="R9" s="3" t="s">
        <v>65</v>
      </c>
      <c r="S9" s="4">
        <v>1</v>
      </c>
      <c r="T9" s="4">
        <v>1</v>
      </c>
      <c r="U9" s="5" t="s">
        <v>160</v>
      </c>
      <c r="V9" s="5" t="s">
        <v>160</v>
      </c>
      <c r="W9" s="5" t="s">
        <v>161</v>
      </c>
      <c r="X9" s="5" t="s">
        <v>161</v>
      </c>
      <c r="Y9" s="4">
        <v>733</v>
      </c>
      <c r="Z9" s="4">
        <v>647</v>
      </c>
      <c r="AA9" s="4">
        <v>654</v>
      </c>
      <c r="AB9" s="4">
        <v>5</v>
      </c>
      <c r="AC9" s="4">
        <v>5</v>
      </c>
      <c r="AD9" s="4">
        <v>19</v>
      </c>
      <c r="AE9" s="4">
        <v>19</v>
      </c>
      <c r="AF9" s="4">
        <v>9</v>
      </c>
      <c r="AG9" s="4">
        <v>9</v>
      </c>
      <c r="AH9" s="4">
        <v>4</v>
      </c>
      <c r="AI9" s="4">
        <v>4</v>
      </c>
      <c r="AJ9" s="4">
        <v>7</v>
      </c>
      <c r="AK9" s="4">
        <v>7</v>
      </c>
      <c r="AL9" s="4">
        <v>4</v>
      </c>
      <c r="AM9" s="4">
        <v>4</v>
      </c>
      <c r="AN9" s="4">
        <v>0</v>
      </c>
      <c r="AO9" s="4">
        <v>0</v>
      </c>
      <c r="AP9" s="3" t="s">
        <v>58</v>
      </c>
      <c r="AQ9" s="3" t="s">
        <v>58</v>
      </c>
      <c r="AS9" s="6" t="str">
        <f>HYPERLINK("https://creighton-primo.hosted.exlibrisgroup.com/primo-explore/search?tab=default_tab&amp;search_scope=EVERYTHING&amp;vid=01CRU&amp;lang=en_US&amp;offset=0&amp;query=any,contains,991000196079702656","Catalog Record")</f>
        <v>Catalog Record</v>
      </c>
      <c r="AT9" s="6" t="str">
        <f>HYPERLINK("http://www.worldcat.org/oclc/9441394","WorldCat Record")</f>
        <v>WorldCat Record</v>
      </c>
      <c r="AU9" s="3" t="s">
        <v>173</v>
      </c>
      <c r="AV9" s="3" t="s">
        <v>174</v>
      </c>
      <c r="AW9" s="3" t="s">
        <v>175</v>
      </c>
      <c r="AX9" s="3" t="s">
        <v>175</v>
      </c>
      <c r="AY9" s="3" t="s">
        <v>176</v>
      </c>
      <c r="AZ9" s="3" t="s">
        <v>73</v>
      </c>
      <c r="BB9" s="3" t="s">
        <v>177</v>
      </c>
      <c r="BC9" s="3" t="s">
        <v>178</v>
      </c>
      <c r="BD9" s="3" t="s">
        <v>179</v>
      </c>
    </row>
    <row r="10" spans="1:56" ht="31.5" customHeight="1" x14ac:dyDescent="0.25">
      <c r="A10" s="7" t="s">
        <v>58</v>
      </c>
      <c r="B10" s="2" t="s">
        <v>180</v>
      </c>
      <c r="C10" s="2" t="s">
        <v>181</v>
      </c>
      <c r="D10" s="2" t="s">
        <v>182</v>
      </c>
      <c r="F10" s="3" t="s">
        <v>58</v>
      </c>
      <c r="G10" s="3" t="s">
        <v>59</v>
      </c>
      <c r="H10" s="3" t="s">
        <v>58</v>
      </c>
      <c r="I10" s="3" t="s">
        <v>58</v>
      </c>
      <c r="J10" s="3" t="s">
        <v>60</v>
      </c>
      <c r="K10" s="2" t="s">
        <v>183</v>
      </c>
      <c r="L10" s="2" t="s">
        <v>184</v>
      </c>
      <c r="M10" s="3" t="s">
        <v>185</v>
      </c>
      <c r="O10" s="3" t="s">
        <v>63</v>
      </c>
      <c r="P10" s="3" t="s">
        <v>186</v>
      </c>
      <c r="Q10" s="2" t="s">
        <v>187</v>
      </c>
      <c r="R10" s="3" t="s">
        <v>65</v>
      </c>
      <c r="S10" s="4">
        <v>3</v>
      </c>
      <c r="T10" s="4">
        <v>3</v>
      </c>
      <c r="U10" s="5" t="s">
        <v>160</v>
      </c>
      <c r="V10" s="5" t="s">
        <v>160</v>
      </c>
      <c r="W10" s="5" t="s">
        <v>188</v>
      </c>
      <c r="X10" s="5" t="s">
        <v>188</v>
      </c>
      <c r="Y10" s="4">
        <v>219</v>
      </c>
      <c r="Z10" s="4">
        <v>160</v>
      </c>
      <c r="AA10" s="4">
        <v>161</v>
      </c>
      <c r="AB10" s="4">
        <v>3</v>
      </c>
      <c r="AC10" s="4">
        <v>3</v>
      </c>
      <c r="AD10" s="4">
        <v>7</v>
      </c>
      <c r="AE10" s="4">
        <v>7</v>
      </c>
      <c r="AF10" s="4">
        <v>3</v>
      </c>
      <c r="AG10" s="4">
        <v>3</v>
      </c>
      <c r="AH10" s="4">
        <v>2</v>
      </c>
      <c r="AI10" s="4">
        <v>2</v>
      </c>
      <c r="AJ10" s="4">
        <v>2</v>
      </c>
      <c r="AK10" s="4">
        <v>2</v>
      </c>
      <c r="AL10" s="4">
        <v>2</v>
      </c>
      <c r="AM10" s="4">
        <v>2</v>
      </c>
      <c r="AN10" s="4">
        <v>0</v>
      </c>
      <c r="AO10" s="4">
        <v>0</v>
      </c>
      <c r="AP10" s="3" t="s">
        <v>58</v>
      </c>
      <c r="AQ10" s="3" t="s">
        <v>68</v>
      </c>
      <c r="AR10" s="6" t="str">
        <f>HYPERLINK("http://catalog.hathitrust.org/Record/001541795","HathiTrust Record")</f>
        <v>HathiTrust Record</v>
      </c>
      <c r="AS10" s="6" t="str">
        <f>HYPERLINK("https://creighton-primo.hosted.exlibrisgroup.com/primo-explore/search?tab=default_tab&amp;search_scope=EVERYTHING&amp;vid=01CRU&amp;lang=en_US&amp;offset=0&amp;query=any,contains,991001320649702656","Catalog Record")</f>
        <v>Catalog Record</v>
      </c>
      <c r="AT10" s="6" t="str">
        <f>HYPERLINK("http://www.worldcat.org/oclc/18223548","WorldCat Record")</f>
        <v>WorldCat Record</v>
      </c>
      <c r="AU10" s="3" t="s">
        <v>189</v>
      </c>
      <c r="AV10" s="3" t="s">
        <v>190</v>
      </c>
      <c r="AW10" s="3" t="s">
        <v>191</v>
      </c>
      <c r="AX10" s="3" t="s">
        <v>191</v>
      </c>
      <c r="AY10" s="3" t="s">
        <v>192</v>
      </c>
      <c r="AZ10" s="3" t="s">
        <v>73</v>
      </c>
      <c r="BB10" s="3" t="s">
        <v>193</v>
      </c>
      <c r="BC10" s="3" t="s">
        <v>194</v>
      </c>
      <c r="BD10" s="3" t="s">
        <v>195</v>
      </c>
    </row>
    <row r="11" spans="1:56" ht="31.5" customHeight="1" x14ac:dyDescent="0.25">
      <c r="A11" s="7" t="s">
        <v>58</v>
      </c>
      <c r="B11" s="2" t="s">
        <v>196</v>
      </c>
      <c r="C11" s="2" t="s">
        <v>197</v>
      </c>
      <c r="D11" s="2" t="s">
        <v>198</v>
      </c>
      <c r="F11" s="3" t="s">
        <v>58</v>
      </c>
      <c r="G11" s="3" t="s">
        <v>59</v>
      </c>
      <c r="H11" s="3" t="s">
        <v>58</v>
      </c>
      <c r="I11" s="3" t="s">
        <v>58</v>
      </c>
      <c r="J11" s="3" t="s">
        <v>60</v>
      </c>
      <c r="K11" s="2" t="s">
        <v>199</v>
      </c>
      <c r="L11" s="2" t="s">
        <v>200</v>
      </c>
      <c r="M11" s="3" t="s">
        <v>201</v>
      </c>
      <c r="N11" s="2" t="s">
        <v>202</v>
      </c>
      <c r="O11" s="3" t="s">
        <v>63</v>
      </c>
      <c r="P11" s="3" t="s">
        <v>186</v>
      </c>
      <c r="R11" s="3" t="s">
        <v>65</v>
      </c>
      <c r="S11" s="4">
        <v>6</v>
      </c>
      <c r="T11" s="4">
        <v>6</v>
      </c>
      <c r="U11" s="5" t="s">
        <v>203</v>
      </c>
      <c r="V11" s="5" t="s">
        <v>203</v>
      </c>
      <c r="W11" s="5" t="s">
        <v>204</v>
      </c>
      <c r="X11" s="5" t="s">
        <v>204</v>
      </c>
      <c r="Y11" s="4">
        <v>327</v>
      </c>
      <c r="Z11" s="4">
        <v>258</v>
      </c>
      <c r="AA11" s="4">
        <v>538</v>
      </c>
      <c r="AB11" s="4">
        <v>1</v>
      </c>
      <c r="AC11" s="4">
        <v>2</v>
      </c>
      <c r="AD11" s="4">
        <v>1</v>
      </c>
      <c r="AE11" s="4">
        <v>12</v>
      </c>
      <c r="AF11" s="4">
        <v>0</v>
      </c>
      <c r="AG11" s="4">
        <v>3</v>
      </c>
      <c r="AH11" s="4">
        <v>0</v>
      </c>
      <c r="AI11" s="4">
        <v>2</v>
      </c>
      <c r="AJ11" s="4">
        <v>1</v>
      </c>
      <c r="AK11" s="4">
        <v>7</v>
      </c>
      <c r="AL11" s="4">
        <v>0</v>
      </c>
      <c r="AM11" s="4">
        <v>1</v>
      </c>
      <c r="AN11" s="4">
        <v>0</v>
      </c>
      <c r="AO11" s="4">
        <v>0</v>
      </c>
      <c r="AP11" s="3" t="s">
        <v>58</v>
      </c>
      <c r="AQ11" s="3" t="s">
        <v>68</v>
      </c>
      <c r="AR11" s="6" t="str">
        <f>HYPERLINK("http://catalog.hathitrust.org/Record/000228857","HathiTrust Record")</f>
        <v>HathiTrust Record</v>
      </c>
      <c r="AS11" s="6" t="str">
        <f>HYPERLINK("https://creighton-primo.hosted.exlibrisgroup.com/primo-explore/search?tab=default_tab&amp;search_scope=EVERYTHING&amp;vid=01CRU&amp;lang=en_US&amp;offset=0&amp;query=any,contains,991004227219702656","Catalog Record")</f>
        <v>Catalog Record</v>
      </c>
      <c r="AT11" s="6" t="str">
        <f>HYPERLINK("http://www.worldcat.org/oclc/2735470","WorldCat Record")</f>
        <v>WorldCat Record</v>
      </c>
      <c r="AU11" s="3" t="s">
        <v>205</v>
      </c>
      <c r="AV11" s="3" t="s">
        <v>206</v>
      </c>
      <c r="AW11" s="3" t="s">
        <v>207</v>
      </c>
      <c r="AX11" s="3" t="s">
        <v>207</v>
      </c>
      <c r="AY11" s="3" t="s">
        <v>208</v>
      </c>
      <c r="AZ11" s="3" t="s">
        <v>73</v>
      </c>
      <c r="BB11" s="3" t="s">
        <v>209</v>
      </c>
      <c r="BC11" s="3" t="s">
        <v>210</v>
      </c>
      <c r="BD11" s="3" t="s">
        <v>211</v>
      </c>
    </row>
    <row r="12" spans="1:56" ht="31.5" customHeight="1" x14ac:dyDescent="0.25">
      <c r="A12" s="7" t="s">
        <v>58</v>
      </c>
      <c r="B12" s="2" t="s">
        <v>212</v>
      </c>
      <c r="C12" s="2" t="s">
        <v>213</v>
      </c>
      <c r="D12" s="2" t="s">
        <v>214</v>
      </c>
      <c r="F12" s="3" t="s">
        <v>58</v>
      </c>
      <c r="G12" s="3" t="s">
        <v>59</v>
      </c>
      <c r="H12" s="3" t="s">
        <v>58</v>
      </c>
      <c r="I12" s="3" t="s">
        <v>58</v>
      </c>
      <c r="J12" s="3" t="s">
        <v>60</v>
      </c>
      <c r="K12" s="2" t="s">
        <v>215</v>
      </c>
      <c r="L12" s="2" t="s">
        <v>216</v>
      </c>
      <c r="M12" s="3" t="s">
        <v>185</v>
      </c>
      <c r="O12" s="3" t="s">
        <v>63</v>
      </c>
      <c r="P12" s="3" t="s">
        <v>64</v>
      </c>
      <c r="R12" s="3" t="s">
        <v>65</v>
      </c>
      <c r="S12" s="4">
        <v>2</v>
      </c>
      <c r="T12" s="4">
        <v>2</v>
      </c>
      <c r="U12" s="5" t="s">
        <v>217</v>
      </c>
      <c r="V12" s="5" t="s">
        <v>217</v>
      </c>
      <c r="W12" s="5" t="s">
        <v>204</v>
      </c>
      <c r="X12" s="5" t="s">
        <v>204</v>
      </c>
      <c r="Y12" s="4">
        <v>990</v>
      </c>
      <c r="Z12" s="4">
        <v>926</v>
      </c>
      <c r="AA12" s="4">
        <v>1023</v>
      </c>
      <c r="AB12" s="4">
        <v>8</v>
      </c>
      <c r="AC12" s="4">
        <v>8</v>
      </c>
      <c r="AD12" s="4">
        <v>32</v>
      </c>
      <c r="AE12" s="4">
        <v>34</v>
      </c>
      <c r="AF12" s="4">
        <v>13</v>
      </c>
      <c r="AG12" s="4">
        <v>13</v>
      </c>
      <c r="AH12" s="4">
        <v>7</v>
      </c>
      <c r="AI12" s="4">
        <v>7</v>
      </c>
      <c r="AJ12" s="4">
        <v>13</v>
      </c>
      <c r="AK12" s="4">
        <v>15</v>
      </c>
      <c r="AL12" s="4">
        <v>6</v>
      </c>
      <c r="AM12" s="4">
        <v>6</v>
      </c>
      <c r="AN12" s="4">
        <v>0</v>
      </c>
      <c r="AO12" s="4">
        <v>0</v>
      </c>
      <c r="AP12" s="3" t="s">
        <v>58</v>
      </c>
      <c r="AQ12" s="3" t="s">
        <v>68</v>
      </c>
      <c r="AR12" s="6" t="str">
        <f>HYPERLINK("http://catalog.hathitrust.org/Record/000927691","HathiTrust Record")</f>
        <v>HathiTrust Record</v>
      </c>
      <c r="AS12" s="6" t="str">
        <f>HYPERLINK("https://creighton-primo.hosted.exlibrisgroup.com/primo-explore/search?tab=default_tab&amp;search_scope=EVERYTHING&amp;vid=01CRU&amp;lang=en_US&amp;offset=0&amp;query=any,contains,991005408889702656","Catalog Record")</f>
        <v>Catalog Record</v>
      </c>
      <c r="AT12" s="6" t="str">
        <f>HYPERLINK("http://www.worldcat.org/oclc/17439477","WorldCat Record")</f>
        <v>WorldCat Record</v>
      </c>
      <c r="AU12" s="3" t="s">
        <v>218</v>
      </c>
      <c r="AV12" s="3" t="s">
        <v>219</v>
      </c>
      <c r="AW12" s="3" t="s">
        <v>220</v>
      </c>
      <c r="AX12" s="3" t="s">
        <v>220</v>
      </c>
      <c r="AY12" s="3" t="s">
        <v>221</v>
      </c>
      <c r="AZ12" s="3" t="s">
        <v>73</v>
      </c>
      <c r="BB12" s="3" t="s">
        <v>222</v>
      </c>
      <c r="BC12" s="3" t="s">
        <v>223</v>
      </c>
      <c r="BD12" s="3" t="s">
        <v>224</v>
      </c>
    </row>
    <row r="13" spans="1:56" ht="31.5" customHeight="1" x14ac:dyDescent="0.25">
      <c r="A13" s="7" t="s">
        <v>58</v>
      </c>
      <c r="B13" s="2" t="s">
        <v>225</v>
      </c>
      <c r="C13" s="2" t="s">
        <v>226</v>
      </c>
      <c r="D13" s="2" t="s">
        <v>227</v>
      </c>
      <c r="F13" s="3" t="s">
        <v>58</v>
      </c>
      <c r="G13" s="3" t="s">
        <v>59</v>
      </c>
      <c r="H13" s="3" t="s">
        <v>58</v>
      </c>
      <c r="I13" s="3" t="s">
        <v>58</v>
      </c>
      <c r="J13" s="3" t="s">
        <v>60</v>
      </c>
      <c r="K13" s="2" t="s">
        <v>228</v>
      </c>
      <c r="L13" s="2" t="s">
        <v>229</v>
      </c>
      <c r="M13" s="3" t="s">
        <v>230</v>
      </c>
      <c r="O13" s="3" t="s">
        <v>63</v>
      </c>
      <c r="P13" s="3" t="s">
        <v>186</v>
      </c>
      <c r="R13" s="3" t="s">
        <v>65</v>
      </c>
      <c r="S13" s="4">
        <v>2</v>
      </c>
      <c r="T13" s="4">
        <v>2</v>
      </c>
      <c r="U13" s="5" t="s">
        <v>231</v>
      </c>
      <c r="V13" s="5" t="s">
        <v>231</v>
      </c>
      <c r="W13" s="5" t="s">
        <v>161</v>
      </c>
      <c r="X13" s="5" t="s">
        <v>161</v>
      </c>
      <c r="Y13" s="4">
        <v>993</v>
      </c>
      <c r="Z13" s="4">
        <v>813</v>
      </c>
      <c r="AA13" s="4">
        <v>819</v>
      </c>
      <c r="AB13" s="4">
        <v>4</v>
      </c>
      <c r="AC13" s="4">
        <v>4</v>
      </c>
      <c r="AD13" s="4">
        <v>19</v>
      </c>
      <c r="AE13" s="4">
        <v>19</v>
      </c>
      <c r="AF13" s="4">
        <v>7</v>
      </c>
      <c r="AG13" s="4">
        <v>7</v>
      </c>
      <c r="AH13" s="4">
        <v>4</v>
      </c>
      <c r="AI13" s="4">
        <v>4</v>
      </c>
      <c r="AJ13" s="4">
        <v>9</v>
      </c>
      <c r="AK13" s="4">
        <v>9</v>
      </c>
      <c r="AL13" s="4">
        <v>2</v>
      </c>
      <c r="AM13" s="4">
        <v>2</v>
      </c>
      <c r="AN13" s="4">
        <v>0</v>
      </c>
      <c r="AO13" s="4">
        <v>0</v>
      </c>
      <c r="AP13" s="3" t="s">
        <v>58</v>
      </c>
      <c r="AQ13" s="3" t="s">
        <v>68</v>
      </c>
      <c r="AR13" s="6" t="str">
        <f>HYPERLINK("http://catalog.hathitrust.org/Record/000176612","HathiTrust Record")</f>
        <v>HathiTrust Record</v>
      </c>
      <c r="AS13" s="6" t="str">
        <f>HYPERLINK("https://creighton-primo.hosted.exlibrisgroup.com/primo-explore/search?tab=default_tab&amp;search_scope=EVERYTHING&amp;vid=01CRU&amp;lang=en_US&amp;offset=0&amp;query=any,contains,991004564749702656","Catalog Record")</f>
        <v>Catalog Record</v>
      </c>
      <c r="AT13" s="6" t="str">
        <f>HYPERLINK("http://www.worldcat.org/oclc/4004209","WorldCat Record")</f>
        <v>WorldCat Record</v>
      </c>
      <c r="AU13" s="3" t="s">
        <v>232</v>
      </c>
      <c r="AV13" s="3" t="s">
        <v>233</v>
      </c>
      <c r="AW13" s="3" t="s">
        <v>234</v>
      </c>
      <c r="AX13" s="3" t="s">
        <v>234</v>
      </c>
      <c r="AY13" s="3" t="s">
        <v>235</v>
      </c>
      <c r="AZ13" s="3" t="s">
        <v>73</v>
      </c>
      <c r="BB13" s="3" t="s">
        <v>236</v>
      </c>
      <c r="BC13" s="3" t="s">
        <v>237</v>
      </c>
      <c r="BD13" s="3" t="s">
        <v>238</v>
      </c>
    </row>
    <row r="14" spans="1:56" ht="31.5" customHeight="1" x14ac:dyDescent="0.25">
      <c r="A14" s="7" t="s">
        <v>58</v>
      </c>
      <c r="B14" s="2" t="s">
        <v>239</v>
      </c>
      <c r="C14" s="2" t="s">
        <v>240</v>
      </c>
      <c r="D14" s="2" t="s">
        <v>241</v>
      </c>
      <c r="F14" s="3" t="s">
        <v>58</v>
      </c>
      <c r="G14" s="3" t="s">
        <v>59</v>
      </c>
      <c r="H14" s="3" t="s">
        <v>58</v>
      </c>
      <c r="I14" s="3" t="s">
        <v>58</v>
      </c>
      <c r="J14" s="3" t="s">
        <v>60</v>
      </c>
      <c r="K14" s="2" t="s">
        <v>242</v>
      </c>
      <c r="L14" s="2" t="s">
        <v>243</v>
      </c>
      <c r="M14" s="3" t="s">
        <v>244</v>
      </c>
      <c r="O14" s="3" t="s">
        <v>63</v>
      </c>
      <c r="P14" s="3" t="s">
        <v>64</v>
      </c>
      <c r="R14" s="3" t="s">
        <v>65</v>
      </c>
      <c r="S14" s="4">
        <v>3</v>
      </c>
      <c r="T14" s="4">
        <v>3</v>
      </c>
      <c r="U14" s="5" t="s">
        <v>245</v>
      </c>
      <c r="V14" s="5" t="s">
        <v>245</v>
      </c>
      <c r="W14" s="5" t="s">
        <v>161</v>
      </c>
      <c r="X14" s="5" t="s">
        <v>161</v>
      </c>
      <c r="Y14" s="4">
        <v>362</v>
      </c>
      <c r="Z14" s="4">
        <v>275</v>
      </c>
      <c r="AA14" s="4">
        <v>300</v>
      </c>
      <c r="AB14" s="4">
        <v>1</v>
      </c>
      <c r="AC14" s="4">
        <v>1</v>
      </c>
      <c r="AD14" s="4">
        <v>5</v>
      </c>
      <c r="AE14" s="4">
        <v>6</v>
      </c>
      <c r="AF14" s="4">
        <v>2</v>
      </c>
      <c r="AG14" s="4">
        <v>3</v>
      </c>
      <c r="AH14" s="4">
        <v>1</v>
      </c>
      <c r="AI14" s="4">
        <v>1</v>
      </c>
      <c r="AJ14" s="4">
        <v>4</v>
      </c>
      <c r="AK14" s="4">
        <v>5</v>
      </c>
      <c r="AL14" s="4">
        <v>0</v>
      </c>
      <c r="AM14" s="4">
        <v>0</v>
      </c>
      <c r="AN14" s="4">
        <v>0</v>
      </c>
      <c r="AO14" s="4">
        <v>0</v>
      </c>
      <c r="AP14" s="3" t="s">
        <v>58</v>
      </c>
      <c r="AQ14" s="3" t="s">
        <v>68</v>
      </c>
      <c r="AR14" s="6" t="str">
        <f>HYPERLINK("http://catalog.hathitrust.org/Record/000084238","HathiTrust Record")</f>
        <v>HathiTrust Record</v>
      </c>
      <c r="AS14" s="6" t="str">
        <f>HYPERLINK("https://creighton-primo.hosted.exlibrisgroup.com/primo-explore/search?tab=default_tab&amp;search_scope=EVERYTHING&amp;vid=01CRU&amp;lang=en_US&amp;offset=0&amp;query=any,contains,991004998449702656","Catalog Record")</f>
        <v>Catalog Record</v>
      </c>
      <c r="AT14" s="6" t="str">
        <f>HYPERLINK("http://www.worldcat.org/oclc/6532537","WorldCat Record")</f>
        <v>WorldCat Record</v>
      </c>
      <c r="AU14" s="3" t="s">
        <v>246</v>
      </c>
      <c r="AV14" s="3" t="s">
        <v>247</v>
      </c>
      <c r="AW14" s="3" t="s">
        <v>248</v>
      </c>
      <c r="AX14" s="3" t="s">
        <v>248</v>
      </c>
      <c r="AY14" s="3" t="s">
        <v>249</v>
      </c>
      <c r="AZ14" s="3" t="s">
        <v>73</v>
      </c>
      <c r="BB14" s="3" t="s">
        <v>250</v>
      </c>
      <c r="BC14" s="3" t="s">
        <v>251</v>
      </c>
      <c r="BD14" s="3" t="s">
        <v>252</v>
      </c>
    </row>
    <row r="15" spans="1:56" ht="31.5" customHeight="1" x14ac:dyDescent="0.25">
      <c r="A15" s="7" t="s">
        <v>58</v>
      </c>
      <c r="B15" s="2" t="s">
        <v>253</v>
      </c>
      <c r="C15" s="2" t="s">
        <v>254</v>
      </c>
      <c r="D15" s="2" t="s">
        <v>255</v>
      </c>
      <c r="F15" s="3" t="s">
        <v>58</v>
      </c>
      <c r="G15" s="3" t="s">
        <v>59</v>
      </c>
      <c r="H15" s="3" t="s">
        <v>58</v>
      </c>
      <c r="I15" s="3" t="s">
        <v>58</v>
      </c>
      <c r="J15" s="3" t="s">
        <v>60</v>
      </c>
      <c r="L15" s="2" t="s">
        <v>256</v>
      </c>
      <c r="M15" s="3" t="s">
        <v>257</v>
      </c>
      <c r="O15" s="3" t="s">
        <v>63</v>
      </c>
      <c r="P15" s="3" t="s">
        <v>186</v>
      </c>
      <c r="Q15" s="2" t="s">
        <v>258</v>
      </c>
      <c r="R15" s="3" t="s">
        <v>65</v>
      </c>
      <c r="S15" s="4">
        <v>3</v>
      </c>
      <c r="T15" s="4">
        <v>3</v>
      </c>
      <c r="U15" s="5" t="s">
        <v>259</v>
      </c>
      <c r="V15" s="5" t="s">
        <v>259</v>
      </c>
      <c r="W15" s="5" t="s">
        <v>260</v>
      </c>
      <c r="X15" s="5" t="s">
        <v>260</v>
      </c>
      <c r="Y15" s="4">
        <v>1483</v>
      </c>
      <c r="Z15" s="4">
        <v>1284</v>
      </c>
      <c r="AA15" s="4">
        <v>1293</v>
      </c>
      <c r="AB15" s="4">
        <v>8</v>
      </c>
      <c r="AC15" s="4">
        <v>8</v>
      </c>
      <c r="AD15" s="4">
        <v>38</v>
      </c>
      <c r="AE15" s="4">
        <v>38</v>
      </c>
      <c r="AF15" s="4">
        <v>16</v>
      </c>
      <c r="AG15" s="4">
        <v>16</v>
      </c>
      <c r="AH15" s="4">
        <v>8</v>
      </c>
      <c r="AI15" s="4">
        <v>8</v>
      </c>
      <c r="AJ15" s="4">
        <v>20</v>
      </c>
      <c r="AK15" s="4">
        <v>20</v>
      </c>
      <c r="AL15" s="4">
        <v>3</v>
      </c>
      <c r="AM15" s="4">
        <v>3</v>
      </c>
      <c r="AN15" s="4">
        <v>0</v>
      </c>
      <c r="AO15" s="4">
        <v>0</v>
      </c>
      <c r="AP15" s="3" t="s">
        <v>58</v>
      </c>
      <c r="AQ15" s="3" t="s">
        <v>58</v>
      </c>
      <c r="AS15" s="6" t="str">
        <f>HYPERLINK("https://creighton-primo.hosted.exlibrisgroup.com/primo-explore/search?tab=default_tab&amp;search_scope=EVERYTHING&amp;vid=01CRU&amp;lang=en_US&amp;offset=0&amp;query=any,contains,991002547839702656","Catalog Record")</f>
        <v>Catalog Record</v>
      </c>
      <c r="AT15" s="6" t="str">
        <f>HYPERLINK("http://www.worldcat.org/oclc/33102402","WorldCat Record")</f>
        <v>WorldCat Record</v>
      </c>
      <c r="AU15" s="3" t="s">
        <v>261</v>
      </c>
      <c r="AV15" s="3" t="s">
        <v>262</v>
      </c>
      <c r="AW15" s="3" t="s">
        <v>263</v>
      </c>
      <c r="AX15" s="3" t="s">
        <v>263</v>
      </c>
      <c r="AY15" s="3" t="s">
        <v>264</v>
      </c>
      <c r="AZ15" s="3" t="s">
        <v>73</v>
      </c>
      <c r="BB15" s="3" t="s">
        <v>265</v>
      </c>
      <c r="BC15" s="3" t="s">
        <v>266</v>
      </c>
      <c r="BD15" s="3" t="s">
        <v>267</v>
      </c>
    </row>
    <row r="16" spans="1:56" ht="31.5" customHeight="1" x14ac:dyDescent="0.25">
      <c r="A16" s="7" t="s">
        <v>58</v>
      </c>
      <c r="B16" s="2" t="s">
        <v>268</v>
      </c>
      <c r="C16" s="2" t="s">
        <v>269</v>
      </c>
      <c r="D16" s="2" t="s">
        <v>270</v>
      </c>
      <c r="F16" s="3" t="s">
        <v>58</v>
      </c>
      <c r="G16" s="3" t="s">
        <v>59</v>
      </c>
      <c r="H16" s="3" t="s">
        <v>58</v>
      </c>
      <c r="I16" s="3" t="s">
        <v>58</v>
      </c>
      <c r="J16" s="3" t="s">
        <v>60</v>
      </c>
      <c r="K16" s="2" t="s">
        <v>271</v>
      </c>
      <c r="L16" s="2" t="s">
        <v>272</v>
      </c>
      <c r="M16" s="3" t="s">
        <v>230</v>
      </c>
      <c r="O16" s="3" t="s">
        <v>63</v>
      </c>
      <c r="P16" s="3" t="s">
        <v>64</v>
      </c>
      <c r="R16" s="3" t="s">
        <v>65</v>
      </c>
      <c r="S16" s="4">
        <v>2</v>
      </c>
      <c r="T16" s="4">
        <v>2</v>
      </c>
      <c r="U16" s="5" t="s">
        <v>273</v>
      </c>
      <c r="V16" s="5" t="s">
        <v>273</v>
      </c>
      <c r="W16" s="5" t="s">
        <v>204</v>
      </c>
      <c r="X16" s="5" t="s">
        <v>204</v>
      </c>
      <c r="Y16" s="4">
        <v>775</v>
      </c>
      <c r="Z16" s="4">
        <v>709</v>
      </c>
      <c r="AA16" s="4">
        <v>731</v>
      </c>
      <c r="AB16" s="4">
        <v>5</v>
      </c>
      <c r="AC16" s="4">
        <v>5</v>
      </c>
      <c r="AD16" s="4">
        <v>19</v>
      </c>
      <c r="AE16" s="4">
        <v>20</v>
      </c>
      <c r="AF16" s="4">
        <v>5</v>
      </c>
      <c r="AG16" s="4">
        <v>6</v>
      </c>
      <c r="AH16" s="4">
        <v>4</v>
      </c>
      <c r="AI16" s="4">
        <v>4</v>
      </c>
      <c r="AJ16" s="4">
        <v>9</v>
      </c>
      <c r="AK16" s="4">
        <v>9</v>
      </c>
      <c r="AL16" s="4">
        <v>4</v>
      </c>
      <c r="AM16" s="4">
        <v>4</v>
      </c>
      <c r="AN16" s="4">
        <v>0</v>
      </c>
      <c r="AO16" s="4">
        <v>0</v>
      </c>
      <c r="AP16" s="3" t="s">
        <v>58</v>
      </c>
      <c r="AQ16" s="3" t="s">
        <v>58</v>
      </c>
      <c r="AS16" s="6" t="str">
        <f>HYPERLINK("https://creighton-primo.hosted.exlibrisgroup.com/primo-explore/search?tab=default_tab&amp;search_scope=EVERYTHING&amp;vid=01CRU&amp;lang=en_US&amp;offset=0&amp;query=any,contains,991004406959702656","Catalog Record")</f>
        <v>Catalog Record</v>
      </c>
      <c r="AT16" s="6" t="str">
        <f>HYPERLINK("http://www.worldcat.org/oclc/3326749","WorldCat Record")</f>
        <v>WorldCat Record</v>
      </c>
      <c r="AU16" s="3" t="s">
        <v>274</v>
      </c>
      <c r="AV16" s="3" t="s">
        <v>275</v>
      </c>
      <c r="AW16" s="3" t="s">
        <v>276</v>
      </c>
      <c r="AX16" s="3" t="s">
        <v>276</v>
      </c>
      <c r="AY16" s="3" t="s">
        <v>277</v>
      </c>
      <c r="AZ16" s="3" t="s">
        <v>73</v>
      </c>
      <c r="BB16" s="3" t="s">
        <v>278</v>
      </c>
      <c r="BC16" s="3" t="s">
        <v>279</v>
      </c>
      <c r="BD16" s="3" t="s">
        <v>280</v>
      </c>
    </row>
    <row r="17" spans="1:56" ht="31.5" customHeight="1" x14ac:dyDescent="0.25">
      <c r="A17" s="7" t="s">
        <v>58</v>
      </c>
      <c r="B17" s="2" t="s">
        <v>281</v>
      </c>
      <c r="C17" s="2" t="s">
        <v>282</v>
      </c>
      <c r="D17" s="2" t="s">
        <v>283</v>
      </c>
      <c r="F17" s="3" t="s">
        <v>58</v>
      </c>
      <c r="G17" s="3" t="s">
        <v>59</v>
      </c>
      <c r="H17" s="3" t="s">
        <v>58</v>
      </c>
      <c r="I17" s="3" t="s">
        <v>58</v>
      </c>
      <c r="J17" s="3" t="s">
        <v>60</v>
      </c>
      <c r="K17" s="2" t="s">
        <v>284</v>
      </c>
      <c r="L17" s="2" t="s">
        <v>285</v>
      </c>
      <c r="M17" s="3" t="s">
        <v>128</v>
      </c>
      <c r="O17" s="3" t="s">
        <v>63</v>
      </c>
      <c r="P17" s="3" t="s">
        <v>64</v>
      </c>
      <c r="Q17" s="2" t="s">
        <v>286</v>
      </c>
      <c r="R17" s="3" t="s">
        <v>65</v>
      </c>
      <c r="S17" s="4">
        <v>15</v>
      </c>
      <c r="T17" s="4">
        <v>15</v>
      </c>
      <c r="U17" s="5" t="s">
        <v>287</v>
      </c>
      <c r="V17" s="5" t="s">
        <v>287</v>
      </c>
      <c r="W17" s="5" t="s">
        <v>288</v>
      </c>
      <c r="X17" s="5" t="s">
        <v>288</v>
      </c>
      <c r="Y17" s="4">
        <v>887</v>
      </c>
      <c r="Z17" s="4">
        <v>761</v>
      </c>
      <c r="AA17" s="4">
        <v>769</v>
      </c>
      <c r="AB17" s="4">
        <v>8</v>
      </c>
      <c r="AC17" s="4">
        <v>8</v>
      </c>
      <c r="AD17" s="4">
        <v>41</v>
      </c>
      <c r="AE17" s="4">
        <v>41</v>
      </c>
      <c r="AF17" s="4">
        <v>15</v>
      </c>
      <c r="AG17" s="4">
        <v>15</v>
      </c>
      <c r="AH17" s="4">
        <v>9</v>
      </c>
      <c r="AI17" s="4">
        <v>9</v>
      </c>
      <c r="AJ17" s="4">
        <v>21</v>
      </c>
      <c r="AK17" s="4">
        <v>21</v>
      </c>
      <c r="AL17" s="4">
        <v>7</v>
      </c>
      <c r="AM17" s="4">
        <v>7</v>
      </c>
      <c r="AN17" s="4">
        <v>0</v>
      </c>
      <c r="AO17" s="4">
        <v>0</v>
      </c>
      <c r="AP17" s="3" t="s">
        <v>58</v>
      </c>
      <c r="AQ17" s="3" t="s">
        <v>68</v>
      </c>
      <c r="AR17" s="6" t="str">
        <f>HYPERLINK("http://catalog.hathitrust.org/Record/002645030","HathiTrust Record")</f>
        <v>HathiTrust Record</v>
      </c>
      <c r="AS17" s="6" t="str">
        <f>HYPERLINK("https://creighton-primo.hosted.exlibrisgroup.com/primo-explore/search?tab=default_tab&amp;search_scope=EVERYTHING&amp;vid=01CRU&amp;lang=en_US&amp;offset=0&amp;query=any,contains,991005413839702656","Catalog Record")</f>
        <v>Catalog Record</v>
      </c>
      <c r="AT17" s="6" t="str">
        <f>HYPERLINK("http://www.worldcat.org/oclc/24247242","WorldCat Record")</f>
        <v>WorldCat Record</v>
      </c>
      <c r="AU17" s="3" t="s">
        <v>289</v>
      </c>
      <c r="AV17" s="3" t="s">
        <v>290</v>
      </c>
      <c r="AW17" s="3" t="s">
        <v>291</v>
      </c>
      <c r="AX17" s="3" t="s">
        <v>291</v>
      </c>
      <c r="AY17" s="3" t="s">
        <v>292</v>
      </c>
      <c r="AZ17" s="3" t="s">
        <v>73</v>
      </c>
      <c r="BB17" s="3" t="s">
        <v>293</v>
      </c>
      <c r="BC17" s="3" t="s">
        <v>294</v>
      </c>
      <c r="BD17" s="3" t="s">
        <v>295</v>
      </c>
    </row>
    <row r="18" spans="1:56" ht="31.5" customHeight="1" x14ac:dyDescent="0.25">
      <c r="A18" s="7" t="s">
        <v>58</v>
      </c>
      <c r="B18" s="2" t="s">
        <v>296</v>
      </c>
      <c r="C18" s="2" t="s">
        <v>297</v>
      </c>
      <c r="D18" s="2" t="s">
        <v>298</v>
      </c>
      <c r="F18" s="3" t="s">
        <v>58</v>
      </c>
      <c r="G18" s="3" t="s">
        <v>59</v>
      </c>
      <c r="H18" s="3" t="s">
        <v>58</v>
      </c>
      <c r="I18" s="3" t="s">
        <v>58</v>
      </c>
      <c r="J18" s="3" t="s">
        <v>60</v>
      </c>
      <c r="K18" s="2" t="s">
        <v>299</v>
      </c>
      <c r="L18" s="2" t="s">
        <v>300</v>
      </c>
      <c r="M18" s="3" t="s">
        <v>301</v>
      </c>
      <c r="O18" s="3" t="s">
        <v>63</v>
      </c>
      <c r="P18" s="3" t="s">
        <v>64</v>
      </c>
      <c r="R18" s="3" t="s">
        <v>65</v>
      </c>
      <c r="S18" s="4">
        <v>2</v>
      </c>
      <c r="T18" s="4">
        <v>2</v>
      </c>
      <c r="U18" s="5" t="s">
        <v>302</v>
      </c>
      <c r="V18" s="5" t="s">
        <v>302</v>
      </c>
      <c r="W18" s="5" t="s">
        <v>303</v>
      </c>
      <c r="X18" s="5" t="s">
        <v>303</v>
      </c>
      <c r="Y18" s="4">
        <v>600</v>
      </c>
      <c r="Z18" s="4">
        <v>564</v>
      </c>
      <c r="AA18" s="4">
        <v>606</v>
      </c>
      <c r="AB18" s="4">
        <v>4</v>
      </c>
      <c r="AC18" s="4">
        <v>5</v>
      </c>
      <c r="AD18" s="4">
        <v>19</v>
      </c>
      <c r="AE18" s="4">
        <v>22</v>
      </c>
      <c r="AF18" s="4">
        <v>6</v>
      </c>
      <c r="AG18" s="4">
        <v>7</v>
      </c>
      <c r="AH18" s="4">
        <v>4</v>
      </c>
      <c r="AI18" s="4">
        <v>5</v>
      </c>
      <c r="AJ18" s="4">
        <v>12</v>
      </c>
      <c r="AK18" s="4">
        <v>12</v>
      </c>
      <c r="AL18" s="4">
        <v>3</v>
      </c>
      <c r="AM18" s="4">
        <v>4</v>
      </c>
      <c r="AN18" s="4">
        <v>0</v>
      </c>
      <c r="AO18" s="4">
        <v>0</v>
      </c>
      <c r="AP18" s="3" t="s">
        <v>58</v>
      </c>
      <c r="AQ18" s="3" t="s">
        <v>68</v>
      </c>
      <c r="AR18" s="6" t="str">
        <f>HYPERLINK("http://catalog.hathitrust.org/Record/002533579","HathiTrust Record")</f>
        <v>HathiTrust Record</v>
      </c>
      <c r="AS18" s="6" t="str">
        <f>HYPERLINK("https://creighton-primo.hosted.exlibrisgroup.com/primo-explore/search?tab=default_tab&amp;search_scope=EVERYTHING&amp;vid=01CRU&amp;lang=en_US&amp;offset=0&amp;query=any,contains,991001893349702656","Catalog Record")</f>
        <v>Catalog Record</v>
      </c>
      <c r="AT18" s="6" t="str">
        <f>HYPERLINK("http://www.worldcat.org/oclc/23902128","WorldCat Record")</f>
        <v>WorldCat Record</v>
      </c>
      <c r="AU18" s="3" t="s">
        <v>304</v>
      </c>
      <c r="AV18" s="3" t="s">
        <v>305</v>
      </c>
      <c r="AW18" s="3" t="s">
        <v>306</v>
      </c>
      <c r="AX18" s="3" t="s">
        <v>306</v>
      </c>
      <c r="AY18" s="3" t="s">
        <v>307</v>
      </c>
      <c r="AZ18" s="3" t="s">
        <v>73</v>
      </c>
      <c r="BB18" s="3" t="s">
        <v>308</v>
      </c>
      <c r="BC18" s="3" t="s">
        <v>309</v>
      </c>
      <c r="BD18" s="3" t="s">
        <v>310</v>
      </c>
    </row>
    <row r="19" spans="1:56" ht="31.5" customHeight="1" x14ac:dyDescent="0.25">
      <c r="A19" s="7" t="s">
        <v>58</v>
      </c>
      <c r="B19" s="2" t="s">
        <v>311</v>
      </c>
      <c r="C19" s="2" t="s">
        <v>312</v>
      </c>
      <c r="D19" s="2" t="s">
        <v>313</v>
      </c>
      <c r="F19" s="3" t="s">
        <v>58</v>
      </c>
      <c r="G19" s="3" t="s">
        <v>59</v>
      </c>
      <c r="H19" s="3" t="s">
        <v>58</v>
      </c>
      <c r="I19" s="3" t="s">
        <v>58</v>
      </c>
      <c r="J19" s="3" t="s">
        <v>60</v>
      </c>
      <c r="K19" s="2" t="s">
        <v>314</v>
      </c>
      <c r="L19" s="2" t="s">
        <v>315</v>
      </c>
      <c r="M19" s="3" t="s">
        <v>159</v>
      </c>
      <c r="N19" s="2" t="s">
        <v>316</v>
      </c>
      <c r="O19" s="3" t="s">
        <v>63</v>
      </c>
      <c r="P19" s="3" t="s">
        <v>186</v>
      </c>
      <c r="R19" s="3" t="s">
        <v>65</v>
      </c>
      <c r="S19" s="4">
        <v>1</v>
      </c>
      <c r="T19" s="4">
        <v>1</v>
      </c>
      <c r="U19" s="5" t="s">
        <v>317</v>
      </c>
      <c r="V19" s="5" t="s">
        <v>317</v>
      </c>
      <c r="W19" s="5" t="s">
        <v>204</v>
      </c>
      <c r="X19" s="5" t="s">
        <v>204</v>
      </c>
      <c r="Y19" s="4">
        <v>252</v>
      </c>
      <c r="Z19" s="4">
        <v>176</v>
      </c>
      <c r="AA19" s="4">
        <v>177</v>
      </c>
      <c r="AB19" s="4">
        <v>2</v>
      </c>
      <c r="AC19" s="4">
        <v>2</v>
      </c>
      <c r="AD19" s="4">
        <v>3</v>
      </c>
      <c r="AE19" s="4">
        <v>3</v>
      </c>
      <c r="AF19" s="4">
        <v>0</v>
      </c>
      <c r="AG19" s="4">
        <v>0</v>
      </c>
      <c r="AH19" s="4">
        <v>2</v>
      </c>
      <c r="AI19" s="4">
        <v>2</v>
      </c>
      <c r="AJ19" s="4">
        <v>1</v>
      </c>
      <c r="AK19" s="4">
        <v>1</v>
      </c>
      <c r="AL19" s="4">
        <v>1</v>
      </c>
      <c r="AM19" s="4">
        <v>1</v>
      </c>
      <c r="AN19" s="4">
        <v>0</v>
      </c>
      <c r="AO19" s="4">
        <v>0</v>
      </c>
      <c r="AP19" s="3" t="s">
        <v>58</v>
      </c>
      <c r="AQ19" s="3" t="s">
        <v>68</v>
      </c>
      <c r="AR19" s="6" t="str">
        <f>HYPERLINK("http://catalog.hathitrust.org/Record/000330325","HathiTrust Record")</f>
        <v>HathiTrust Record</v>
      </c>
      <c r="AS19" s="6" t="str">
        <f>HYPERLINK("https://creighton-primo.hosted.exlibrisgroup.com/primo-explore/search?tab=default_tab&amp;search_scope=EVERYTHING&amp;vid=01CRU&amp;lang=en_US&amp;offset=0&amp;query=any,contains,991000438529702656","Catalog Record")</f>
        <v>Catalog Record</v>
      </c>
      <c r="AT19" s="6" t="str">
        <f>HYPERLINK("http://www.worldcat.org/oclc/10800852","WorldCat Record")</f>
        <v>WorldCat Record</v>
      </c>
      <c r="AU19" s="3" t="s">
        <v>318</v>
      </c>
      <c r="AV19" s="3" t="s">
        <v>319</v>
      </c>
      <c r="AW19" s="3" t="s">
        <v>320</v>
      </c>
      <c r="AX19" s="3" t="s">
        <v>320</v>
      </c>
      <c r="AY19" s="3" t="s">
        <v>321</v>
      </c>
      <c r="AZ19" s="3" t="s">
        <v>73</v>
      </c>
      <c r="BB19" s="3" t="s">
        <v>322</v>
      </c>
      <c r="BC19" s="3" t="s">
        <v>323</v>
      </c>
      <c r="BD19" s="3" t="s">
        <v>324</v>
      </c>
    </row>
    <row r="20" spans="1:56" ht="31.5" customHeight="1" x14ac:dyDescent="0.25">
      <c r="A20" s="7" t="s">
        <v>58</v>
      </c>
      <c r="B20" s="2" t="s">
        <v>325</v>
      </c>
      <c r="C20" s="2" t="s">
        <v>326</v>
      </c>
      <c r="D20" s="2" t="s">
        <v>327</v>
      </c>
      <c r="F20" s="3" t="s">
        <v>58</v>
      </c>
      <c r="G20" s="3" t="s">
        <v>59</v>
      </c>
      <c r="H20" s="3" t="s">
        <v>58</v>
      </c>
      <c r="I20" s="3" t="s">
        <v>58</v>
      </c>
      <c r="J20" s="3" t="s">
        <v>60</v>
      </c>
      <c r="K20" s="2" t="s">
        <v>328</v>
      </c>
      <c r="L20" s="2" t="s">
        <v>329</v>
      </c>
      <c r="M20" s="3" t="s">
        <v>159</v>
      </c>
      <c r="O20" s="3" t="s">
        <v>63</v>
      </c>
      <c r="P20" s="3" t="s">
        <v>64</v>
      </c>
      <c r="R20" s="3" t="s">
        <v>65</v>
      </c>
      <c r="S20" s="4">
        <v>7</v>
      </c>
      <c r="T20" s="4">
        <v>7</v>
      </c>
      <c r="U20" s="5" t="s">
        <v>330</v>
      </c>
      <c r="V20" s="5" t="s">
        <v>330</v>
      </c>
      <c r="W20" s="5" t="s">
        <v>331</v>
      </c>
      <c r="X20" s="5" t="s">
        <v>331</v>
      </c>
      <c r="Y20" s="4">
        <v>476</v>
      </c>
      <c r="Z20" s="4">
        <v>363</v>
      </c>
      <c r="AA20" s="4">
        <v>377</v>
      </c>
      <c r="AB20" s="4">
        <v>2</v>
      </c>
      <c r="AC20" s="4">
        <v>2</v>
      </c>
      <c r="AD20" s="4">
        <v>24</v>
      </c>
      <c r="AE20" s="4">
        <v>24</v>
      </c>
      <c r="AF20" s="4">
        <v>8</v>
      </c>
      <c r="AG20" s="4">
        <v>8</v>
      </c>
      <c r="AH20" s="4">
        <v>8</v>
      </c>
      <c r="AI20" s="4">
        <v>8</v>
      </c>
      <c r="AJ20" s="4">
        <v>16</v>
      </c>
      <c r="AK20" s="4">
        <v>16</v>
      </c>
      <c r="AL20" s="4">
        <v>1</v>
      </c>
      <c r="AM20" s="4">
        <v>1</v>
      </c>
      <c r="AN20" s="4">
        <v>0</v>
      </c>
      <c r="AO20" s="4">
        <v>0</v>
      </c>
      <c r="AP20" s="3" t="s">
        <v>58</v>
      </c>
      <c r="AQ20" s="3" t="s">
        <v>68</v>
      </c>
      <c r="AR20" s="6" t="str">
        <f>HYPERLINK("http://catalog.hathitrust.org/Record/000113970","HathiTrust Record")</f>
        <v>HathiTrust Record</v>
      </c>
      <c r="AS20" s="6" t="str">
        <f>HYPERLINK("https://creighton-primo.hosted.exlibrisgroup.com/primo-explore/search?tab=default_tab&amp;search_scope=EVERYTHING&amp;vid=01CRU&amp;lang=en_US&amp;offset=0&amp;query=any,contains,991000196709702656","Catalog Record")</f>
        <v>Catalog Record</v>
      </c>
      <c r="AT20" s="6" t="str">
        <f>HYPERLINK("http://www.worldcat.org/oclc/9441899","WorldCat Record")</f>
        <v>WorldCat Record</v>
      </c>
      <c r="AU20" s="3" t="s">
        <v>332</v>
      </c>
      <c r="AV20" s="3" t="s">
        <v>333</v>
      </c>
      <c r="AW20" s="3" t="s">
        <v>334</v>
      </c>
      <c r="AX20" s="3" t="s">
        <v>334</v>
      </c>
      <c r="AY20" s="3" t="s">
        <v>335</v>
      </c>
      <c r="AZ20" s="3" t="s">
        <v>73</v>
      </c>
      <c r="BB20" s="3" t="s">
        <v>336</v>
      </c>
      <c r="BC20" s="3" t="s">
        <v>337</v>
      </c>
      <c r="BD20" s="3" t="s">
        <v>338</v>
      </c>
    </row>
    <row r="21" spans="1:56" ht="31.5" customHeight="1" x14ac:dyDescent="0.25">
      <c r="A21" s="7" t="s">
        <v>58</v>
      </c>
      <c r="B21" s="2" t="s">
        <v>339</v>
      </c>
      <c r="C21" s="2" t="s">
        <v>340</v>
      </c>
      <c r="D21" s="2" t="s">
        <v>341</v>
      </c>
      <c r="F21" s="3" t="s">
        <v>58</v>
      </c>
      <c r="G21" s="3" t="s">
        <v>59</v>
      </c>
      <c r="H21" s="3" t="s">
        <v>58</v>
      </c>
      <c r="I21" s="3" t="s">
        <v>58</v>
      </c>
      <c r="J21" s="3" t="s">
        <v>60</v>
      </c>
      <c r="K21" s="2" t="s">
        <v>342</v>
      </c>
      <c r="L21" s="2" t="s">
        <v>343</v>
      </c>
      <c r="M21" s="3" t="s">
        <v>344</v>
      </c>
      <c r="N21" s="2" t="s">
        <v>345</v>
      </c>
      <c r="O21" s="3" t="s">
        <v>63</v>
      </c>
      <c r="P21" s="3" t="s">
        <v>64</v>
      </c>
      <c r="Q21" s="2" t="s">
        <v>346</v>
      </c>
      <c r="R21" s="3" t="s">
        <v>65</v>
      </c>
      <c r="S21" s="4">
        <v>8</v>
      </c>
      <c r="T21" s="4">
        <v>8</v>
      </c>
      <c r="U21" s="5" t="s">
        <v>259</v>
      </c>
      <c r="V21" s="5" t="s">
        <v>259</v>
      </c>
      <c r="W21" s="5" t="s">
        <v>347</v>
      </c>
      <c r="X21" s="5" t="s">
        <v>347</v>
      </c>
      <c r="Y21" s="4">
        <v>1147</v>
      </c>
      <c r="Z21" s="4">
        <v>1091</v>
      </c>
      <c r="AA21" s="4">
        <v>1109</v>
      </c>
      <c r="AB21" s="4">
        <v>8</v>
      </c>
      <c r="AC21" s="4">
        <v>8</v>
      </c>
      <c r="AD21" s="4">
        <v>30</v>
      </c>
      <c r="AE21" s="4">
        <v>30</v>
      </c>
      <c r="AF21" s="4">
        <v>10</v>
      </c>
      <c r="AG21" s="4">
        <v>10</v>
      </c>
      <c r="AH21" s="4">
        <v>7</v>
      </c>
      <c r="AI21" s="4">
        <v>7</v>
      </c>
      <c r="AJ21" s="4">
        <v>15</v>
      </c>
      <c r="AK21" s="4">
        <v>15</v>
      </c>
      <c r="AL21" s="4">
        <v>4</v>
      </c>
      <c r="AM21" s="4">
        <v>4</v>
      </c>
      <c r="AN21" s="4">
        <v>0</v>
      </c>
      <c r="AO21" s="4">
        <v>0</v>
      </c>
      <c r="AP21" s="3" t="s">
        <v>58</v>
      </c>
      <c r="AQ21" s="3" t="s">
        <v>58</v>
      </c>
      <c r="AS21" s="6" t="str">
        <f>HYPERLINK("https://creighton-primo.hosted.exlibrisgroup.com/primo-explore/search?tab=default_tab&amp;search_scope=EVERYTHING&amp;vid=01CRU&amp;lang=en_US&amp;offset=0&amp;query=any,contains,991002441999702656","Catalog Record")</f>
        <v>Catalog Record</v>
      </c>
      <c r="AT21" s="6" t="str">
        <f>HYPERLINK("http://www.worldcat.org/oclc/31854784","WorldCat Record")</f>
        <v>WorldCat Record</v>
      </c>
      <c r="AU21" s="3" t="s">
        <v>348</v>
      </c>
      <c r="AV21" s="3" t="s">
        <v>349</v>
      </c>
      <c r="AW21" s="3" t="s">
        <v>350</v>
      </c>
      <c r="AX21" s="3" t="s">
        <v>350</v>
      </c>
      <c r="AY21" s="3" t="s">
        <v>351</v>
      </c>
      <c r="AZ21" s="3" t="s">
        <v>73</v>
      </c>
      <c r="BB21" s="3" t="s">
        <v>352</v>
      </c>
      <c r="BC21" s="3" t="s">
        <v>353</v>
      </c>
      <c r="BD21" s="3" t="s">
        <v>354</v>
      </c>
    </row>
    <row r="22" spans="1:56" ht="31.5" customHeight="1" x14ac:dyDescent="0.25">
      <c r="A22" s="7" t="s">
        <v>58</v>
      </c>
      <c r="B22" s="2" t="s">
        <v>355</v>
      </c>
      <c r="C22" s="2" t="s">
        <v>356</v>
      </c>
      <c r="D22" s="2" t="s">
        <v>357</v>
      </c>
      <c r="F22" s="3" t="s">
        <v>58</v>
      </c>
      <c r="G22" s="3" t="s">
        <v>59</v>
      </c>
      <c r="H22" s="3" t="s">
        <v>58</v>
      </c>
      <c r="I22" s="3" t="s">
        <v>58</v>
      </c>
      <c r="J22" s="3" t="s">
        <v>60</v>
      </c>
      <c r="K22" s="2" t="s">
        <v>358</v>
      </c>
      <c r="L22" s="2" t="s">
        <v>359</v>
      </c>
      <c r="M22" s="3" t="s">
        <v>144</v>
      </c>
      <c r="O22" s="3" t="s">
        <v>63</v>
      </c>
      <c r="P22" s="3" t="s">
        <v>360</v>
      </c>
      <c r="R22" s="3" t="s">
        <v>65</v>
      </c>
      <c r="S22" s="4">
        <v>1</v>
      </c>
      <c r="T22" s="4">
        <v>1</v>
      </c>
      <c r="U22" s="5" t="s">
        <v>361</v>
      </c>
      <c r="V22" s="5" t="s">
        <v>361</v>
      </c>
      <c r="W22" s="5" t="s">
        <v>204</v>
      </c>
      <c r="X22" s="5" t="s">
        <v>204</v>
      </c>
      <c r="Y22" s="4">
        <v>250</v>
      </c>
      <c r="Z22" s="4">
        <v>215</v>
      </c>
      <c r="AA22" s="4">
        <v>424</v>
      </c>
      <c r="AB22" s="4">
        <v>2</v>
      </c>
      <c r="AC22" s="4">
        <v>3</v>
      </c>
      <c r="AD22" s="4">
        <v>9</v>
      </c>
      <c r="AE22" s="4">
        <v>21</v>
      </c>
      <c r="AF22" s="4">
        <v>3</v>
      </c>
      <c r="AG22" s="4">
        <v>10</v>
      </c>
      <c r="AH22" s="4">
        <v>5</v>
      </c>
      <c r="AI22" s="4">
        <v>6</v>
      </c>
      <c r="AJ22" s="4">
        <v>3</v>
      </c>
      <c r="AK22" s="4">
        <v>8</v>
      </c>
      <c r="AL22" s="4">
        <v>1</v>
      </c>
      <c r="AM22" s="4">
        <v>2</v>
      </c>
      <c r="AN22" s="4">
        <v>0</v>
      </c>
      <c r="AO22" s="4">
        <v>0</v>
      </c>
      <c r="AP22" s="3" t="s">
        <v>58</v>
      </c>
      <c r="AQ22" s="3" t="s">
        <v>58</v>
      </c>
      <c r="AS22" s="6" t="str">
        <f>HYPERLINK("https://creighton-primo.hosted.exlibrisgroup.com/primo-explore/search?tab=default_tab&amp;search_scope=EVERYTHING&amp;vid=01CRU&amp;lang=en_US&amp;offset=0&amp;query=any,contains,991000050519702656","Catalog Record")</f>
        <v>Catalog Record</v>
      </c>
      <c r="AT22" s="6" t="str">
        <f>HYPERLINK("http://www.worldcat.org/oclc/8686819","WorldCat Record")</f>
        <v>WorldCat Record</v>
      </c>
      <c r="AU22" s="3" t="s">
        <v>362</v>
      </c>
      <c r="AV22" s="3" t="s">
        <v>363</v>
      </c>
      <c r="AW22" s="3" t="s">
        <v>364</v>
      </c>
      <c r="AX22" s="3" t="s">
        <v>364</v>
      </c>
      <c r="AY22" s="3" t="s">
        <v>365</v>
      </c>
      <c r="AZ22" s="3" t="s">
        <v>73</v>
      </c>
      <c r="BB22" s="3" t="s">
        <v>366</v>
      </c>
      <c r="BC22" s="3" t="s">
        <v>367</v>
      </c>
      <c r="BD22" s="3" t="s">
        <v>368</v>
      </c>
    </row>
    <row r="23" spans="1:56" ht="31.5" customHeight="1" x14ac:dyDescent="0.25">
      <c r="A23" s="7" t="s">
        <v>58</v>
      </c>
      <c r="B23" s="2" t="s">
        <v>369</v>
      </c>
      <c r="C23" s="2" t="s">
        <v>370</v>
      </c>
      <c r="D23" s="2" t="s">
        <v>371</v>
      </c>
      <c r="F23" s="3" t="s">
        <v>58</v>
      </c>
      <c r="G23" s="3" t="s">
        <v>59</v>
      </c>
      <c r="H23" s="3" t="s">
        <v>58</v>
      </c>
      <c r="I23" s="3" t="s">
        <v>58</v>
      </c>
      <c r="J23" s="3" t="s">
        <v>60</v>
      </c>
      <c r="K23" s="2" t="s">
        <v>372</v>
      </c>
      <c r="L23" s="2" t="s">
        <v>373</v>
      </c>
      <c r="M23" s="3" t="s">
        <v>257</v>
      </c>
      <c r="O23" s="3" t="s">
        <v>63</v>
      </c>
      <c r="P23" s="3" t="s">
        <v>64</v>
      </c>
      <c r="R23" s="3" t="s">
        <v>65</v>
      </c>
      <c r="S23" s="4">
        <v>1</v>
      </c>
      <c r="T23" s="4">
        <v>1</v>
      </c>
      <c r="U23" s="5" t="s">
        <v>374</v>
      </c>
      <c r="V23" s="5" t="s">
        <v>374</v>
      </c>
      <c r="W23" s="5" t="s">
        <v>375</v>
      </c>
      <c r="X23" s="5" t="s">
        <v>375</v>
      </c>
      <c r="Y23" s="4">
        <v>948</v>
      </c>
      <c r="Z23" s="4">
        <v>840</v>
      </c>
      <c r="AA23" s="4">
        <v>847</v>
      </c>
      <c r="AB23" s="4">
        <v>5</v>
      </c>
      <c r="AC23" s="4">
        <v>5</v>
      </c>
      <c r="AD23" s="4">
        <v>25</v>
      </c>
      <c r="AE23" s="4">
        <v>25</v>
      </c>
      <c r="AF23" s="4">
        <v>6</v>
      </c>
      <c r="AG23" s="4">
        <v>6</v>
      </c>
      <c r="AH23" s="4">
        <v>8</v>
      </c>
      <c r="AI23" s="4">
        <v>8</v>
      </c>
      <c r="AJ23" s="4">
        <v>13</v>
      </c>
      <c r="AK23" s="4">
        <v>13</v>
      </c>
      <c r="AL23" s="4">
        <v>4</v>
      </c>
      <c r="AM23" s="4">
        <v>4</v>
      </c>
      <c r="AN23" s="4">
        <v>0</v>
      </c>
      <c r="AO23" s="4">
        <v>0</v>
      </c>
      <c r="AP23" s="3" t="s">
        <v>58</v>
      </c>
      <c r="AQ23" s="3" t="s">
        <v>58</v>
      </c>
      <c r="AS23" s="6" t="str">
        <f>HYPERLINK("https://creighton-primo.hosted.exlibrisgroup.com/primo-explore/search?tab=default_tab&amp;search_scope=EVERYTHING&amp;vid=01CRU&amp;lang=en_US&amp;offset=0&amp;query=any,contains,991002711649702656","Catalog Record")</f>
        <v>Catalog Record</v>
      </c>
      <c r="AT23" s="6" t="str">
        <f>HYPERLINK("http://www.worldcat.org/oclc/35559005","WorldCat Record")</f>
        <v>WorldCat Record</v>
      </c>
      <c r="AU23" s="3" t="s">
        <v>376</v>
      </c>
      <c r="AV23" s="3" t="s">
        <v>377</v>
      </c>
      <c r="AW23" s="3" t="s">
        <v>378</v>
      </c>
      <c r="AX23" s="3" t="s">
        <v>378</v>
      </c>
      <c r="AY23" s="3" t="s">
        <v>379</v>
      </c>
      <c r="AZ23" s="3" t="s">
        <v>73</v>
      </c>
      <c r="BB23" s="3" t="s">
        <v>380</v>
      </c>
      <c r="BC23" s="3" t="s">
        <v>381</v>
      </c>
      <c r="BD23" s="3" t="s">
        <v>382</v>
      </c>
    </row>
    <row r="24" spans="1:56" ht="31.5" customHeight="1" x14ac:dyDescent="0.25">
      <c r="A24" s="7" t="s">
        <v>58</v>
      </c>
      <c r="B24" s="2" t="s">
        <v>383</v>
      </c>
      <c r="C24" s="2" t="s">
        <v>384</v>
      </c>
      <c r="D24" s="2" t="s">
        <v>385</v>
      </c>
      <c r="F24" s="3" t="s">
        <v>58</v>
      </c>
      <c r="G24" s="3" t="s">
        <v>59</v>
      </c>
      <c r="H24" s="3" t="s">
        <v>58</v>
      </c>
      <c r="I24" s="3" t="s">
        <v>58</v>
      </c>
      <c r="J24" s="3" t="s">
        <v>60</v>
      </c>
      <c r="K24" s="2" t="s">
        <v>386</v>
      </c>
      <c r="L24" s="2" t="s">
        <v>387</v>
      </c>
      <c r="M24" s="3" t="s">
        <v>159</v>
      </c>
      <c r="O24" s="3" t="s">
        <v>63</v>
      </c>
      <c r="P24" s="3" t="s">
        <v>186</v>
      </c>
      <c r="R24" s="3" t="s">
        <v>65</v>
      </c>
      <c r="S24" s="4">
        <v>2</v>
      </c>
      <c r="T24" s="4">
        <v>2</v>
      </c>
      <c r="U24" s="5" t="s">
        <v>259</v>
      </c>
      <c r="V24" s="5" t="s">
        <v>259</v>
      </c>
      <c r="W24" s="5" t="s">
        <v>388</v>
      </c>
      <c r="X24" s="5" t="s">
        <v>388</v>
      </c>
      <c r="Y24" s="4">
        <v>74</v>
      </c>
      <c r="Z24" s="4">
        <v>7</v>
      </c>
      <c r="AA24" s="4">
        <v>1022</v>
      </c>
      <c r="AB24" s="4">
        <v>1</v>
      </c>
      <c r="AC24" s="4">
        <v>6</v>
      </c>
      <c r="AD24" s="4">
        <v>0</v>
      </c>
      <c r="AE24" s="4">
        <v>20</v>
      </c>
      <c r="AF24" s="4">
        <v>0</v>
      </c>
      <c r="AG24" s="4">
        <v>10</v>
      </c>
      <c r="AH24" s="4">
        <v>0</v>
      </c>
      <c r="AI24" s="4">
        <v>3</v>
      </c>
      <c r="AJ24" s="4">
        <v>0</v>
      </c>
      <c r="AK24" s="4">
        <v>10</v>
      </c>
      <c r="AL24" s="4">
        <v>0</v>
      </c>
      <c r="AM24" s="4">
        <v>3</v>
      </c>
      <c r="AN24" s="4">
        <v>0</v>
      </c>
      <c r="AO24" s="4">
        <v>0</v>
      </c>
      <c r="AP24" s="3" t="s">
        <v>58</v>
      </c>
      <c r="AQ24" s="3" t="s">
        <v>58</v>
      </c>
      <c r="AS24" s="6" t="str">
        <f>HYPERLINK("https://creighton-primo.hosted.exlibrisgroup.com/primo-explore/search?tab=default_tab&amp;search_scope=EVERYTHING&amp;vid=01CRU&amp;lang=en_US&amp;offset=0&amp;query=any,contains,991000518209702656","Catalog Record")</f>
        <v>Catalog Record</v>
      </c>
      <c r="AT24" s="6" t="str">
        <f>HYPERLINK("http://www.worldcat.org/oclc/11306590","WorldCat Record")</f>
        <v>WorldCat Record</v>
      </c>
      <c r="AU24" s="3" t="s">
        <v>389</v>
      </c>
      <c r="AV24" s="3" t="s">
        <v>390</v>
      </c>
      <c r="AW24" s="3" t="s">
        <v>391</v>
      </c>
      <c r="AX24" s="3" t="s">
        <v>391</v>
      </c>
      <c r="AY24" s="3" t="s">
        <v>392</v>
      </c>
      <c r="AZ24" s="3" t="s">
        <v>73</v>
      </c>
      <c r="BB24" s="3" t="s">
        <v>393</v>
      </c>
      <c r="BC24" s="3" t="s">
        <v>394</v>
      </c>
      <c r="BD24" s="3" t="s">
        <v>395</v>
      </c>
    </row>
    <row r="25" spans="1:56" ht="31.5" customHeight="1" x14ac:dyDescent="0.25">
      <c r="A25" s="7" t="s">
        <v>58</v>
      </c>
      <c r="B25" s="2" t="s">
        <v>396</v>
      </c>
      <c r="C25" s="2" t="s">
        <v>397</v>
      </c>
      <c r="D25" s="2" t="s">
        <v>398</v>
      </c>
      <c r="F25" s="3" t="s">
        <v>58</v>
      </c>
      <c r="G25" s="3" t="s">
        <v>59</v>
      </c>
      <c r="H25" s="3" t="s">
        <v>58</v>
      </c>
      <c r="I25" s="3" t="s">
        <v>58</v>
      </c>
      <c r="J25" s="3" t="s">
        <v>60</v>
      </c>
      <c r="K25" s="2" t="s">
        <v>399</v>
      </c>
      <c r="L25" s="2" t="s">
        <v>400</v>
      </c>
      <c r="M25" s="3" t="s">
        <v>401</v>
      </c>
      <c r="O25" s="3" t="s">
        <v>63</v>
      </c>
      <c r="P25" s="3" t="s">
        <v>186</v>
      </c>
      <c r="R25" s="3" t="s">
        <v>65</v>
      </c>
      <c r="S25" s="4">
        <v>4</v>
      </c>
      <c r="T25" s="4">
        <v>4</v>
      </c>
      <c r="U25" s="5" t="s">
        <v>402</v>
      </c>
      <c r="V25" s="5" t="s">
        <v>402</v>
      </c>
      <c r="W25" s="5" t="s">
        <v>403</v>
      </c>
      <c r="X25" s="5" t="s">
        <v>403</v>
      </c>
      <c r="Y25" s="4">
        <v>93</v>
      </c>
      <c r="Z25" s="4">
        <v>58</v>
      </c>
      <c r="AA25" s="4">
        <v>81</v>
      </c>
      <c r="AB25" s="4">
        <v>2</v>
      </c>
      <c r="AC25" s="4">
        <v>2</v>
      </c>
      <c r="AD25" s="4">
        <v>1</v>
      </c>
      <c r="AE25" s="4">
        <v>2</v>
      </c>
      <c r="AF25" s="4">
        <v>0</v>
      </c>
      <c r="AG25" s="4">
        <v>0</v>
      </c>
      <c r="AH25" s="4">
        <v>0</v>
      </c>
      <c r="AI25" s="4">
        <v>0</v>
      </c>
      <c r="AJ25" s="4">
        <v>0</v>
      </c>
      <c r="AK25" s="4">
        <v>1</v>
      </c>
      <c r="AL25" s="4">
        <v>1</v>
      </c>
      <c r="AM25" s="4">
        <v>1</v>
      </c>
      <c r="AN25" s="4">
        <v>0</v>
      </c>
      <c r="AO25" s="4">
        <v>0</v>
      </c>
      <c r="AP25" s="3" t="s">
        <v>58</v>
      </c>
      <c r="AQ25" s="3" t="s">
        <v>68</v>
      </c>
      <c r="AR25" s="6" t="str">
        <f>HYPERLINK("http://catalog.hathitrust.org/Record/007476773","HathiTrust Record")</f>
        <v>HathiTrust Record</v>
      </c>
      <c r="AS25" s="6" t="str">
        <f>HYPERLINK("https://creighton-primo.hosted.exlibrisgroup.com/primo-explore/search?tab=default_tab&amp;search_scope=EVERYTHING&amp;vid=01CRU&amp;lang=en_US&amp;offset=0&amp;query=any,contains,991003019739702656","Catalog Record")</f>
        <v>Catalog Record</v>
      </c>
      <c r="AT25" s="6" t="str">
        <f>HYPERLINK("http://www.worldcat.org/oclc/584326","WorldCat Record")</f>
        <v>WorldCat Record</v>
      </c>
      <c r="AU25" s="3" t="s">
        <v>404</v>
      </c>
      <c r="AV25" s="3" t="s">
        <v>405</v>
      </c>
      <c r="AW25" s="3" t="s">
        <v>406</v>
      </c>
      <c r="AX25" s="3" t="s">
        <v>406</v>
      </c>
      <c r="AY25" s="3" t="s">
        <v>407</v>
      </c>
      <c r="AZ25" s="3" t="s">
        <v>73</v>
      </c>
      <c r="BB25" s="3" t="s">
        <v>408</v>
      </c>
      <c r="BC25" s="3" t="s">
        <v>409</v>
      </c>
      <c r="BD25" s="3" t="s">
        <v>410</v>
      </c>
    </row>
    <row r="26" spans="1:56" ht="31.5" customHeight="1" x14ac:dyDescent="0.25">
      <c r="A26" s="7" t="s">
        <v>58</v>
      </c>
      <c r="B26" s="2" t="s">
        <v>411</v>
      </c>
      <c r="C26" s="2" t="s">
        <v>412</v>
      </c>
      <c r="D26" s="2" t="s">
        <v>413</v>
      </c>
      <c r="F26" s="3" t="s">
        <v>58</v>
      </c>
      <c r="G26" s="3" t="s">
        <v>59</v>
      </c>
      <c r="H26" s="3" t="s">
        <v>58</v>
      </c>
      <c r="I26" s="3" t="s">
        <v>58</v>
      </c>
      <c r="J26" s="3" t="s">
        <v>60</v>
      </c>
      <c r="K26" s="2" t="s">
        <v>414</v>
      </c>
      <c r="L26" s="2" t="s">
        <v>415</v>
      </c>
      <c r="M26" s="3" t="s">
        <v>416</v>
      </c>
      <c r="O26" s="3" t="s">
        <v>63</v>
      </c>
      <c r="P26" s="3" t="s">
        <v>83</v>
      </c>
      <c r="R26" s="3" t="s">
        <v>65</v>
      </c>
      <c r="S26" s="4">
        <v>2</v>
      </c>
      <c r="T26" s="4">
        <v>2</v>
      </c>
      <c r="U26" s="5" t="s">
        <v>417</v>
      </c>
      <c r="V26" s="5" t="s">
        <v>417</v>
      </c>
      <c r="W26" s="5" t="s">
        <v>418</v>
      </c>
      <c r="X26" s="5" t="s">
        <v>418</v>
      </c>
      <c r="Y26" s="4">
        <v>399</v>
      </c>
      <c r="Z26" s="4">
        <v>320</v>
      </c>
      <c r="AA26" s="4">
        <v>325</v>
      </c>
      <c r="AB26" s="4">
        <v>3</v>
      </c>
      <c r="AC26" s="4">
        <v>3</v>
      </c>
      <c r="AD26" s="4">
        <v>7</v>
      </c>
      <c r="AE26" s="4">
        <v>7</v>
      </c>
      <c r="AF26" s="4">
        <v>1</v>
      </c>
      <c r="AG26" s="4">
        <v>1</v>
      </c>
      <c r="AH26" s="4">
        <v>5</v>
      </c>
      <c r="AI26" s="4">
        <v>5</v>
      </c>
      <c r="AJ26" s="4">
        <v>1</v>
      </c>
      <c r="AK26" s="4">
        <v>1</v>
      </c>
      <c r="AL26" s="4">
        <v>2</v>
      </c>
      <c r="AM26" s="4">
        <v>2</v>
      </c>
      <c r="AN26" s="4">
        <v>0</v>
      </c>
      <c r="AO26" s="4">
        <v>0</v>
      </c>
      <c r="AP26" s="3" t="s">
        <v>58</v>
      </c>
      <c r="AQ26" s="3" t="s">
        <v>68</v>
      </c>
      <c r="AR26" s="6" t="str">
        <f>HYPERLINK("http://catalog.hathitrust.org/Record/001475440","HathiTrust Record")</f>
        <v>HathiTrust Record</v>
      </c>
      <c r="AS26" s="6" t="str">
        <f>HYPERLINK("https://creighton-primo.hosted.exlibrisgroup.com/primo-explore/search?tab=default_tab&amp;search_scope=EVERYTHING&amp;vid=01CRU&amp;lang=en_US&amp;offset=0&amp;query=any,contains,991000546839702656","Catalog Record")</f>
        <v>Catalog Record</v>
      </c>
      <c r="AT26" s="6" t="str">
        <f>HYPERLINK("http://www.worldcat.org/oclc/91579","WorldCat Record")</f>
        <v>WorldCat Record</v>
      </c>
      <c r="AU26" s="3" t="s">
        <v>419</v>
      </c>
      <c r="AV26" s="3" t="s">
        <v>420</v>
      </c>
      <c r="AW26" s="3" t="s">
        <v>421</v>
      </c>
      <c r="AX26" s="3" t="s">
        <v>421</v>
      </c>
      <c r="AY26" s="3" t="s">
        <v>422</v>
      </c>
      <c r="AZ26" s="3" t="s">
        <v>73</v>
      </c>
      <c r="BB26" s="3" t="s">
        <v>423</v>
      </c>
      <c r="BC26" s="3" t="s">
        <v>424</v>
      </c>
      <c r="BD26" s="3" t="s">
        <v>425</v>
      </c>
    </row>
    <row r="27" spans="1:56" ht="31.5" customHeight="1" x14ac:dyDescent="0.25">
      <c r="A27" s="7" t="s">
        <v>58</v>
      </c>
      <c r="B27" s="2" t="s">
        <v>426</v>
      </c>
      <c r="C27" s="2" t="s">
        <v>427</v>
      </c>
      <c r="D27" s="2" t="s">
        <v>428</v>
      </c>
      <c r="F27" s="3" t="s">
        <v>58</v>
      </c>
      <c r="G27" s="3" t="s">
        <v>59</v>
      </c>
      <c r="H27" s="3" t="s">
        <v>58</v>
      </c>
      <c r="I27" s="3" t="s">
        <v>58</v>
      </c>
      <c r="J27" s="3" t="s">
        <v>60</v>
      </c>
      <c r="L27" s="2" t="s">
        <v>429</v>
      </c>
      <c r="M27" s="3" t="s">
        <v>430</v>
      </c>
      <c r="O27" s="3" t="s">
        <v>63</v>
      </c>
      <c r="P27" s="3" t="s">
        <v>186</v>
      </c>
      <c r="R27" s="3" t="s">
        <v>65</v>
      </c>
      <c r="S27" s="4">
        <v>2</v>
      </c>
      <c r="T27" s="4">
        <v>2</v>
      </c>
      <c r="U27" s="5" t="s">
        <v>417</v>
      </c>
      <c r="V27" s="5" t="s">
        <v>417</v>
      </c>
      <c r="W27" s="5" t="s">
        <v>418</v>
      </c>
      <c r="X27" s="5" t="s">
        <v>418</v>
      </c>
      <c r="Y27" s="4">
        <v>431</v>
      </c>
      <c r="Z27" s="4">
        <v>296</v>
      </c>
      <c r="AA27" s="4">
        <v>297</v>
      </c>
      <c r="AB27" s="4">
        <v>2</v>
      </c>
      <c r="AC27" s="4">
        <v>2</v>
      </c>
      <c r="AD27" s="4">
        <v>10</v>
      </c>
      <c r="AE27" s="4">
        <v>10</v>
      </c>
      <c r="AF27" s="4">
        <v>2</v>
      </c>
      <c r="AG27" s="4">
        <v>2</v>
      </c>
      <c r="AH27" s="4">
        <v>3</v>
      </c>
      <c r="AI27" s="4">
        <v>3</v>
      </c>
      <c r="AJ27" s="4">
        <v>5</v>
      </c>
      <c r="AK27" s="4">
        <v>5</v>
      </c>
      <c r="AL27" s="4">
        <v>1</v>
      </c>
      <c r="AM27" s="4">
        <v>1</v>
      </c>
      <c r="AN27" s="4">
        <v>0</v>
      </c>
      <c r="AO27" s="4">
        <v>0</v>
      </c>
      <c r="AP27" s="3" t="s">
        <v>58</v>
      </c>
      <c r="AQ27" s="3" t="s">
        <v>68</v>
      </c>
      <c r="AR27" s="6" t="str">
        <f>HYPERLINK("http://catalog.hathitrust.org/Record/001475441","HathiTrust Record")</f>
        <v>HathiTrust Record</v>
      </c>
      <c r="AS27" s="6" t="str">
        <f>HYPERLINK("https://creighton-primo.hosted.exlibrisgroup.com/primo-explore/search?tab=default_tab&amp;search_scope=EVERYTHING&amp;vid=01CRU&amp;lang=en_US&amp;offset=0&amp;query=any,contains,991003533219702656","Catalog Record")</f>
        <v>Catalog Record</v>
      </c>
      <c r="AT27" s="6" t="str">
        <f>HYPERLINK("http://www.worldcat.org/oclc/1095484","WorldCat Record")</f>
        <v>WorldCat Record</v>
      </c>
      <c r="AU27" s="3" t="s">
        <v>431</v>
      </c>
      <c r="AV27" s="3" t="s">
        <v>432</v>
      </c>
      <c r="AW27" s="3" t="s">
        <v>433</v>
      </c>
      <c r="AX27" s="3" t="s">
        <v>433</v>
      </c>
      <c r="AY27" s="3" t="s">
        <v>434</v>
      </c>
      <c r="AZ27" s="3" t="s">
        <v>73</v>
      </c>
      <c r="BB27" s="3" t="s">
        <v>435</v>
      </c>
      <c r="BC27" s="3" t="s">
        <v>436</v>
      </c>
      <c r="BD27" s="3" t="s">
        <v>437</v>
      </c>
    </row>
    <row r="28" spans="1:56" ht="31.5" customHeight="1" x14ac:dyDescent="0.25">
      <c r="A28" s="7" t="s">
        <v>58</v>
      </c>
      <c r="B28" s="2" t="s">
        <v>438</v>
      </c>
      <c r="C28" s="2" t="s">
        <v>439</v>
      </c>
      <c r="D28" s="2" t="s">
        <v>440</v>
      </c>
      <c r="F28" s="3" t="s">
        <v>58</v>
      </c>
      <c r="G28" s="3" t="s">
        <v>59</v>
      </c>
      <c r="H28" s="3" t="s">
        <v>58</v>
      </c>
      <c r="I28" s="3" t="s">
        <v>58</v>
      </c>
      <c r="J28" s="3" t="s">
        <v>60</v>
      </c>
      <c r="K28" s="2" t="s">
        <v>441</v>
      </c>
      <c r="L28" s="2" t="s">
        <v>442</v>
      </c>
      <c r="M28" s="3" t="s">
        <v>443</v>
      </c>
      <c r="O28" s="3" t="s">
        <v>63</v>
      </c>
      <c r="P28" s="3" t="s">
        <v>444</v>
      </c>
      <c r="R28" s="3" t="s">
        <v>65</v>
      </c>
      <c r="S28" s="4">
        <v>4</v>
      </c>
      <c r="T28" s="4">
        <v>4</v>
      </c>
      <c r="U28" s="5" t="s">
        <v>445</v>
      </c>
      <c r="V28" s="5" t="s">
        <v>445</v>
      </c>
      <c r="W28" s="5" t="s">
        <v>446</v>
      </c>
      <c r="X28" s="5" t="s">
        <v>446</v>
      </c>
      <c r="Y28" s="4">
        <v>1057</v>
      </c>
      <c r="Z28" s="4">
        <v>964</v>
      </c>
      <c r="AA28" s="4">
        <v>980</v>
      </c>
      <c r="AB28" s="4">
        <v>11</v>
      </c>
      <c r="AC28" s="4">
        <v>11</v>
      </c>
      <c r="AD28" s="4">
        <v>27</v>
      </c>
      <c r="AE28" s="4">
        <v>28</v>
      </c>
      <c r="AF28" s="4">
        <v>9</v>
      </c>
      <c r="AG28" s="4">
        <v>9</v>
      </c>
      <c r="AH28" s="4">
        <v>5</v>
      </c>
      <c r="AI28" s="4">
        <v>5</v>
      </c>
      <c r="AJ28" s="4">
        <v>9</v>
      </c>
      <c r="AK28" s="4">
        <v>10</v>
      </c>
      <c r="AL28" s="4">
        <v>8</v>
      </c>
      <c r="AM28" s="4">
        <v>8</v>
      </c>
      <c r="AN28" s="4">
        <v>0</v>
      </c>
      <c r="AO28" s="4">
        <v>0</v>
      </c>
      <c r="AP28" s="3" t="s">
        <v>58</v>
      </c>
      <c r="AQ28" s="3" t="s">
        <v>58</v>
      </c>
      <c r="AS28" s="6" t="str">
        <f>HYPERLINK("https://creighton-primo.hosted.exlibrisgroup.com/primo-explore/search?tab=default_tab&amp;search_scope=EVERYTHING&amp;vid=01CRU&amp;lang=en_US&amp;offset=0&amp;query=any,contains,991004178319702656","Catalog Record")</f>
        <v>Catalog Record</v>
      </c>
      <c r="AT28" s="6" t="str">
        <f>HYPERLINK("http://www.worldcat.org/oclc/2598214","WorldCat Record")</f>
        <v>WorldCat Record</v>
      </c>
      <c r="AU28" s="3" t="s">
        <v>447</v>
      </c>
      <c r="AV28" s="3" t="s">
        <v>448</v>
      </c>
      <c r="AW28" s="3" t="s">
        <v>449</v>
      </c>
      <c r="AX28" s="3" t="s">
        <v>449</v>
      </c>
      <c r="AY28" s="3" t="s">
        <v>450</v>
      </c>
      <c r="AZ28" s="3" t="s">
        <v>73</v>
      </c>
      <c r="BB28" s="3" t="s">
        <v>451</v>
      </c>
      <c r="BC28" s="3" t="s">
        <v>452</v>
      </c>
      <c r="BD28" s="3" t="s">
        <v>453</v>
      </c>
    </row>
    <row r="29" spans="1:56" ht="31.5" customHeight="1" x14ac:dyDescent="0.25">
      <c r="A29" s="7" t="s">
        <v>58</v>
      </c>
      <c r="B29" s="2" t="s">
        <v>454</v>
      </c>
      <c r="C29" s="2" t="s">
        <v>455</v>
      </c>
      <c r="D29" s="2" t="s">
        <v>456</v>
      </c>
      <c r="F29" s="3" t="s">
        <v>58</v>
      </c>
      <c r="G29" s="3" t="s">
        <v>59</v>
      </c>
      <c r="H29" s="3" t="s">
        <v>58</v>
      </c>
      <c r="I29" s="3" t="s">
        <v>58</v>
      </c>
      <c r="J29" s="3" t="s">
        <v>60</v>
      </c>
      <c r="K29" s="2" t="s">
        <v>457</v>
      </c>
      <c r="L29" s="2" t="s">
        <v>458</v>
      </c>
      <c r="M29" s="3" t="s">
        <v>62</v>
      </c>
      <c r="O29" s="3" t="s">
        <v>63</v>
      </c>
      <c r="P29" s="3" t="s">
        <v>459</v>
      </c>
      <c r="Q29" s="2" t="s">
        <v>460</v>
      </c>
      <c r="R29" s="3" t="s">
        <v>65</v>
      </c>
      <c r="S29" s="4">
        <v>1</v>
      </c>
      <c r="T29" s="4">
        <v>1</v>
      </c>
      <c r="U29" s="5" t="s">
        <v>461</v>
      </c>
      <c r="V29" s="5" t="s">
        <v>461</v>
      </c>
      <c r="W29" s="5" t="s">
        <v>461</v>
      </c>
      <c r="X29" s="5" t="s">
        <v>461</v>
      </c>
      <c r="Y29" s="4">
        <v>179</v>
      </c>
      <c r="Z29" s="4">
        <v>109</v>
      </c>
      <c r="AA29" s="4">
        <v>124</v>
      </c>
      <c r="AB29" s="4">
        <v>2</v>
      </c>
      <c r="AC29" s="4">
        <v>2</v>
      </c>
      <c r="AD29" s="4">
        <v>4</v>
      </c>
      <c r="AE29" s="4">
        <v>4</v>
      </c>
      <c r="AF29" s="4">
        <v>0</v>
      </c>
      <c r="AG29" s="4">
        <v>0</v>
      </c>
      <c r="AH29" s="4">
        <v>0</v>
      </c>
      <c r="AI29" s="4">
        <v>0</v>
      </c>
      <c r="AJ29" s="4">
        <v>3</v>
      </c>
      <c r="AK29" s="4">
        <v>3</v>
      </c>
      <c r="AL29" s="4">
        <v>1</v>
      </c>
      <c r="AM29" s="4">
        <v>1</v>
      </c>
      <c r="AN29" s="4">
        <v>0</v>
      </c>
      <c r="AO29" s="4">
        <v>0</v>
      </c>
      <c r="AP29" s="3" t="s">
        <v>58</v>
      </c>
      <c r="AQ29" s="3" t="s">
        <v>58</v>
      </c>
      <c r="AS29" s="6" t="str">
        <f>HYPERLINK("https://creighton-primo.hosted.exlibrisgroup.com/primo-explore/search?tab=default_tab&amp;search_scope=EVERYTHING&amp;vid=01CRU&amp;lang=en_US&amp;offset=0&amp;query=any,contains,991003655169702656","Catalog Record")</f>
        <v>Catalog Record</v>
      </c>
      <c r="AT29" s="6" t="str">
        <f>HYPERLINK("http://www.worldcat.org/oclc/41712083","WorldCat Record")</f>
        <v>WorldCat Record</v>
      </c>
      <c r="AU29" s="3" t="s">
        <v>462</v>
      </c>
      <c r="AV29" s="3" t="s">
        <v>463</v>
      </c>
      <c r="AW29" s="3" t="s">
        <v>464</v>
      </c>
      <c r="AX29" s="3" t="s">
        <v>464</v>
      </c>
      <c r="AY29" s="3" t="s">
        <v>465</v>
      </c>
      <c r="AZ29" s="3" t="s">
        <v>73</v>
      </c>
      <c r="BB29" s="3" t="s">
        <v>466</v>
      </c>
      <c r="BC29" s="3" t="s">
        <v>467</v>
      </c>
      <c r="BD29" s="3" t="s">
        <v>468</v>
      </c>
    </row>
    <row r="30" spans="1:56" ht="31.5" customHeight="1" x14ac:dyDescent="0.25">
      <c r="A30" s="7" t="s">
        <v>58</v>
      </c>
      <c r="B30" s="2" t="s">
        <v>469</v>
      </c>
      <c r="C30" s="2" t="s">
        <v>470</v>
      </c>
      <c r="D30" s="2" t="s">
        <v>471</v>
      </c>
      <c r="F30" s="3" t="s">
        <v>58</v>
      </c>
      <c r="G30" s="3" t="s">
        <v>59</v>
      </c>
      <c r="H30" s="3" t="s">
        <v>58</v>
      </c>
      <c r="I30" s="3" t="s">
        <v>58</v>
      </c>
      <c r="J30" s="3" t="s">
        <v>60</v>
      </c>
      <c r="K30" s="2" t="s">
        <v>472</v>
      </c>
      <c r="L30" s="2" t="s">
        <v>473</v>
      </c>
      <c r="M30" s="3" t="s">
        <v>474</v>
      </c>
      <c r="O30" s="3" t="s">
        <v>63</v>
      </c>
      <c r="P30" s="3" t="s">
        <v>129</v>
      </c>
      <c r="Q30" s="2" t="s">
        <v>475</v>
      </c>
      <c r="R30" s="3" t="s">
        <v>65</v>
      </c>
      <c r="S30" s="4">
        <v>1</v>
      </c>
      <c r="T30" s="4">
        <v>1</v>
      </c>
      <c r="U30" s="5" t="s">
        <v>476</v>
      </c>
      <c r="V30" s="5" t="s">
        <v>476</v>
      </c>
      <c r="W30" s="5" t="s">
        <v>477</v>
      </c>
      <c r="X30" s="5" t="s">
        <v>477</v>
      </c>
      <c r="Y30" s="4">
        <v>466</v>
      </c>
      <c r="Z30" s="4">
        <v>415</v>
      </c>
      <c r="AA30" s="4">
        <v>603</v>
      </c>
      <c r="AB30" s="4">
        <v>3</v>
      </c>
      <c r="AC30" s="4">
        <v>5</v>
      </c>
      <c r="AD30" s="4">
        <v>18</v>
      </c>
      <c r="AE30" s="4">
        <v>25</v>
      </c>
      <c r="AF30" s="4">
        <v>7</v>
      </c>
      <c r="AG30" s="4">
        <v>9</v>
      </c>
      <c r="AH30" s="4">
        <v>4</v>
      </c>
      <c r="AI30" s="4">
        <v>6</v>
      </c>
      <c r="AJ30" s="4">
        <v>9</v>
      </c>
      <c r="AK30" s="4">
        <v>11</v>
      </c>
      <c r="AL30" s="4">
        <v>2</v>
      </c>
      <c r="AM30" s="4">
        <v>4</v>
      </c>
      <c r="AN30" s="4">
        <v>0</v>
      </c>
      <c r="AO30" s="4">
        <v>1</v>
      </c>
      <c r="AP30" s="3" t="s">
        <v>58</v>
      </c>
      <c r="AQ30" s="3" t="s">
        <v>58</v>
      </c>
      <c r="AS30" s="6" t="str">
        <f>HYPERLINK("https://creighton-primo.hosted.exlibrisgroup.com/primo-explore/search?tab=default_tab&amp;search_scope=EVERYTHING&amp;vid=01CRU&amp;lang=en_US&amp;offset=0&amp;query=any,contains,991003316159702656","Catalog Record")</f>
        <v>Catalog Record</v>
      </c>
      <c r="AT30" s="6" t="str">
        <f>HYPERLINK("http://www.worldcat.org/oclc/841114","WorldCat Record")</f>
        <v>WorldCat Record</v>
      </c>
      <c r="AU30" s="3" t="s">
        <v>478</v>
      </c>
      <c r="AV30" s="3" t="s">
        <v>479</v>
      </c>
      <c r="AW30" s="3" t="s">
        <v>480</v>
      </c>
      <c r="AX30" s="3" t="s">
        <v>480</v>
      </c>
      <c r="AY30" s="3" t="s">
        <v>481</v>
      </c>
      <c r="AZ30" s="3" t="s">
        <v>73</v>
      </c>
      <c r="BC30" s="3" t="s">
        <v>482</v>
      </c>
      <c r="BD30" s="3" t="s">
        <v>483</v>
      </c>
    </row>
    <row r="31" spans="1:56" ht="31.5" customHeight="1" x14ac:dyDescent="0.25">
      <c r="A31" s="7" t="s">
        <v>58</v>
      </c>
      <c r="B31" s="2" t="s">
        <v>484</v>
      </c>
      <c r="C31" s="2" t="s">
        <v>485</v>
      </c>
      <c r="D31" s="2" t="s">
        <v>486</v>
      </c>
      <c r="F31" s="3" t="s">
        <v>58</v>
      </c>
      <c r="G31" s="3" t="s">
        <v>59</v>
      </c>
      <c r="H31" s="3" t="s">
        <v>58</v>
      </c>
      <c r="I31" s="3" t="s">
        <v>58</v>
      </c>
      <c r="J31" s="3" t="s">
        <v>60</v>
      </c>
      <c r="K31" s="2" t="s">
        <v>372</v>
      </c>
      <c r="L31" s="2" t="s">
        <v>487</v>
      </c>
      <c r="M31" s="3" t="s">
        <v>97</v>
      </c>
      <c r="O31" s="3" t="s">
        <v>63</v>
      </c>
      <c r="P31" s="3" t="s">
        <v>64</v>
      </c>
      <c r="R31" s="3" t="s">
        <v>65</v>
      </c>
      <c r="S31" s="4">
        <v>3</v>
      </c>
      <c r="T31" s="4">
        <v>3</v>
      </c>
      <c r="U31" s="5" t="s">
        <v>374</v>
      </c>
      <c r="V31" s="5" t="s">
        <v>374</v>
      </c>
      <c r="W31" s="5" t="s">
        <v>488</v>
      </c>
      <c r="X31" s="5" t="s">
        <v>488</v>
      </c>
      <c r="Y31" s="4">
        <v>1089</v>
      </c>
      <c r="Z31" s="4">
        <v>997</v>
      </c>
      <c r="AA31" s="4">
        <v>1236</v>
      </c>
      <c r="AB31" s="4">
        <v>9</v>
      </c>
      <c r="AC31" s="4">
        <v>13</v>
      </c>
      <c r="AD31" s="4">
        <v>23</v>
      </c>
      <c r="AE31" s="4">
        <v>34</v>
      </c>
      <c r="AF31" s="4">
        <v>9</v>
      </c>
      <c r="AG31" s="4">
        <v>12</v>
      </c>
      <c r="AH31" s="4">
        <v>5</v>
      </c>
      <c r="AI31" s="4">
        <v>6</v>
      </c>
      <c r="AJ31" s="4">
        <v>10</v>
      </c>
      <c r="AK31" s="4">
        <v>14</v>
      </c>
      <c r="AL31" s="4">
        <v>5</v>
      </c>
      <c r="AM31" s="4">
        <v>9</v>
      </c>
      <c r="AN31" s="4">
        <v>0</v>
      </c>
      <c r="AO31" s="4">
        <v>0</v>
      </c>
      <c r="AP31" s="3" t="s">
        <v>58</v>
      </c>
      <c r="AQ31" s="3" t="s">
        <v>68</v>
      </c>
      <c r="AR31" s="6" t="str">
        <f>HYPERLINK("http://catalog.hathitrust.org/Record/001551015","HathiTrust Record")</f>
        <v>HathiTrust Record</v>
      </c>
      <c r="AS31" s="6" t="str">
        <f>HYPERLINK("https://creighton-primo.hosted.exlibrisgroup.com/primo-explore/search?tab=default_tab&amp;search_scope=EVERYTHING&amp;vid=01CRU&amp;lang=en_US&amp;offset=0&amp;query=any,contains,991001491519702656","Catalog Record")</f>
        <v>Catalog Record</v>
      </c>
      <c r="AT31" s="6" t="str">
        <f>HYPERLINK("http://www.worldcat.org/oclc/19723698","WorldCat Record")</f>
        <v>WorldCat Record</v>
      </c>
      <c r="AU31" s="3" t="s">
        <v>489</v>
      </c>
      <c r="AV31" s="3" t="s">
        <v>490</v>
      </c>
      <c r="AW31" s="3" t="s">
        <v>491</v>
      </c>
      <c r="AX31" s="3" t="s">
        <v>491</v>
      </c>
      <c r="AY31" s="3" t="s">
        <v>492</v>
      </c>
      <c r="AZ31" s="3" t="s">
        <v>73</v>
      </c>
      <c r="BB31" s="3" t="s">
        <v>493</v>
      </c>
      <c r="BC31" s="3" t="s">
        <v>494</v>
      </c>
      <c r="BD31" s="3" t="s">
        <v>495</v>
      </c>
    </row>
    <row r="32" spans="1:56" ht="31.5" customHeight="1" x14ac:dyDescent="0.25">
      <c r="A32" s="7" t="s">
        <v>58</v>
      </c>
      <c r="B32" s="2" t="s">
        <v>496</v>
      </c>
      <c r="C32" s="2" t="s">
        <v>497</v>
      </c>
      <c r="D32" s="2" t="s">
        <v>498</v>
      </c>
      <c r="F32" s="3" t="s">
        <v>58</v>
      </c>
      <c r="G32" s="3" t="s">
        <v>59</v>
      </c>
      <c r="H32" s="3" t="s">
        <v>58</v>
      </c>
      <c r="I32" s="3" t="s">
        <v>58</v>
      </c>
      <c r="J32" s="3" t="s">
        <v>60</v>
      </c>
      <c r="K32" s="2" t="s">
        <v>499</v>
      </c>
      <c r="L32" s="2" t="s">
        <v>500</v>
      </c>
      <c r="M32" s="3" t="s">
        <v>113</v>
      </c>
      <c r="N32" s="2" t="s">
        <v>501</v>
      </c>
      <c r="O32" s="3" t="s">
        <v>63</v>
      </c>
      <c r="P32" s="3" t="s">
        <v>64</v>
      </c>
      <c r="R32" s="3" t="s">
        <v>65</v>
      </c>
      <c r="S32" s="4">
        <v>1</v>
      </c>
      <c r="T32" s="4">
        <v>1</v>
      </c>
      <c r="U32" s="5" t="s">
        <v>502</v>
      </c>
      <c r="V32" s="5" t="s">
        <v>502</v>
      </c>
      <c r="W32" s="5" t="s">
        <v>503</v>
      </c>
      <c r="X32" s="5" t="s">
        <v>503</v>
      </c>
      <c r="Y32" s="4">
        <v>1496</v>
      </c>
      <c r="Z32" s="4">
        <v>1362</v>
      </c>
      <c r="AA32" s="4">
        <v>1369</v>
      </c>
      <c r="AB32" s="4">
        <v>9</v>
      </c>
      <c r="AC32" s="4">
        <v>9</v>
      </c>
      <c r="AD32" s="4">
        <v>35</v>
      </c>
      <c r="AE32" s="4">
        <v>35</v>
      </c>
      <c r="AF32" s="4">
        <v>13</v>
      </c>
      <c r="AG32" s="4">
        <v>13</v>
      </c>
      <c r="AH32" s="4">
        <v>7</v>
      </c>
      <c r="AI32" s="4">
        <v>7</v>
      </c>
      <c r="AJ32" s="4">
        <v>17</v>
      </c>
      <c r="AK32" s="4">
        <v>17</v>
      </c>
      <c r="AL32" s="4">
        <v>7</v>
      </c>
      <c r="AM32" s="4">
        <v>7</v>
      </c>
      <c r="AN32" s="4">
        <v>0</v>
      </c>
      <c r="AO32" s="4">
        <v>0</v>
      </c>
      <c r="AP32" s="3" t="s">
        <v>58</v>
      </c>
      <c r="AQ32" s="3" t="s">
        <v>58</v>
      </c>
      <c r="AS32" s="6" t="str">
        <f>HYPERLINK("https://creighton-primo.hosted.exlibrisgroup.com/primo-explore/search?tab=default_tab&amp;search_scope=EVERYTHING&amp;vid=01CRU&amp;lang=en_US&amp;offset=0&amp;query=any,contains,991004122289702656","Catalog Record")</f>
        <v>Catalog Record</v>
      </c>
      <c r="AT32" s="6" t="str">
        <f>HYPERLINK("http://www.worldcat.org/oclc/51177432","WorldCat Record")</f>
        <v>WorldCat Record</v>
      </c>
      <c r="AU32" s="3" t="s">
        <v>504</v>
      </c>
      <c r="AV32" s="3" t="s">
        <v>505</v>
      </c>
      <c r="AW32" s="3" t="s">
        <v>506</v>
      </c>
      <c r="AX32" s="3" t="s">
        <v>506</v>
      </c>
      <c r="AY32" s="3" t="s">
        <v>507</v>
      </c>
      <c r="AZ32" s="3" t="s">
        <v>73</v>
      </c>
      <c r="BB32" s="3" t="s">
        <v>508</v>
      </c>
      <c r="BC32" s="3" t="s">
        <v>509</v>
      </c>
      <c r="BD32" s="3" t="s">
        <v>510</v>
      </c>
    </row>
    <row r="33" spans="1:56" ht="31.5" customHeight="1" x14ac:dyDescent="0.25">
      <c r="A33" s="7" t="s">
        <v>58</v>
      </c>
      <c r="B33" s="2" t="s">
        <v>511</v>
      </c>
      <c r="C33" s="2" t="s">
        <v>512</v>
      </c>
      <c r="D33" s="2" t="s">
        <v>513</v>
      </c>
      <c r="E33" s="3" t="s">
        <v>514</v>
      </c>
      <c r="F33" s="3" t="s">
        <v>68</v>
      </c>
      <c r="G33" s="3" t="s">
        <v>59</v>
      </c>
      <c r="H33" s="3" t="s">
        <v>58</v>
      </c>
      <c r="I33" s="3" t="s">
        <v>58</v>
      </c>
      <c r="J33" s="3" t="s">
        <v>60</v>
      </c>
      <c r="K33" s="2" t="s">
        <v>515</v>
      </c>
      <c r="L33" s="2" t="s">
        <v>516</v>
      </c>
      <c r="M33" s="3" t="s">
        <v>401</v>
      </c>
      <c r="O33" s="3" t="s">
        <v>63</v>
      </c>
      <c r="P33" s="3" t="s">
        <v>98</v>
      </c>
      <c r="R33" s="3" t="s">
        <v>65</v>
      </c>
      <c r="S33" s="4">
        <v>0</v>
      </c>
      <c r="T33" s="4">
        <v>0</v>
      </c>
      <c r="U33" s="5" t="s">
        <v>517</v>
      </c>
      <c r="V33" s="5" t="s">
        <v>517</v>
      </c>
      <c r="W33" s="5" t="s">
        <v>518</v>
      </c>
      <c r="X33" s="5" t="s">
        <v>518</v>
      </c>
      <c r="Y33" s="4">
        <v>234</v>
      </c>
      <c r="Z33" s="4">
        <v>166</v>
      </c>
      <c r="AA33" s="4">
        <v>190</v>
      </c>
      <c r="AB33" s="4">
        <v>2</v>
      </c>
      <c r="AC33" s="4">
        <v>2</v>
      </c>
      <c r="AD33" s="4">
        <v>11</v>
      </c>
      <c r="AE33" s="4">
        <v>11</v>
      </c>
      <c r="AF33" s="4">
        <v>4</v>
      </c>
      <c r="AG33" s="4">
        <v>4</v>
      </c>
      <c r="AH33" s="4">
        <v>3</v>
      </c>
      <c r="AI33" s="4">
        <v>3</v>
      </c>
      <c r="AJ33" s="4">
        <v>6</v>
      </c>
      <c r="AK33" s="4">
        <v>6</v>
      </c>
      <c r="AL33" s="4">
        <v>1</v>
      </c>
      <c r="AM33" s="4">
        <v>1</v>
      </c>
      <c r="AN33" s="4">
        <v>0</v>
      </c>
      <c r="AO33" s="4">
        <v>0</v>
      </c>
      <c r="AP33" s="3" t="s">
        <v>58</v>
      </c>
      <c r="AQ33" s="3" t="s">
        <v>58</v>
      </c>
      <c r="AS33" s="6" t="str">
        <f>HYPERLINK("https://creighton-primo.hosted.exlibrisgroup.com/primo-explore/search?tab=default_tab&amp;search_scope=EVERYTHING&amp;vid=01CRU&amp;lang=en_US&amp;offset=0&amp;query=any,contains,991005008989702656","Catalog Record")</f>
        <v>Catalog Record</v>
      </c>
      <c r="AT33" s="6" t="str">
        <f>HYPERLINK("http://www.worldcat.org/oclc/6585074","WorldCat Record")</f>
        <v>WorldCat Record</v>
      </c>
      <c r="AU33" s="3" t="s">
        <v>519</v>
      </c>
      <c r="AV33" s="3" t="s">
        <v>520</v>
      </c>
      <c r="AW33" s="3" t="s">
        <v>521</v>
      </c>
      <c r="AX33" s="3" t="s">
        <v>521</v>
      </c>
      <c r="AY33" s="3" t="s">
        <v>522</v>
      </c>
      <c r="AZ33" s="3" t="s">
        <v>73</v>
      </c>
      <c r="BB33" s="3" t="s">
        <v>523</v>
      </c>
      <c r="BC33" s="3" t="s">
        <v>524</v>
      </c>
      <c r="BD33" s="3" t="s">
        <v>525</v>
      </c>
    </row>
    <row r="34" spans="1:56" ht="31.5" customHeight="1" x14ac:dyDescent="0.25">
      <c r="A34" s="7" t="s">
        <v>58</v>
      </c>
      <c r="B34" s="2" t="s">
        <v>511</v>
      </c>
      <c r="C34" s="2" t="s">
        <v>512</v>
      </c>
      <c r="D34" s="2" t="s">
        <v>513</v>
      </c>
      <c r="E34" s="3" t="s">
        <v>526</v>
      </c>
      <c r="F34" s="3" t="s">
        <v>68</v>
      </c>
      <c r="G34" s="3" t="s">
        <v>59</v>
      </c>
      <c r="H34" s="3" t="s">
        <v>58</v>
      </c>
      <c r="I34" s="3" t="s">
        <v>58</v>
      </c>
      <c r="J34" s="3" t="s">
        <v>60</v>
      </c>
      <c r="K34" s="2" t="s">
        <v>515</v>
      </c>
      <c r="L34" s="2" t="s">
        <v>516</v>
      </c>
      <c r="M34" s="3" t="s">
        <v>401</v>
      </c>
      <c r="O34" s="3" t="s">
        <v>63</v>
      </c>
      <c r="P34" s="3" t="s">
        <v>98</v>
      </c>
      <c r="R34" s="3" t="s">
        <v>65</v>
      </c>
      <c r="S34" s="4">
        <v>0</v>
      </c>
      <c r="T34" s="4">
        <v>0</v>
      </c>
      <c r="U34" s="5" t="s">
        <v>517</v>
      </c>
      <c r="V34" s="5" t="s">
        <v>517</v>
      </c>
      <c r="W34" s="5" t="s">
        <v>518</v>
      </c>
      <c r="X34" s="5" t="s">
        <v>518</v>
      </c>
      <c r="Y34" s="4">
        <v>234</v>
      </c>
      <c r="Z34" s="4">
        <v>166</v>
      </c>
      <c r="AA34" s="4">
        <v>190</v>
      </c>
      <c r="AB34" s="4">
        <v>2</v>
      </c>
      <c r="AC34" s="4">
        <v>2</v>
      </c>
      <c r="AD34" s="4">
        <v>11</v>
      </c>
      <c r="AE34" s="4">
        <v>11</v>
      </c>
      <c r="AF34" s="4">
        <v>4</v>
      </c>
      <c r="AG34" s="4">
        <v>4</v>
      </c>
      <c r="AH34" s="4">
        <v>3</v>
      </c>
      <c r="AI34" s="4">
        <v>3</v>
      </c>
      <c r="AJ34" s="4">
        <v>6</v>
      </c>
      <c r="AK34" s="4">
        <v>6</v>
      </c>
      <c r="AL34" s="4">
        <v>1</v>
      </c>
      <c r="AM34" s="4">
        <v>1</v>
      </c>
      <c r="AN34" s="4">
        <v>0</v>
      </c>
      <c r="AO34" s="4">
        <v>0</v>
      </c>
      <c r="AP34" s="3" t="s">
        <v>58</v>
      </c>
      <c r="AQ34" s="3" t="s">
        <v>58</v>
      </c>
      <c r="AS34" s="6" t="str">
        <f>HYPERLINK("https://creighton-primo.hosted.exlibrisgroup.com/primo-explore/search?tab=default_tab&amp;search_scope=EVERYTHING&amp;vid=01CRU&amp;lang=en_US&amp;offset=0&amp;query=any,contains,991005008989702656","Catalog Record")</f>
        <v>Catalog Record</v>
      </c>
      <c r="AT34" s="6" t="str">
        <f>HYPERLINK("http://www.worldcat.org/oclc/6585074","WorldCat Record")</f>
        <v>WorldCat Record</v>
      </c>
      <c r="AU34" s="3" t="s">
        <v>519</v>
      </c>
      <c r="AV34" s="3" t="s">
        <v>520</v>
      </c>
      <c r="AW34" s="3" t="s">
        <v>521</v>
      </c>
      <c r="AX34" s="3" t="s">
        <v>521</v>
      </c>
      <c r="AY34" s="3" t="s">
        <v>522</v>
      </c>
      <c r="AZ34" s="3" t="s">
        <v>73</v>
      </c>
      <c r="BB34" s="3" t="s">
        <v>523</v>
      </c>
      <c r="BC34" s="3" t="s">
        <v>527</v>
      </c>
      <c r="BD34" s="3" t="s">
        <v>528</v>
      </c>
    </row>
    <row r="35" spans="1:56" ht="31.5" customHeight="1" x14ac:dyDescent="0.25">
      <c r="A35" s="7" t="s">
        <v>58</v>
      </c>
      <c r="B35" s="2" t="s">
        <v>511</v>
      </c>
      <c r="C35" s="2" t="s">
        <v>512</v>
      </c>
      <c r="D35" s="2" t="s">
        <v>513</v>
      </c>
      <c r="E35" s="3" t="s">
        <v>529</v>
      </c>
      <c r="F35" s="3" t="s">
        <v>68</v>
      </c>
      <c r="G35" s="3" t="s">
        <v>59</v>
      </c>
      <c r="H35" s="3" t="s">
        <v>58</v>
      </c>
      <c r="I35" s="3" t="s">
        <v>58</v>
      </c>
      <c r="J35" s="3" t="s">
        <v>60</v>
      </c>
      <c r="K35" s="2" t="s">
        <v>515</v>
      </c>
      <c r="L35" s="2" t="s">
        <v>516</v>
      </c>
      <c r="M35" s="3" t="s">
        <v>401</v>
      </c>
      <c r="O35" s="3" t="s">
        <v>63</v>
      </c>
      <c r="P35" s="3" t="s">
        <v>98</v>
      </c>
      <c r="R35" s="3" t="s">
        <v>65</v>
      </c>
      <c r="S35" s="4">
        <v>0</v>
      </c>
      <c r="T35" s="4">
        <v>0</v>
      </c>
      <c r="U35" s="5" t="s">
        <v>517</v>
      </c>
      <c r="V35" s="5" t="s">
        <v>517</v>
      </c>
      <c r="W35" s="5" t="s">
        <v>518</v>
      </c>
      <c r="X35" s="5" t="s">
        <v>518</v>
      </c>
      <c r="Y35" s="4">
        <v>234</v>
      </c>
      <c r="Z35" s="4">
        <v>166</v>
      </c>
      <c r="AA35" s="4">
        <v>190</v>
      </c>
      <c r="AB35" s="4">
        <v>2</v>
      </c>
      <c r="AC35" s="4">
        <v>2</v>
      </c>
      <c r="AD35" s="4">
        <v>11</v>
      </c>
      <c r="AE35" s="4">
        <v>11</v>
      </c>
      <c r="AF35" s="4">
        <v>4</v>
      </c>
      <c r="AG35" s="4">
        <v>4</v>
      </c>
      <c r="AH35" s="4">
        <v>3</v>
      </c>
      <c r="AI35" s="4">
        <v>3</v>
      </c>
      <c r="AJ35" s="4">
        <v>6</v>
      </c>
      <c r="AK35" s="4">
        <v>6</v>
      </c>
      <c r="AL35" s="4">
        <v>1</v>
      </c>
      <c r="AM35" s="4">
        <v>1</v>
      </c>
      <c r="AN35" s="4">
        <v>0</v>
      </c>
      <c r="AO35" s="4">
        <v>0</v>
      </c>
      <c r="AP35" s="3" t="s">
        <v>58</v>
      </c>
      <c r="AQ35" s="3" t="s">
        <v>58</v>
      </c>
      <c r="AS35" s="6" t="str">
        <f>HYPERLINK("https://creighton-primo.hosted.exlibrisgroup.com/primo-explore/search?tab=default_tab&amp;search_scope=EVERYTHING&amp;vid=01CRU&amp;lang=en_US&amp;offset=0&amp;query=any,contains,991005008989702656","Catalog Record")</f>
        <v>Catalog Record</v>
      </c>
      <c r="AT35" s="6" t="str">
        <f>HYPERLINK("http://www.worldcat.org/oclc/6585074","WorldCat Record")</f>
        <v>WorldCat Record</v>
      </c>
      <c r="AU35" s="3" t="s">
        <v>519</v>
      </c>
      <c r="AV35" s="3" t="s">
        <v>520</v>
      </c>
      <c r="AW35" s="3" t="s">
        <v>521</v>
      </c>
      <c r="AX35" s="3" t="s">
        <v>521</v>
      </c>
      <c r="AY35" s="3" t="s">
        <v>522</v>
      </c>
      <c r="AZ35" s="3" t="s">
        <v>73</v>
      </c>
      <c r="BB35" s="3" t="s">
        <v>523</v>
      </c>
      <c r="BC35" s="3" t="s">
        <v>530</v>
      </c>
      <c r="BD35" s="3" t="s">
        <v>531</v>
      </c>
    </row>
    <row r="36" spans="1:56" ht="31.5" customHeight="1" x14ac:dyDescent="0.25">
      <c r="A36" s="7" t="s">
        <v>58</v>
      </c>
      <c r="B36" s="2" t="s">
        <v>532</v>
      </c>
      <c r="C36" s="2" t="s">
        <v>533</v>
      </c>
      <c r="D36" s="2" t="s">
        <v>534</v>
      </c>
      <c r="F36" s="3" t="s">
        <v>58</v>
      </c>
      <c r="G36" s="3" t="s">
        <v>59</v>
      </c>
      <c r="H36" s="3" t="s">
        <v>58</v>
      </c>
      <c r="I36" s="3" t="s">
        <v>58</v>
      </c>
      <c r="J36" s="3" t="s">
        <v>60</v>
      </c>
      <c r="K36" s="2" t="s">
        <v>535</v>
      </c>
      <c r="L36" s="2" t="s">
        <v>536</v>
      </c>
      <c r="M36" s="3" t="s">
        <v>537</v>
      </c>
      <c r="O36" s="3" t="s">
        <v>63</v>
      </c>
      <c r="P36" s="3" t="s">
        <v>64</v>
      </c>
      <c r="R36" s="3" t="s">
        <v>65</v>
      </c>
      <c r="S36" s="4">
        <v>10</v>
      </c>
      <c r="T36" s="4">
        <v>10</v>
      </c>
      <c r="U36" s="5" t="s">
        <v>538</v>
      </c>
      <c r="V36" s="5" t="s">
        <v>538</v>
      </c>
      <c r="W36" s="5" t="s">
        <v>539</v>
      </c>
      <c r="X36" s="5" t="s">
        <v>539</v>
      </c>
      <c r="Y36" s="4">
        <v>694</v>
      </c>
      <c r="Z36" s="4">
        <v>625</v>
      </c>
      <c r="AA36" s="4">
        <v>751</v>
      </c>
      <c r="AB36" s="4">
        <v>5</v>
      </c>
      <c r="AC36" s="4">
        <v>5</v>
      </c>
      <c r="AD36" s="4">
        <v>22</v>
      </c>
      <c r="AE36" s="4">
        <v>26</v>
      </c>
      <c r="AF36" s="4">
        <v>10</v>
      </c>
      <c r="AG36" s="4">
        <v>13</v>
      </c>
      <c r="AH36" s="4">
        <v>5</v>
      </c>
      <c r="AI36" s="4">
        <v>6</v>
      </c>
      <c r="AJ36" s="4">
        <v>11</v>
      </c>
      <c r="AK36" s="4">
        <v>12</v>
      </c>
      <c r="AL36" s="4">
        <v>3</v>
      </c>
      <c r="AM36" s="4">
        <v>3</v>
      </c>
      <c r="AN36" s="4">
        <v>0</v>
      </c>
      <c r="AO36" s="4">
        <v>0</v>
      </c>
      <c r="AP36" s="3" t="s">
        <v>58</v>
      </c>
      <c r="AQ36" s="3" t="s">
        <v>68</v>
      </c>
      <c r="AR36" s="6" t="str">
        <f>HYPERLINK("http://catalog.hathitrust.org/Record/002482227","HathiTrust Record")</f>
        <v>HathiTrust Record</v>
      </c>
      <c r="AS36" s="6" t="str">
        <f>HYPERLINK("https://creighton-primo.hosted.exlibrisgroup.com/primo-explore/search?tab=default_tab&amp;search_scope=EVERYTHING&amp;vid=01CRU&amp;lang=en_US&amp;offset=0&amp;query=any,contains,991001893379702656","Catalog Record")</f>
        <v>Catalog Record</v>
      </c>
      <c r="AT36" s="6" t="str">
        <f>HYPERLINK("http://www.worldcat.org/oclc/23902133","WorldCat Record")</f>
        <v>WorldCat Record</v>
      </c>
      <c r="AU36" s="3" t="s">
        <v>540</v>
      </c>
      <c r="AV36" s="3" t="s">
        <v>541</v>
      </c>
      <c r="AW36" s="3" t="s">
        <v>542</v>
      </c>
      <c r="AX36" s="3" t="s">
        <v>542</v>
      </c>
      <c r="AY36" s="3" t="s">
        <v>543</v>
      </c>
      <c r="AZ36" s="3" t="s">
        <v>73</v>
      </c>
      <c r="BB36" s="3" t="s">
        <v>544</v>
      </c>
      <c r="BC36" s="3" t="s">
        <v>545</v>
      </c>
      <c r="BD36" s="3" t="s">
        <v>546</v>
      </c>
    </row>
    <row r="37" spans="1:56" ht="31.5" customHeight="1" x14ac:dyDescent="0.25">
      <c r="A37" s="7" t="s">
        <v>58</v>
      </c>
      <c r="B37" s="2" t="s">
        <v>547</v>
      </c>
      <c r="C37" s="2" t="s">
        <v>548</v>
      </c>
      <c r="D37" s="2" t="s">
        <v>549</v>
      </c>
      <c r="F37" s="3" t="s">
        <v>58</v>
      </c>
      <c r="G37" s="3" t="s">
        <v>59</v>
      </c>
      <c r="H37" s="3" t="s">
        <v>58</v>
      </c>
      <c r="I37" s="3" t="s">
        <v>58</v>
      </c>
      <c r="J37" s="3" t="s">
        <v>60</v>
      </c>
      <c r="K37" s="2" t="s">
        <v>550</v>
      </c>
      <c r="L37" s="2" t="s">
        <v>551</v>
      </c>
      <c r="M37" s="3" t="s">
        <v>159</v>
      </c>
      <c r="N37" s="2" t="s">
        <v>345</v>
      </c>
      <c r="O37" s="3" t="s">
        <v>63</v>
      </c>
      <c r="P37" s="3" t="s">
        <v>64</v>
      </c>
      <c r="R37" s="3" t="s">
        <v>65</v>
      </c>
      <c r="S37" s="4">
        <v>4</v>
      </c>
      <c r="T37" s="4">
        <v>4</v>
      </c>
      <c r="U37" s="5" t="s">
        <v>552</v>
      </c>
      <c r="V37" s="5" t="s">
        <v>552</v>
      </c>
      <c r="W37" s="5" t="s">
        <v>161</v>
      </c>
      <c r="X37" s="5" t="s">
        <v>161</v>
      </c>
      <c r="Y37" s="4">
        <v>565</v>
      </c>
      <c r="Z37" s="4">
        <v>524</v>
      </c>
      <c r="AA37" s="4">
        <v>552</v>
      </c>
      <c r="AB37" s="4">
        <v>2</v>
      </c>
      <c r="AC37" s="4">
        <v>3</v>
      </c>
      <c r="AD37" s="4">
        <v>15</v>
      </c>
      <c r="AE37" s="4">
        <v>19</v>
      </c>
      <c r="AF37" s="4">
        <v>6</v>
      </c>
      <c r="AG37" s="4">
        <v>7</v>
      </c>
      <c r="AH37" s="4">
        <v>5</v>
      </c>
      <c r="AI37" s="4">
        <v>6</v>
      </c>
      <c r="AJ37" s="4">
        <v>9</v>
      </c>
      <c r="AK37" s="4">
        <v>10</v>
      </c>
      <c r="AL37" s="4">
        <v>0</v>
      </c>
      <c r="AM37" s="4">
        <v>1</v>
      </c>
      <c r="AN37" s="4">
        <v>0</v>
      </c>
      <c r="AO37" s="4">
        <v>0</v>
      </c>
      <c r="AP37" s="3" t="s">
        <v>58</v>
      </c>
      <c r="AQ37" s="3" t="s">
        <v>68</v>
      </c>
      <c r="AR37" s="6" t="str">
        <f>HYPERLINK("http://catalog.hathitrust.org/Record/004393209","HathiTrust Record")</f>
        <v>HathiTrust Record</v>
      </c>
      <c r="AS37" s="6" t="str">
        <f>HYPERLINK("https://creighton-primo.hosted.exlibrisgroup.com/primo-explore/search?tab=default_tab&amp;search_scope=EVERYTHING&amp;vid=01CRU&amp;lang=en_US&amp;offset=0&amp;query=any,contains,991000034769702656","Catalog Record")</f>
        <v>Catalog Record</v>
      </c>
      <c r="AT37" s="6" t="str">
        <f>HYPERLINK("http://www.worldcat.org/oclc/8627215","WorldCat Record")</f>
        <v>WorldCat Record</v>
      </c>
      <c r="AU37" s="3" t="s">
        <v>553</v>
      </c>
      <c r="AV37" s="3" t="s">
        <v>554</v>
      </c>
      <c r="AW37" s="3" t="s">
        <v>555</v>
      </c>
      <c r="AX37" s="3" t="s">
        <v>555</v>
      </c>
      <c r="AY37" s="3" t="s">
        <v>556</v>
      </c>
      <c r="AZ37" s="3" t="s">
        <v>73</v>
      </c>
      <c r="BB37" s="3" t="s">
        <v>557</v>
      </c>
      <c r="BC37" s="3" t="s">
        <v>558</v>
      </c>
      <c r="BD37" s="3" t="s">
        <v>559</v>
      </c>
    </row>
    <row r="38" spans="1:56" ht="31.5" customHeight="1" x14ac:dyDescent="0.25">
      <c r="A38" s="7" t="s">
        <v>58</v>
      </c>
      <c r="B38" s="2" t="s">
        <v>560</v>
      </c>
      <c r="C38" s="2" t="s">
        <v>561</v>
      </c>
      <c r="D38" s="2" t="s">
        <v>562</v>
      </c>
      <c r="F38" s="3" t="s">
        <v>58</v>
      </c>
      <c r="G38" s="3" t="s">
        <v>59</v>
      </c>
      <c r="H38" s="3" t="s">
        <v>58</v>
      </c>
      <c r="I38" s="3" t="s">
        <v>58</v>
      </c>
      <c r="J38" s="3" t="s">
        <v>60</v>
      </c>
      <c r="K38" s="2" t="s">
        <v>563</v>
      </c>
      <c r="L38" s="2" t="s">
        <v>564</v>
      </c>
      <c r="M38" s="3" t="s">
        <v>565</v>
      </c>
      <c r="N38" s="2" t="s">
        <v>566</v>
      </c>
      <c r="O38" s="3" t="s">
        <v>63</v>
      </c>
      <c r="P38" s="3" t="s">
        <v>186</v>
      </c>
      <c r="R38" s="3" t="s">
        <v>65</v>
      </c>
      <c r="S38" s="4">
        <v>1</v>
      </c>
      <c r="T38" s="4">
        <v>1</v>
      </c>
      <c r="U38" s="5" t="s">
        <v>567</v>
      </c>
      <c r="V38" s="5" t="s">
        <v>567</v>
      </c>
      <c r="W38" s="5" t="s">
        <v>161</v>
      </c>
      <c r="X38" s="5" t="s">
        <v>161</v>
      </c>
      <c r="Y38" s="4">
        <v>690</v>
      </c>
      <c r="Z38" s="4">
        <v>518</v>
      </c>
      <c r="AA38" s="4">
        <v>702</v>
      </c>
      <c r="AB38" s="4">
        <v>7</v>
      </c>
      <c r="AC38" s="4">
        <v>7</v>
      </c>
      <c r="AD38" s="4">
        <v>31</v>
      </c>
      <c r="AE38" s="4">
        <v>40</v>
      </c>
      <c r="AF38" s="4">
        <v>8</v>
      </c>
      <c r="AG38" s="4">
        <v>14</v>
      </c>
      <c r="AH38" s="4">
        <v>8</v>
      </c>
      <c r="AI38" s="4">
        <v>8</v>
      </c>
      <c r="AJ38" s="4">
        <v>15</v>
      </c>
      <c r="AK38" s="4">
        <v>22</v>
      </c>
      <c r="AL38" s="4">
        <v>6</v>
      </c>
      <c r="AM38" s="4">
        <v>6</v>
      </c>
      <c r="AN38" s="4">
        <v>0</v>
      </c>
      <c r="AO38" s="4">
        <v>0</v>
      </c>
      <c r="AP38" s="3" t="s">
        <v>58</v>
      </c>
      <c r="AQ38" s="3" t="s">
        <v>68</v>
      </c>
      <c r="AR38" s="6" t="str">
        <f>HYPERLINK("http://catalog.hathitrust.org/Record/000718229","HathiTrust Record")</f>
        <v>HathiTrust Record</v>
      </c>
      <c r="AS38" s="6" t="str">
        <f>HYPERLINK("https://creighton-primo.hosted.exlibrisgroup.com/primo-explore/search?tab=default_tab&amp;search_scope=EVERYTHING&amp;vid=01CRU&amp;lang=en_US&amp;offset=0&amp;query=any,contains,991004885869702656","Catalog Record")</f>
        <v>Catalog Record</v>
      </c>
      <c r="AT38" s="6" t="str">
        <f>HYPERLINK("http://www.worldcat.org/oclc/5831897","WorldCat Record")</f>
        <v>WorldCat Record</v>
      </c>
      <c r="AU38" s="3" t="s">
        <v>568</v>
      </c>
      <c r="AV38" s="3" t="s">
        <v>569</v>
      </c>
      <c r="AW38" s="3" t="s">
        <v>570</v>
      </c>
      <c r="AX38" s="3" t="s">
        <v>570</v>
      </c>
      <c r="AY38" s="3" t="s">
        <v>571</v>
      </c>
      <c r="AZ38" s="3" t="s">
        <v>73</v>
      </c>
      <c r="BB38" s="3" t="s">
        <v>572</v>
      </c>
      <c r="BC38" s="3" t="s">
        <v>573</v>
      </c>
      <c r="BD38" s="3" t="s">
        <v>574</v>
      </c>
    </row>
    <row r="39" spans="1:56" ht="31.5" customHeight="1" x14ac:dyDescent="0.25">
      <c r="A39" s="7" t="s">
        <v>58</v>
      </c>
      <c r="B39" s="2" t="s">
        <v>575</v>
      </c>
      <c r="C39" s="2" t="s">
        <v>576</v>
      </c>
      <c r="D39" s="2" t="s">
        <v>577</v>
      </c>
      <c r="F39" s="3" t="s">
        <v>58</v>
      </c>
      <c r="G39" s="3" t="s">
        <v>59</v>
      </c>
      <c r="H39" s="3" t="s">
        <v>58</v>
      </c>
      <c r="I39" s="3" t="s">
        <v>58</v>
      </c>
      <c r="J39" s="3" t="s">
        <v>60</v>
      </c>
      <c r="K39" s="2" t="s">
        <v>578</v>
      </c>
      <c r="L39" s="2" t="s">
        <v>579</v>
      </c>
      <c r="M39" s="3" t="s">
        <v>201</v>
      </c>
      <c r="O39" s="3" t="s">
        <v>63</v>
      </c>
      <c r="P39" s="3" t="s">
        <v>580</v>
      </c>
      <c r="Q39" s="2" t="s">
        <v>581</v>
      </c>
      <c r="R39" s="3" t="s">
        <v>65</v>
      </c>
      <c r="S39" s="4">
        <v>1</v>
      </c>
      <c r="T39" s="4">
        <v>1</v>
      </c>
      <c r="U39" s="5" t="s">
        <v>567</v>
      </c>
      <c r="V39" s="5" t="s">
        <v>567</v>
      </c>
      <c r="W39" s="5" t="s">
        <v>161</v>
      </c>
      <c r="X39" s="5" t="s">
        <v>161</v>
      </c>
      <c r="Y39" s="4">
        <v>324</v>
      </c>
      <c r="Z39" s="4">
        <v>231</v>
      </c>
      <c r="AA39" s="4">
        <v>232</v>
      </c>
      <c r="AB39" s="4">
        <v>2</v>
      </c>
      <c r="AC39" s="4">
        <v>2</v>
      </c>
      <c r="AD39" s="4">
        <v>9</v>
      </c>
      <c r="AE39" s="4">
        <v>9</v>
      </c>
      <c r="AF39" s="4">
        <v>1</v>
      </c>
      <c r="AG39" s="4">
        <v>1</v>
      </c>
      <c r="AH39" s="4">
        <v>2</v>
      </c>
      <c r="AI39" s="4">
        <v>2</v>
      </c>
      <c r="AJ39" s="4">
        <v>7</v>
      </c>
      <c r="AK39" s="4">
        <v>7</v>
      </c>
      <c r="AL39" s="4">
        <v>1</v>
      </c>
      <c r="AM39" s="4">
        <v>1</v>
      </c>
      <c r="AN39" s="4">
        <v>0</v>
      </c>
      <c r="AO39" s="4">
        <v>0</v>
      </c>
      <c r="AP39" s="3" t="s">
        <v>58</v>
      </c>
      <c r="AQ39" s="3" t="s">
        <v>58</v>
      </c>
      <c r="AS39" s="6" t="str">
        <f>HYPERLINK("https://creighton-primo.hosted.exlibrisgroup.com/primo-explore/search?tab=default_tab&amp;search_scope=EVERYTHING&amp;vid=01CRU&amp;lang=en_US&amp;offset=0&amp;query=any,contains,991004072209702656","Catalog Record")</f>
        <v>Catalog Record</v>
      </c>
      <c r="AT39" s="6" t="str">
        <f>HYPERLINK("http://www.worldcat.org/oclc/2306590","WorldCat Record")</f>
        <v>WorldCat Record</v>
      </c>
      <c r="AU39" s="3" t="s">
        <v>582</v>
      </c>
      <c r="AV39" s="3" t="s">
        <v>583</v>
      </c>
      <c r="AW39" s="3" t="s">
        <v>584</v>
      </c>
      <c r="AX39" s="3" t="s">
        <v>584</v>
      </c>
      <c r="AY39" s="3" t="s">
        <v>585</v>
      </c>
      <c r="AZ39" s="3" t="s">
        <v>73</v>
      </c>
      <c r="BB39" s="3" t="s">
        <v>586</v>
      </c>
      <c r="BC39" s="3" t="s">
        <v>587</v>
      </c>
      <c r="BD39" s="3" t="s">
        <v>588</v>
      </c>
    </row>
    <row r="40" spans="1:56" ht="31.5" customHeight="1" x14ac:dyDescent="0.25">
      <c r="A40" s="7" t="s">
        <v>58</v>
      </c>
      <c r="B40" s="2" t="s">
        <v>589</v>
      </c>
      <c r="C40" s="2" t="s">
        <v>590</v>
      </c>
      <c r="D40" s="2" t="s">
        <v>591</v>
      </c>
      <c r="F40" s="3" t="s">
        <v>58</v>
      </c>
      <c r="G40" s="3" t="s">
        <v>59</v>
      </c>
      <c r="H40" s="3" t="s">
        <v>58</v>
      </c>
      <c r="I40" s="3" t="s">
        <v>58</v>
      </c>
      <c r="J40" s="3" t="s">
        <v>60</v>
      </c>
      <c r="K40" s="2" t="s">
        <v>592</v>
      </c>
      <c r="L40" s="2" t="s">
        <v>593</v>
      </c>
      <c r="M40" s="3" t="s">
        <v>416</v>
      </c>
      <c r="O40" s="3" t="s">
        <v>63</v>
      </c>
      <c r="P40" s="3" t="s">
        <v>114</v>
      </c>
      <c r="R40" s="3" t="s">
        <v>65</v>
      </c>
      <c r="S40" s="4">
        <v>1</v>
      </c>
      <c r="T40" s="4">
        <v>1</v>
      </c>
      <c r="U40" s="5" t="s">
        <v>594</v>
      </c>
      <c r="V40" s="5" t="s">
        <v>594</v>
      </c>
      <c r="W40" s="5" t="s">
        <v>518</v>
      </c>
      <c r="X40" s="5" t="s">
        <v>518</v>
      </c>
      <c r="Y40" s="4">
        <v>436</v>
      </c>
      <c r="Z40" s="4">
        <v>347</v>
      </c>
      <c r="AA40" s="4">
        <v>564</v>
      </c>
      <c r="AB40" s="4">
        <v>2</v>
      </c>
      <c r="AC40" s="4">
        <v>4</v>
      </c>
      <c r="AD40" s="4">
        <v>12</v>
      </c>
      <c r="AE40" s="4">
        <v>16</v>
      </c>
      <c r="AF40" s="4">
        <v>3</v>
      </c>
      <c r="AG40" s="4">
        <v>6</v>
      </c>
      <c r="AH40" s="4">
        <v>3</v>
      </c>
      <c r="AI40" s="4">
        <v>4</v>
      </c>
      <c r="AJ40" s="4">
        <v>7</v>
      </c>
      <c r="AK40" s="4">
        <v>8</v>
      </c>
      <c r="AL40" s="4">
        <v>1</v>
      </c>
      <c r="AM40" s="4">
        <v>2</v>
      </c>
      <c r="AN40" s="4">
        <v>0</v>
      </c>
      <c r="AO40" s="4">
        <v>0</v>
      </c>
      <c r="AP40" s="3" t="s">
        <v>58</v>
      </c>
      <c r="AQ40" s="3" t="s">
        <v>68</v>
      </c>
      <c r="AR40" s="6" t="str">
        <f>HYPERLINK("http://catalog.hathitrust.org/Record/008442067","HathiTrust Record")</f>
        <v>HathiTrust Record</v>
      </c>
      <c r="AS40" s="6" t="str">
        <f>HYPERLINK("https://creighton-primo.hosted.exlibrisgroup.com/primo-explore/search?tab=default_tab&amp;search_scope=EVERYTHING&amp;vid=01CRU&amp;lang=en_US&amp;offset=0&amp;query=any,contains,991000549919702656","Catalog Record")</f>
        <v>Catalog Record</v>
      </c>
      <c r="AT40" s="6" t="str">
        <f>HYPERLINK("http://www.worldcat.org/oclc/92367","WorldCat Record")</f>
        <v>WorldCat Record</v>
      </c>
      <c r="AU40" s="3" t="s">
        <v>595</v>
      </c>
      <c r="AV40" s="3" t="s">
        <v>596</v>
      </c>
      <c r="AW40" s="3" t="s">
        <v>597</v>
      </c>
      <c r="AX40" s="3" t="s">
        <v>597</v>
      </c>
      <c r="AY40" s="3" t="s">
        <v>598</v>
      </c>
      <c r="AZ40" s="3" t="s">
        <v>73</v>
      </c>
      <c r="BB40" s="3" t="s">
        <v>599</v>
      </c>
      <c r="BC40" s="3" t="s">
        <v>600</v>
      </c>
      <c r="BD40" s="3" t="s">
        <v>601</v>
      </c>
    </row>
    <row r="41" spans="1:56" ht="31.5" customHeight="1" x14ac:dyDescent="0.25">
      <c r="A41" s="7" t="s">
        <v>58</v>
      </c>
      <c r="B41" s="2" t="s">
        <v>602</v>
      </c>
      <c r="C41" s="2" t="s">
        <v>603</v>
      </c>
      <c r="D41" s="2" t="s">
        <v>604</v>
      </c>
      <c r="F41" s="3" t="s">
        <v>58</v>
      </c>
      <c r="G41" s="3" t="s">
        <v>59</v>
      </c>
      <c r="H41" s="3" t="s">
        <v>58</v>
      </c>
      <c r="I41" s="3" t="s">
        <v>58</v>
      </c>
      <c r="J41" s="3" t="s">
        <v>60</v>
      </c>
      <c r="K41" s="2" t="s">
        <v>605</v>
      </c>
      <c r="L41" s="2" t="s">
        <v>606</v>
      </c>
      <c r="M41" s="3" t="s">
        <v>607</v>
      </c>
      <c r="O41" s="3" t="s">
        <v>63</v>
      </c>
      <c r="P41" s="3" t="s">
        <v>64</v>
      </c>
      <c r="R41" s="3" t="s">
        <v>65</v>
      </c>
      <c r="S41" s="4">
        <v>1</v>
      </c>
      <c r="T41" s="4">
        <v>1</v>
      </c>
      <c r="U41" s="5" t="s">
        <v>567</v>
      </c>
      <c r="V41" s="5" t="s">
        <v>567</v>
      </c>
      <c r="W41" s="5" t="s">
        <v>518</v>
      </c>
      <c r="X41" s="5" t="s">
        <v>518</v>
      </c>
      <c r="Y41" s="4">
        <v>1022</v>
      </c>
      <c r="Z41" s="4">
        <v>837</v>
      </c>
      <c r="AA41" s="4">
        <v>852</v>
      </c>
      <c r="AB41" s="4">
        <v>4</v>
      </c>
      <c r="AC41" s="4">
        <v>4</v>
      </c>
      <c r="AD41" s="4">
        <v>19</v>
      </c>
      <c r="AE41" s="4">
        <v>20</v>
      </c>
      <c r="AF41" s="4">
        <v>8</v>
      </c>
      <c r="AG41" s="4">
        <v>9</v>
      </c>
      <c r="AH41" s="4">
        <v>5</v>
      </c>
      <c r="AI41" s="4">
        <v>6</v>
      </c>
      <c r="AJ41" s="4">
        <v>10</v>
      </c>
      <c r="AK41" s="4">
        <v>10</v>
      </c>
      <c r="AL41" s="4">
        <v>3</v>
      </c>
      <c r="AM41" s="4">
        <v>3</v>
      </c>
      <c r="AN41" s="4">
        <v>0</v>
      </c>
      <c r="AO41" s="4">
        <v>0</v>
      </c>
      <c r="AP41" s="3" t="s">
        <v>58</v>
      </c>
      <c r="AQ41" s="3" t="s">
        <v>58</v>
      </c>
      <c r="AS41" s="6" t="str">
        <f>HYPERLINK("https://creighton-primo.hosted.exlibrisgroup.com/primo-explore/search?tab=default_tab&amp;search_scope=EVERYTHING&amp;vid=01CRU&amp;lang=en_US&amp;offset=0&amp;query=any,contains,991003166049702656","Catalog Record")</f>
        <v>Catalog Record</v>
      </c>
      <c r="AT41" s="6" t="str">
        <f>HYPERLINK("http://www.worldcat.org/oclc/703330","WorldCat Record")</f>
        <v>WorldCat Record</v>
      </c>
      <c r="AU41" s="3" t="s">
        <v>608</v>
      </c>
      <c r="AV41" s="3" t="s">
        <v>609</v>
      </c>
      <c r="AW41" s="3" t="s">
        <v>610</v>
      </c>
      <c r="AX41" s="3" t="s">
        <v>610</v>
      </c>
      <c r="AY41" s="3" t="s">
        <v>611</v>
      </c>
      <c r="AZ41" s="3" t="s">
        <v>73</v>
      </c>
      <c r="BB41" s="3" t="s">
        <v>612</v>
      </c>
      <c r="BC41" s="3" t="s">
        <v>613</v>
      </c>
      <c r="BD41" s="3" t="s">
        <v>614</v>
      </c>
    </row>
    <row r="42" spans="1:56" ht="31.5" customHeight="1" x14ac:dyDescent="0.25">
      <c r="A42" s="7" t="s">
        <v>58</v>
      </c>
      <c r="B42" s="2" t="s">
        <v>615</v>
      </c>
      <c r="C42" s="2" t="s">
        <v>616</v>
      </c>
      <c r="D42" s="2" t="s">
        <v>617</v>
      </c>
      <c r="F42" s="3" t="s">
        <v>58</v>
      </c>
      <c r="G42" s="3" t="s">
        <v>59</v>
      </c>
      <c r="H42" s="3" t="s">
        <v>58</v>
      </c>
      <c r="I42" s="3" t="s">
        <v>58</v>
      </c>
      <c r="J42" s="3" t="s">
        <v>60</v>
      </c>
      <c r="K42" s="2" t="s">
        <v>618</v>
      </c>
      <c r="L42" s="2" t="s">
        <v>619</v>
      </c>
      <c r="M42" s="3" t="s">
        <v>565</v>
      </c>
      <c r="O42" s="3" t="s">
        <v>63</v>
      </c>
      <c r="P42" s="3" t="s">
        <v>186</v>
      </c>
      <c r="R42" s="3" t="s">
        <v>65</v>
      </c>
      <c r="S42" s="4">
        <v>1</v>
      </c>
      <c r="T42" s="4">
        <v>1</v>
      </c>
      <c r="U42" s="5" t="s">
        <v>620</v>
      </c>
      <c r="V42" s="5" t="s">
        <v>620</v>
      </c>
      <c r="W42" s="5" t="s">
        <v>161</v>
      </c>
      <c r="X42" s="5" t="s">
        <v>161</v>
      </c>
      <c r="Y42" s="4">
        <v>897</v>
      </c>
      <c r="Z42" s="4">
        <v>674</v>
      </c>
      <c r="AA42" s="4">
        <v>732</v>
      </c>
      <c r="AB42" s="4">
        <v>4</v>
      </c>
      <c r="AC42" s="4">
        <v>4</v>
      </c>
      <c r="AD42" s="4">
        <v>18</v>
      </c>
      <c r="AE42" s="4">
        <v>20</v>
      </c>
      <c r="AF42" s="4">
        <v>8</v>
      </c>
      <c r="AG42" s="4">
        <v>9</v>
      </c>
      <c r="AH42" s="4">
        <v>5</v>
      </c>
      <c r="AI42" s="4">
        <v>5</v>
      </c>
      <c r="AJ42" s="4">
        <v>7</v>
      </c>
      <c r="AK42" s="4">
        <v>8</v>
      </c>
      <c r="AL42" s="4">
        <v>3</v>
      </c>
      <c r="AM42" s="4">
        <v>3</v>
      </c>
      <c r="AN42" s="4">
        <v>0</v>
      </c>
      <c r="AO42" s="4">
        <v>0</v>
      </c>
      <c r="AP42" s="3" t="s">
        <v>58</v>
      </c>
      <c r="AQ42" s="3" t="s">
        <v>68</v>
      </c>
      <c r="AR42" s="6" t="str">
        <f>HYPERLINK("http://catalog.hathitrust.org/Record/000041555","HathiTrust Record")</f>
        <v>HathiTrust Record</v>
      </c>
      <c r="AS42" s="6" t="str">
        <f>HYPERLINK("https://creighton-primo.hosted.exlibrisgroup.com/primo-explore/search?tab=default_tab&amp;search_scope=EVERYTHING&amp;vid=01CRU&amp;lang=en_US&amp;offset=0&amp;query=any,contains,991004824799702656","Catalog Record")</f>
        <v>Catalog Record</v>
      </c>
      <c r="AT42" s="6" t="str">
        <f>HYPERLINK("http://www.worldcat.org/oclc/5352913","WorldCat Record")</f>
        <v>WorldCat Record</v>
      </c>
      <c r="AU42" s="3" t="s">
        <v>621</v>
      </c>
      <c r="AV42" s="3" t="s">
        <v>622</v>
      </c>
      <c r="AW42" s="3" t="s">
        <v>623</v>
      </c>
      <c r="AX42" s="3" t="s">
        <v>623</v>
      </c>
      <c r="AY42" s="3" t="s">
        <v>624</v>
      </c>
      <c r="AZ42" s="3" t="s">
        <v>73</v>
      </c>
      <c r="BB42" s="3" t="s">
        <v>625</v>
      </c>
      <c r="BC42" s="3" t="s">
        <v>626</v>
      </c>
      <c r="BD42" s="3" t="s">
        <v>627</v>
      </c>
    </row>
    <row r="43" spans="1:56" ht="31.5" customHeight="1" x14ac:dyDescent="0.25">
      <c r="A43" s="7" t="s">
        <v>58</v>
      </c>
      <c r="B43" s="2" t="s">
        <v>628</v>
      </c>
      <c r="C43" s="2" t="s">
        <v>629</v>
      </c>
      <c r="D43" s="2" t="s">
        <v>630</v>
      </c>
      <c r="F43" s="3" t="s">
        <v>58</v>
      </c>
      <c r="G43" s="3" t="s">
        <v>59</v>
      </c>
      <c r="H43" s="3" t="s">
        <v>58</v>
      </c>
      <c r="I43" s="3" t="s">
        <v>58</v>
      </c>
      <c r="J43" s="3" t="s">
        <v>60</v>
      </c>
      <c r="K43" s="2" t="s">
        <v>631</v>
      </c>
      <c r="L43" s="2" t="s">
        <v>632</v>
      </c>
      <c r="M43" s="3" t="s">
        <v>633</v>
      </c>
      <c r="O43" s="3" t="s">
        <v>63</v>
      </c>
      <c r="P43" s="3" t="s">
        <v>64</v>
      </c>
      <c r="R43" s="3" t="s">
        <v>65</v>
      </c>
      <c r="S43" s="4">
        <v>7</v>
      </c>
      <c r="T43" s="4">
        <v>7</v>
      </c>
      <c r="U43" s="5" t="s">
        <v>634</v>
      </c>
      <c r="V43" s="5" t="s">
        <v>634</v>
      </c>
      <c r="W43" s="5" t="s">
        <v>635</v>
      </c>
      <c r="X43" s="5" t="s">
        <v>635</v>
      </c>
      <c r="Y43" s="4">
        <v>2442</v>
      </c>
      <c r="Z43" s="4">
        <v>2301</v>
      </c>
      <c r="AA43" s="4">
        <v>3056</v>
      </c>
      <c r="AB43" s="4">
        <v>19</v>
      </c>
      <c r="AC43" s="4">
        <v>25</v>
      </c>
      <c r="AD43" s="4">
        <v>47</v>
      </c>
      <c r="AE43" s="4">
        <v>54</v>
      </c>
      <c r="AF43" s="4">
        <v>23</v>
      </c>
      <c r="AG43" s="4">
        <v>26</v>
      </c>
      <c r="AH43" s="4">
        <v>8</v>
      </c>
      <c r="AI43" s="4">
        <v>9</v>
      </c>
      <c r="AJ43" s="4">
        <v>21</v>
      </c>
      <c r="AK43" s="4">
        <v>22</v>
      </c>
      <c r="AL43" s="4">
        <v>5</v>
      </c>
      <c r="AM43" s="4">
        <v>8</v>
      </c>
      <c r="AN43" s="4">
        <v>0</v>
      </c>
      <c r="AO43" s="4">
        <v>0</v>
      </c>
      <c r="AP43" s="3" t="s">
        <v>58</v>
      </c>
      <c r="AQ43" s="3" t="s">
        <v>58</v>
      </c>
      <c r="AS43" s="6" t="str">
        <f>HYPERLINK("https://creighton-primo.hosted.exlibrisgroup.com/primo-explore/search?tab=default_tab&amp;search_scope=EVERYTHING&amp;vid=01CRU&amp;lang=en_US&amp;offset=0&amp;query=any,contains,991002496799702656","Catalog Record")</f>
        <v>Catalog Record</v>
      </c>
      <c r="AT43" s="6" t="str">
        <f>HYPERLINK("http://www.worldcat.org/oclc/32469232","WorldCat Record")</f>
        <v>WorldCat Record</v>
      </c>
      <c r="AU43" s="3" t="s">
        <v>636</v>
      </c>
      <c r="AV43" s="3" t="s">
        <v>637</v>
      </c>
      <c r="AW43" s="3" t="s">
        <v>638</v>
      </c>
      <c r="AX43" s="3" t="s">
        <v>638</v>
      </c>
      <c r="AY43" s="3" t="s">
        <v>639</v>
      </c>
      <c r="AZ43" s="3" t="s">
        <v>73</v>
      </c>
      <c r="BB43" s="3" t="s">
        <v>640</v>
      </c>
      <c r="BC43" s="3" t="s">
        <v>641</v>
      </c>
      <c r="BD43" s="3" t="s">
        <v>642</v>
      </c>
    </row>
    <row r="44" spans="1:56" ht="31.5" customHeight="1" x14ac:dyDescent="0.25">
      <c r="A44" s="7" t="s">
        <v>58</v>
      </c>
      <c r="B44" s="2" t="s">
        <v>643</v>
      </c>
      <c r="C44" s="2" t="s">
        <v>644</v>
      </c>
      <c r="D44" s="2" t="s">
        <v>645</v>
      </c>
      <c r="F44" s="3" t="s">
        <v>58</v>
      </c>
      <c r="G44" s="3" t="s">
        <v>59</v>
      </c>
      <c r="H44" s="3" t="s">
        <v>58</v>
      </c>
      <c r="I44" s="3" t="s">
        <v>58</v>
      </c>
      <c r="J44" s="3" t="s">
        <v>60</v>
      </c>
      <c r="K44" s="2" t="s">
        <v>646</v>
      </c>
      <c r="L44" s="2" t="s">
        <v>647</v>
      </c>
      <c r="M44" s="3" t="s">
        <v>401</v>
      </c>
      <c r="O44" s="3" t="s">
        <v>63</v>
      </c>
      <c r="P44" s="3" t="s">
        <v>129</v>
      </c>
      <c r="R44" s="3" t="s">
        <v>65</v>
      </c>
      <c r="S44" s="4">
        <v>18</v>
      </c>
      <c r="T44" s="4">
        <v>18</v>
      </c>
      <c r="U44" s="5" t="s">
        <v>402</v>
      </c>
      <c r="V44" s="5" t="s">
        <v>402</v>
      </c>
      <c r="W44" s="5" t="s">
        <v>648</v>
      </c>
      <c r="X44" s="5" t="s">
        <v>648</v>
      </c>
      <c r="Y44" s="4">
        <v>267</v>
      </c>
      <c r="Z44" s="4">
        <v>237</v>
      </c>
      <c r="AA44" s="4">
        <v>349</v>
      </c>
      <c r="AB44" s="4">
        <v>2</v>
      </c>
      <c r="AC44" s="4">
        <v>3</v>
      </c>
      <c r="AD44" s="4">
        <v>8</v>
      </c>
      <c r="AE44" s="4">
        <v>12</v>
      </c>
      <c r="AF44" s="4">
        <v>0</v>
      </c>
      <c r="AG44" s="4">
        <v>1</v>
      </c>
      <c r="AH44" s="4">
        <v>4</v>
      </c>
      <c r="AI44" s="4">
        <v>4</v>
      </c>
      <c r="AJ44" s="4">
        <v>4</v>
      </c>
      <c r="AK44" s="4">
        <v>6</v>
      </c>
      <c r="AL44" s="4">
        <v>1</v>
      </c>
      <c r="AM44" s="4">
        <v>2</v>
      </c>
      <c r="AN44" s="4">
        <v>0</v>
      </c>
      <c r="AO44" s="4">
        <v>0</v>
      </c>
      <c r="AP44" s="3" t="s">
        <v>68</v>
      </c>
      <c r="AQ44" s="3" t="s">
        <v>58</v>
      </c>
      <c r="AR44" s="6" t="str">
        <f>HYPERLINK("http://catalog.hathitrust.org/Record/001475515","HathiTrust Record")</f>
        <v>HathiTrust Record</v>
      </c>
      <c r="AS44" s="6" t="str">
        <f>HYPERLINK("https://creighton-primo.hosted.exlibrisgroup.com/primo-explore/search?tab=default_tab&amp;search_scope=EVERYTHING&amp;vid=01CRU&amp;lang=en_US&amp;offset=0&amp;query=any,contains,991004203109702656","Catalog Record")</f>
        <v>Catalog Record</v>
      </c>
      <c r="AT44" s="6" t="str">
        <f>HYPERLINK("http://www.worldcat.org/oclc/2656570","WorldCat Record")</f>
        <v>WorldCat Record</v>
      </c>
      <c r="AU44" s="3" t="s">
        <v>649</v>
      </c>
      <c r="AV44" s="3" t="s">
        <v>650</v>
      </c>
      <c r="AW44" s="3" t="s">
        <v>651</v>
      </c>
      <c r="AX44" s="3" t="s">
        <v>651</v>
      </c>
      <c r="AY44" s="3" t="s">
        <v>652</v>
      </c>
      <c r="AZ44" s="3" t="s">
        <v>73</v>
      </c>
      <c r="BC44" s="3" t="s">
        <v>653</v>
      </c>
      <c r="BD44" s="3" t="s">
        <v>654</v>
      </c>
    </row>
    <row r="45" spans="1:56" ht="31.5" customHeight="1" x14ac:dyDescent="0.25">
      <c r="A45" s="7" t="s">
        <v>58</v>
      </c>
      <c r="B45" s="2" t="s">
        <v>655</v>
      </c>
      <c r="C45" s="2" t="s">
        <v>656</v>
      </c>
      <c r="D45" s="2" t="s">
        <v>657</v>
      </c>
      <c r="F45" s="3" t="s">
        <v>58</v>
      </c>
      <c r="G45" s="3" t="s">
        <v>59</v>
      </c>
      <c r="H45" s="3" t="s">
        <v>58</v>
      </c>
      <c r="I45" s="3" t="s">
        <v>58</v>
      </c>
      <c r="J45" s="3" t="s">
        <v>60</v>
      </c>
      <c r="K45" s="2" t="s">
        <v>658</v>
      </c>
      <c r="L45" s="2" t="s">
        <v>659</v>
      </c>
      <c r="M45" s="3" t="s">
        <v>185</v>
      </c>
      <c r="O45" s="3" t="s">
        <v>63</v>
      </c>
      <c r="P45" s="3" t="s">
        <v>186</v>
      </c>
      <c r="Q45" s="2" t="s">
        <v>660</v>
      </c>
      <c r="R45" s="3" t="s">
        <v>65</v>
      </c>
      <c r="S45" s="4">
        <v>1</v>
      </c>
      <c r="T45" s="4">
        <v>1</v>
      </c>
      <c r="U45" s="5" t="s">
        <v>661</v>
      </c>
      <c r="V45" s="5" t="s">
        <v>661</v>
      </c>
      <c r="W45" s="5" t="s">
        <v>662</v>
      </c>
      <c r="X45" s="5" t="s">
        <v>662</v>
      </c>
      <c r="Y45" s="4">
        <v>311</v>
      </c>
      <c r="Z45" s="4">
        <v>201</v>
      </c>
      <c r="AA45" s="4">
        <v>202</v>
      </c>
      <c r="AB45" s="4">
        <v>1</v>
      </c>
      <c r="AC45" s="4">
        <v>1</v>
      </c>
      <c r="AD45" s="4">
        <v>5</v>
      </c>
      <c r="AE45" s="4">
        <v>5</v>
      </c>
      <c r="AF45" s="4">
        <v>0</v>
      </c>
      <c r="AG45" s="4">
        <v>0</v>
      </c>
      <c r="AH45" s="4">
        <v>2</v>
      </c>
      <c r="AI45" s="4">
        <v>2</v>
      </c>
      <c r="AJ45" s="4">
        <v>3</v>
      </c>
      <c r="AK45" s="4">
        <v>3</v>
      </c>
      <c r="AL45" s="4">
        <v>0</v>
      </c>
      <c r="AM45" s="4">
        <v>0</v>
      </c>
      <c r="AN45" s="4">
        <v>0</v>
      </c>
      <c r="AO45" s="4">
        <v>0</v>
      </c>
      <c r="AP45" s="3" t="s">
        <v>58</v>
      </c>
      <c r="AQ45" s="3" t="s">
        <v>68</v>
      </c>
      <c r="AR45" s="6" t="str">
        <f>HYPERLINK("http://catalog.hathitrust.org/Record/001088991","HathiTrust Record")</f>
        <v>HathiTrust Record</v>
      </c>
      <c r="AS45" s="6" t="str">
        <f>HYPERLINK("https://creighton-primo.hosted.exlibrisgroup.com/primo-explore/search?tab=default_tab&amp;search_scope=EVERYTHING&amp;vid=01CRU&amp;lang=en_US&amp;offset=0&amp;query=any,contains,991001226759702656","Catalog Record")</f>
        <v>Catalog Record</v>
      </c>
      <c r="AT45" s="6" t="str">
        <f>HYPERLINK("http://www.worldcat.org/oclc/17508218","WorldCat Record")</f>
        <v>WorldCat Record</v>
      </c>
      <c r="AU45" s="3" t="s">
        <v>663</v>
      </c>
      <c r="AV45" s="3" t="s">
        <v>664</v>
      </c>
      <c r="AW45" s="3" t="s">
        <v>665</v>
      </c>
      <c r="AX45" s="3" t="s">
        <v>665</v>
      </c>
      <c r="AY45" s="3" t="s">
        <v>666</v>
      </c>
      <c r="AZ45" s="3" t="s">
        <v>73</v>
      </c>
      <c r="BB45" s="3" t="s">
        <v>667</v>
      </c>
      <c r="BC45" s="3" t="s">
        <v>668</v>
      </c>
      <c r="BD45" s="3" t="s">
        <v>669</v>
      </c>
    </row>
    <row r="46" spans="1:56" ht="31.5" customHeight="1" x14ac:dyDescent="0.25">
      <c r="A46" s="7" t="s">
        <v>58</v>
      </c>
      <c r="B46" s="2" t="s">
        <v>670</v>
      </c>
      <c r="C46" s="2" t="s">
        <v>671</v>
      </c>
      <c r="D46" s="2" t="s">
        <v>672</v>
      </c>
      <c r="F46" s="3" t="s">
        <v>58</v>
      </c>
      <c r="G46" s="3" t="s">
        <v>59</v>
      </c>
      <c r="H46" s="3" t="s">
        <v>58</v>
      </c>
      <c r="I46" s="3" t="s">
        <v>58</v>
      </c>
      <c r="J46" s="3" t="s">
        <v>60</v>
      </c>
      <c r="L46" s="2" t="s">
        <v>673</v>
      </c>
      <c r="M46" s="3" t="s">
        <v>159</v>
      </c>
      <c r="O46" s="3" t="s">
        <v>63</v>
      </c>
      <c r="P46" s="3" t="s">
        <v>674</v>
      </c>
      <c r="R46" s="3" t="s">
        <v>65</v>
      </c>
      <c r="S46" s="4">
        <v>1</v>
      </c>
      <c r="T46" s="4">
        <v>1</v>
      </c>
      <c r="U46" s="5" t="s">
        <v>675</v>
      </c>
      <c r="V46" s="5" t="s">
        <v>675</v>
      </c>
      <c r="W46" s="5" t="s">
        <v>204</v>
      </c>
      <c r="X46" s="5" t="s">
        <v>204</v>
      </c>
      <c r="Y46" s="4">
        <v>120</v>
      </c>
      <c r="Z46" s="4">
        <v>81</v>
      </c>
      <c r="AA46" s="4">
        <v>83</v>
      </c>
      <c r="AB46" s="4">
        <v>1</v>
      </c>
      <c r="AC46" s="4">
        <v>1</v>
      </c>
      <c r="AD46" s="4">
        <v>4</v>
      </c>
      <c r="AE46" s="4">
        <v>4</v>
      </c>
      <c r="AF46" s="4">
        <v>0</v>
      </c>
      <c r="AG46" s="4">
        <v>0</v>
      </c>
      <c r="AH46" s="4">
        <v>1</v>
      </c>
      <c r="AI46" s="4">
        <v>1</v>
      </c>
      <c r="AJ46" s="4">
        <v>3</v>
      </c>
      <c r="AK46" s="4">
        <v>3</v>
      </c>
      <c r="AL46" s="4">
        <v>0</v>
      </c>
      <c r="AM46" s="4">
        <v>0</v>
      </c>
      <c r="AN46" s="4">
        <v>0</v>
      </c>
      <c r="AO46" s="4">
        <v>0</v>
      </c>
      <c r="AP46" s="3" t="s">
        <v>58</v>
      </c>
      <c r="AQ46" s="3" t="s">
        <v>68</v>
      </c>
      <c r="AR46" s="6" t="str">
        <f>HYPERLINK("http://catalog.hathitrust.org/Record/002200488","HathiTrust Record")</f>
        <v>HathiTrust Record</v>
      </c>
      <c r="AS46" s="6" t="str">
        <f>HYPERLINK("https://creighton-primo.hosted.exlibrisgroup.com/primo-explore/search?tab=default_tab&amp;search_scope=EVERYTHING&amp;vid=01CRU&amp;lang=en_US&amp;offset=0&amp;query=any,contains,991000451309702656","Catalog Record")</f>
        <v>Catalog Record</v>
      </c>
      <c r="AT46" s="6" t="str">
        <f>HYPERLINK("http://www.worldcat.org/oclc/10885693","WorldCat Record")</f>
        <v>WorldCat Record</v>
      </c>
      <c r="AU46" s="3" t="s">
        <v>676</v>
      </c>
      <c r="AV46" s="3" t="s">
        <v>677</v>
      </c>
      <c r="AW46" s="3" t="s">
        <v>678</v>
      </c>
      <c r="AX46" s="3" t="s">
        <v>678</v>
      </c>
      <c r="AY46" s="3" t="s">
        <v>679</v>
      </c>
      <c r="AZ46" s="3" t="s">
        <v>73</v>
      </c>
      <c r="BC46" s="3" t="s">
        <v>680</v>
      </c>
      <c r="BD46" s="3" t="s">
        <v>681</v>
      </c>
    </row>
    <row r="47" spans="1:56" ht="31.5" customHeight="1" x14ac:dyDescent="0.25">
      <c r="A47" s="7" t="s">
        <v>58</v>
      </c>
      <c r="B47" s="2" t="s">
        <v>682</v>
      </c>
      <c r="C47" s="2" t="s">
        <v>683</v>
      </c>
      <c r="D47" s="2" t="s">
        <v>684</v>
      </c>
      <c r="F47" s="3" t="s">
        <v>58</v>
      </c>
      <c r="G47" s="3" t="s">
        <v>59</v>
      </c>
      <c r="H47" s="3" t="s">
        <v>58</v>
      </c>
      <c r="I47" s="3" t="s">
        <v>58</v>
      </c>
      <c r="J47" s="3" t="s">
        <v>60</v>
      </c>
      <c r="K47" s="2" t="s">
        <v>685</v>
      </c>
      <c r="L47" s="2" t="s">
        <v>686</v>
      </c>
      <c r="M47" s="3" t="s">
        <v>82</v>
      </c>
      <c r="O47" s="3" t="s">
        <v>63</v>
      </c>
      <c r="P47" s="3" t="s">
        <v>64</v>
      </c>
      <c r="R47" s="3" t="s">
        <v>65</v>
      </c>
      <c r="S47" s="4">
        <v>1</v>
      </c>
      <c r="T47" s="4">
        <v>1</v>
      </c>
      <c r="U47" s="5" t="s">
        <v>687</v>
      </c>
      <c r="V47" s="5" t="s">
        <v>687</v>
      </c>
      <c r="W47" s="5" t="s">
        <v>687</v>
      </c>
      <c r="X47" s="5" t="s">
        <v>687</v>
      </c>
      <c r="Y47" s="4">
        <v>1476</v>
      </c>
      <c r="Z47" s="4">
        <v>1367</v>
      </c>
      <c r="AA47" s="4">
        <v>1500</v>
      </c>
      <c r="AB47" s="4">
        <v>16</v>
      </c>
      <c r="AC47" s="4">
        <v>17</v>
      </c>
      <c r="AD47" s="4">
        <v>34</v>
      </c>
      <c r="AE47" s="4">
        <v>38</v>
      </c>
      <c r="AF47" s="4">
        <v>11</v>
      </c>
      <c r="AG47" s="4">
        <v>11</v>
      </c>
      <c r="AH47" s="4">
        <v>6</v>
      </c>
      <c r="AI47" s="4">
        <v>8</v>
      </c>
      <c r="AJ47" s="4">
        <v>12</v>
      </c>
      <c r="AK47" s="4">
        <v>14</v>
      </c>
      <c r="AL47" s="4">
        <v>11</v>
      </c>
      <c r="AM47" s="4">
        <v>12</v>
      </c>
      <c r="AN47" s="4">
        <v>0</v>
      </c>
      <c r="AO47" s="4">
        <v>0</v>
      </c>
      <c r="AP47" s="3" t="s">
        <v>58</v>
      </c>
      <c r="AQ47" s="3" t="s">
        <v>58</v>
      </c>
      <c r="AS47" s="6" t="str">
        <f>HYPERLINK("https://creighton-primo.hosted.exlibrisgroup.com/primo-explore/search?tab=default_tab&amp;search_scope=EVERYTHING&amp;vid=01CRU&amp;lang=en_US&amp;offset=0&amp;query=any,contains,991003843159702656","Catalog Record")</f>
        <v>Catalog Record</v>
      </c>
      <c r="AT47" s="6" t="str">
        <f>HYPERLINK("http://www.worldcat.org/oclc/49699440","WorldCat Record")</f>
        <v>WorldCat Record</v>
      </c>
      <c r="AU47" s="3" t="s">
        <v>688</v>
      </c>
      <c r="AV47" s="3" t="s">
        <v>689</v>
      </c>
      <c r="AW47" s="3" t="s">
        <v>690</v>
      </c>
      <c r="AX47" s="3" t="s">
        <v>690</v>
      </c>
      <c r="AY47" s="3" t="s">
        <v>691</v>
      </c>
      <c r="AZ47" s="3" t="s">
        <v>73</v>
      </c>
      <c r="BB47" s="3" t="s">
        <v>692</v>
      </c>
      <c r="BC47" s="3" t="s">
        <v>693</v>
      </c>
      <c r="BD47" s="3" t="s">
        <v>694</v>
      </c>
    </row>
    <row r="48" spans="1:56" ht="31.5" customHeight="1" x14ac:dyDescent="0.25">
      <c r="A48" s="7" t="s">
        <v>58</v>
      </c>
      <c r="B48" s="2" t="s">
        <v>695</v>
      </c>
      <c r="C48" s="2" t="s">
        <v>696</v>
      </c>
      <c r="D48" s="2" t="s">
        <v>697</v>
      </c>
      <c r="F48" s="3" t="s">
        <v>58</v>
      </c>
      <c r="G48" s="3" t="s">
        <v>59</v>
      </c>
      <c r="H48" s="3" t="s">
        <v>58</v>
      </c>
      <c r="I48" s="3" t="s">
        <v>58</v>
      </c>
      <c r="J48" s="3" t="s">
        <v>60</v>
      </c>
      <c r="K48" s="2" t="s">
        <v>698</v>
      </c>
      <c r="L48" s="2" t="s">
        <v>699</v>
      </c>
      <c r="M48" s="3" t="s">
        <v>700</v>
      </c>
      <c r="N48" s="2" t="s">
        <v>345</v>
      </c>
      <c r="O48" s="3" t="s">
        <v>63</v>
      </c>
      <c r="P48" s="3" t="s">
        <v>64</v>
      </c>
      <c r="R48" s="3" t="s">
        <v>65</v>
      </c>
      <c r="S48" s="4">
        <v>1</v>
      </c>
      <c r="T48" s="4">
        <v>1</v>
      </c>
      <c r="U48" s="5" t="s">
        <v>701</v>
      </c>
      <c r="V48" s="5" t="s">
        <v>701</v>
      </c>
      <c r="W48" s="5" t="s">
        <v>701</v>
      </c>
      <c r="X48" s="5" t="s">
        <v>701</v>
      </c>
      <c r="Y48" s="4">
        <v>664</v>
      </c>
      <c r="Z48" s="4">
        <v>623</v>
      </c>
      <c r="AA48" s="4">
        <v>693</v>
      </c>
      <c r="AB48" s="4">
        <v>5</v>
      </c>
      <c r="AC48" s="4">
        <v>5</v>
      </c>
      <c r="AD48" s="4">
        <v>12</v>
      </c>
      <c r="AE48" s="4">
        <v>12</v>
      </c>
      <c r="AF48" s="4">
        <v>5</v>
      </c>
      <c r="AG48" s="4">
        <v>5</v>
      </c>
      <c r="AH48" s="4">
        <v>2</v>
      </c>
      <c r="AI48" s="4">
        <v>2</v>
      </c>
      <c r="AJ48" s="4">
        <v>5</v>
      </c>
      <c r="AK48" s="4">
        <v>5</v>
      </c>
      <c r="AL48" s="4">
        <v>3</v>
      </c>
      <c r="AM48" s="4">
        <v>3</v>
      </c>
      <c r="AN48" s="4">
        <v>0</v>
      </c>
      <c r="AO48" s="4">
        <v>0</v>
      </c>
      <c r="AP48" s="3" t="s">
        <v>58</v>
      </c>
      <c r="AQ48" s="3" t="s">
        <v>58</v>
      </c>
      <c r="AS48" s="6" t="str">
        <f>HYPERLINK("https://creighton-primo.hosted.exlibrisgroup.com/primo-explore/search?tab=default_tab&amp;search_scope=EVERYTHING&amp;vid=01CRU&amp;lang=en_US&amp;offset=0&amp;query=any,contains,991003302469702656","Catalog Record")</f>
        <v>Catalog Record</v>
      </c>
      <c r="AT48" s="6" t="str">
        <f>HYPERLINK("http://www.worldcat.org/oclc/43851477","WorldCat Record")</f>
        <v>WorldCat Record</v>
      </c>
      <c r="AU48" s="3" t="s">
        <v>702</v>
      </c>
      <c r="AV48" s="3" t="s">
        <v>703</v>
      </c>
      <c r="AW48" s="3" t="s">
        <v>704</v>
      </c>
      <c r="AX48" s="3" t="s">
        <v>704</v>
      </c>
      <c r="AY48" s="3" t="s">
        <v>705</v>
      </c>
      <c r="AZ48" s="3" t="s">
        <v>73</v>
      </c>
      <c r="BB48" s="3" t="s">
        <v>706</v>
      </c>
      <c r="BC48" s="3" t="s">
        <v>707</v>
      </c>
      <c r="BD48" s="3" t="s">
        <v>708</v>
      </c>
    </row>
    <row r="49" spans="1:56" ht="31.5" customHeight="1" x14ac:dyDescent="0.25">
      <c r="A49" s="7" t="s">
        <v>58</v>
      </c>
      <c r="B49" s="2" t="s">
        <v>709</v>
      </c>
      <c r="C49" s="2" t="s">
        <v>710</v>
      </c>
      <c r="D49" s="2" t="s">
        <v>711</v>
      </c>
      <c r="E49" s="3" t="s">
        <v>712</v>
      </c>
      <c r="F49" s="3" t="s">
        <v>68</v>
      </c>
      <c r="G49" s="3" t="s">
        <v>59</v>
      </c>
      <c r="H49" s="3" t="s">
        <v>58</v>
      </c>
      <c r="I49" s="3" t="s">
        <v>58</v>
      </c>
      <c r="J49" s="3" t="s">
        <v>60</v>
      </c>
      <c r="K49" s="2" t="s">
        <v>713</v>
      </c>
      <c r="L49" s="2" t="s">
        <v>714</v>
      </c>
      <c r="M49" s="3" t="s">
        <v>715</v>
      </c>
      <c r="O49" s="3" t="s">
        <v>63</v>
      </c>
      <c r="P49" s="3" t="s">
        <v>186</v>
      </c>
      <c r="Q49" s="2" t="s">
        <v>716</v>
      </c>
      <c r="R49" s="3" t="s">
        <v>65</v>
      </c>
      <c r="S49" s="4">
        <v>0</v>
      </c>
      <c r="T49" s="4">
        <v>5</v>
      </c>
      <c r="V49" s="5" t="s">
        <v>66</v>
      </c>
      <c r="W49" s="5" t="s">
        <v>204</v>
      </c>
      <c r="X49" s="5" t="s">
        <v>204</v>
      </c>
      <c r="Y49" s="4">
        <v>206</v>
      </c>
      <c r="Z49" s="4">
        <v>180</v>
      </c>
      <c r="AA49" s="4">
        <v>192</v>
      </c>
      <c r="AB49" s="4">
        <v>1</v>
      </c>
      <c r="AC49" s="4">
        <v>1</v>
      </c>
      <c r="AD49" s="4">
        <v>9</v>
      </c>
      <c r="AE49" s="4">
        <v>9</v>
      </c>
      <c r="AF49" s="4">
        <v>3</v>
      </c>
      <c r="AG49" s="4">
        <v>3</v>
      </c>
      <c r="AH49" s="4">
        <v>2</v>
      </c>
      <c r="AI49" s="4">
        <v>2</v>
      </c>
      <c r="AJ49" s="4">
        <v>6</v>
      </c>
      <c r="AK49" s="4">
        <v>6</v>
      </c>
      <c r="AL49" s="4">
        <v>0</v>
      </c>
      <c r="AM49" s="4">
        <v>0</v>
      </c>
      <c r="AN49" s="4">
        <v>0</v>
      </c>
      <c r="AO49" s="4">
        <v>0</v>
      </c>
      <c r="AP49" s="3" t="s">
        <v>58</v>
      </c>
      <c r="AQ49" s="3" t="s">
        <v>58</v>
      </c>
      <c r="AS49" s="6" t="str">
        <f t="shared" ref="AS49:AS72" si="0">HYPERLINK("https://creighton-primo.hosted.exlibrisgroup.com/primo-explore/search?tab=default_tab&amp;search_scope=EVERYTHING&amp;vid=01CRU&amp;lang=en_US&amp;offset=0&amp;query=any,contains,991001947949702656","Catalog Record")</f>
        <v>Catalog Record</v>
      </c>
      <c r="AT49" s="6" t="str">
        <f t="shared" ref="AT49:AT72" si="1">HYPERLINK("http://www.worldcat.org/oclc/251036","WorldCat Record")</f>
        <v>WorldCat Record</v>
      </c>
      <c r="AU49" s="3" t="s">
        <v>717</v>
      </c>
      <c r="AV49" s="3" t="s">
        <v>718</v>
      </c>
      <c r="AW49" s="3" t="s">
        <v>719</v>
      </c>
      <c r="AX49" s="3" t="s">
        <v>719</v>
      </c>
      <c r="AY49" s="3" t="s">
        <v>720</v>
      </c>
      <c r="AZ49" s="3" t="s">
        <v>73</v>
      </c>
      <c r="BC49" s="3" t="s">
        <v>721</v>
      </c>
      <c r="BD49" s="3" t="s">
        <v>722</v>
      </c>
    </row>
    <row r="50" spans="1:56" ht="31.5" customHeight="1" x14ac:dyDescent="0.25">
      <c r="A50" s="7" t="s">
        <v>58</v>
      </c>
      <c r="B50" s="2" t="s">
        <v>709</v>
      </c>
      <c r="C50" s="2" t="s">
        <v>710</v>
      </c>
      <c r="D50" s="2" t="s">
        <v>711</v>
      </c>
      <c r="E50" s="3" t="s">
        <v>514</v>
      </c>
      <c r="F50" s="3" t="s">
        <v>68</v>
      </c>
      <c r="G50" s="3" t="s">
        <v>59</v>
      </c>
      <c r="H50" s="3" t="s">
        <v>58</v>
      </c>
      <c r="I50" s="3" t="s">
        <v>58</v>
      </c>
      <c r="J50" s="3" t="s">
        <v>60</v>
      </c>
      <c r="K50" s="2" t="s">
        <v>713</v>
      </c>
      <c r="L50" s="2" t="s">
        <v>714</v>
      </c>
      <c r="M50" s="3" t="s">
        <v>715</v>
      </c>
      <c r="O50" s="3" t="s">
        <v>63</v>
      </c>
      <c r="P50" s="3" t="s">
        <v>186</v>
      </c>
      <c r="Q50" s="2" t="s">
        <v>716</v>
      </c>
      <c r="R50" s="3" t="s">
        <v>65</v>
      </c>
      <c r="S50" s="4">
        <v>0</v>
      </c>
      <c r="T50" s="4">
        <v>5</v>
      </c>
      <c r="V50" s="5" t="s">
        <v>66</v>
      </c>
      <c r="W50" s="5" t="s">
        <v>204</v>
      </c>
      <c r="X50" s="5" t="s">
        <v>204</v>
      </c>
      <c r="Y50" s="4">
        <v>206</v>
      </c>
      <c r="Z50" s="4">
        <v>180</v>
      </c>
      <c r="AA50" s="4">
        <v>192</v>
      </c>
      <c r="AB50" s="4">
        <v>1</v>
      </c>
      <c r="AC50" s="4">
        <v>1</v>
      </c>
      <c r="AD50" s="4">
        <v>9</v>
      </c>
      <c r="AE50" s="4">
        <v>9</v>
      </c>
      <c r="AF50" s="4">
        <v>3</v>
      </c>
      <c r="AG50" s="4">
        <v>3</v>
      </c>
      <c r="AH50" s="4">
        <v>2</v>
      </c>
      <c r="AI50" s="4">
        <v>2</v>
      </c>
      <c r="AJ50" s="4">
        <v>6</v>
      </c>
      <c r="AK50" s="4">
        <v>6</v>
      </c>
      <c r="AL50" s="4">
        <v>0</v>
      </c>
      <c r="AM50" s="4">
        <v>0</v>
      </c>
      <c r="AN50" s="4">
        <v>0</v>
      </c>
      <c r="AO50" s="4">
        <v>0</v>
      </c>
      <c r="AP50" s="3" t="s">
        <v>58</v>
      </c>
      <c r="AQ50" s="3" t="s">
        <v>58</v>
      </c>
      <c r="AS50" s="6" t="str">
        <f t="shared" si="0"/>
        <v>Catalog Record</v>
      </c>
      <c r="AT50" s="6" t="str">
        <f t="shared" si="1"/>
        <v>WorldCat Record</v>
      </c>
      <c r="AU50" s="3" t="s">
        <v>717</v>
      </c>
      <c r="AV50" s="3" t="s">
        <v>718</v>
      </c>
      <c r="AW50" s="3" t="s">
        <v>719</v>
      </c>
      <c r="AX50" s="3" t="s">
        <v>719</v>
      </c>
      <c r="AY50" s="3" t="s">
        <v>720</v>
      </c>
      <c r="AZ50" s="3" t="s">
        <v>73</v>
      </c>
      <c r="BC50" s="3" t="s">
        <v>723</v>
      </c>
      <c r="BD50" s="3" t="s">
        <v>724</v>
      </c>
    </row>
    <row r="51" spans="1:56" ht="31.5" customHeight="1" x14ac:dyDescent="0.25">
      <c r="A51" s="7" t="s">
        <v>58</v>
      </c>
      <c r="B51" s="2" t="s">
        <v>709</v>
      </c>
      <c r="C51" s="2" t="s">
        <v>710</v>
      </c>
      <c r="D51" s="2" t="s">
        <v>711</v>
      </c>
      <c r="E51" s="3" t="s">
        <v>725</v>
      </c>
      <c r="F51" s="3" t="s">
        <v>68</v>
      </c>
      <c r="G51" s="3" t="s">
        <v>59</v>
      </c>
      <c r="H51" s="3" t="s">
        <v>58</v>
      </c>
      <c r="I51" s="3" t="s">
        <v>58</v>
      </c>
      <c r="J51" s="3" t="s">
        <v>60</v>
      </c>
      <c r="K51" s="2" t="s">
        <v>713</v>
      </c>
      <c r="L51" s="2" t="s">
        <v>714</v>
      </c>
      <c r="M51" s="3" t="s">
        <v>715</v>
      </c>
      <c r="O51" s="3" t="s">
        <v>63</v>
      </c>
      <c r="P51" s="3" t="s">
        <v>186</v>
      </c>
      <c r="Q51" s="2" t="s">
        <v>716</v>
      </c>
      <c r="R51" s="3" t="s">
        <v>65</v>
      </c>
      <c r="S51" s="4">
        <v>0</v>
      </c>
      <c r="T51" s="4">
        <v>5</v>
      </c>
      <c r="V51" s="5" t="s">
        <v>66</v>
      </c>
      <c r="W51" s="5" t="s">
        <v>204</v>
      </c>
      <c r="X51" s="5" t="s">
        <v>204</v>
      </c>
      <c r="Y51" s="4">
        <v>206</v>
      </c>
      <c r="Z51" s="4">
        <v>180</v>
      </c>
      <c r="AA51" s="4">
        <v>192</v>
      </c>
      <c r="AB51" s="4">
        <v>1</v>
      </c>
      <c r="AC51" s="4">
        <v>1</v>
      </c>
      <c r="AD51" s="4">
        <v>9</v>
      </c>
      <c r="AE51" s="4">
        <v>9</v>
      </c>
      <c r="AF51" s="4">
        <v>3</v>
      </c>
      <c r="AG51" s="4">
        <v>3</v>
      </c>
      <c r="AH51" s="4">
        <v>2</v>
      </c>
      <c r="AI51" s="4">
        <v>2</v>
      </c>
      <c r="AJ51" s="4">
        <v>6</v>
      </c>
      <c r="AK51" s="4">
        <v>6</v>
      </c>
      <c r="AL51" s="4">
        <v>0</v>
      </c>
      <c r="AM51" s="4">
        <v>0</v>
      </c>
      <c r="AN51" s="4">
        <v>0</v>
      </c>
      <c r="AO51" s="4">
        <v>0</v>
      </c>
      <c r="AP51" s="3" t="s">
        <v>58</v>
      </c>
      <c r="AQ51" s="3" t="s">
        <v>58</v>
      </c>
      <c r="AS51" s="6" t="str">
        <f t="shared" si="0"/>
        <v>Catalog Record</v>
      </c>
      <c r="AT51" s="6" t="str">
        <f t="shared" si="1"/>
        <v>WorldCat Record</v>
      </c>
      <c r="AU51" s="3" t="s">
        <v>717</v>
      </c>
      <c r="AV51" s="3" t="s">
        <v>718</v>
      </c>
      <c r="AW51" s="3" t="s">
        <v>719</v>
      </c>
      <c r="AX51" s="3" t="s">
        <v>719</v>
      </c>
      <c r="AY51" s="3" t="s">
        <v>720</v>
      </c>
      <c r="AZ51" s="3" t="s">
        <v>73</v>
      </c>
      <c r="BC51" s="3" t="s">
        <v>726</v>
      </c>
      <c r="BD51" s="3" t="s">
        <v>727</v>
      </c>
    </row>
    <row r="52" spans="1:56" ht="31.5" customHeight="1" x14ac:dyDescent="0.25">
      <c r="A52" s="7" t="s">
        <v>58</v>
      </c>
      <c r="B52" s="2" t="s">
        <v>709</v>
      </c>
      <c r="C52" s="2" t="s">
        <v>710</v>
      </c>
      <c r="D52" s="2" t="s">
        <v>711</v>
      </c>
      <c r="E52" s="3" t="s">
        <v>728</v>
      </c>
      <c r="F52" s="3" t="s">
        <v>68</v>
      </c>
      <c r="G52" s="3" t="s">
        <v>59</v>
      </c>
      <c r="H52" s="3" t="s">
        <v>58</v>
      </c>
      <c r="I52" s="3" t="s">
        <v>58</v>
      </c>
      <c r="J52" s="3" t="s">
        <v>60</v>
      </c>
      <c r="K52" s="2" t="s">
        <v>713</v>
      </c>
      <c r="L52" s="2" t="s">
        <v>714</v>
      </c>
      <c r="M52" s="3" t="s">
        <v>715</v>
      </c>
      <c r="O52" s="3" t="s">
        <v>63</v>
      </c>
      <c r="P52" s="3" t="s">
        <v>186</v>
      </c>
      <c r="Q52" s="2" t="s">
        <v>716</v>
      </c>
      <c r="R52" s="3" t="s">
        <v>65</v>
      </c>
      <c r="S52" s="4">
        <v>0</v>
      </c>
      <c r="T52" s="4">
        <v>5</v>
      </c>
      <c r="V52" s="5" t="s">
        <v>66</v>
      </c>
      <c r="W52" s="5" t="s">
        <v>204</v>
      </c>
      <c r="X52" s="5" t="s">
        <v>204</v>
      </c>
      <c r="Y52" s="4">
        <v>206</v>
      </c>
      <c r="Z52" s="4">
        <v>180</v>
      </c>
      <c r="AA52" s="4">
        <v>192</v>
      </c>
      <c r="AB52" s="4">
        <v>1</v>
      </c>
      <c r="AC52" s="4">
        <v>1</v>
      </c>
      <c r="AD52" s="4">
        <v>9</v>
      </c>
      <c r="AE52" s="4">
        <v>9</v>
      </c>
      <c r="AF52" s="4">
        <v>3</v>
      </c>
      <c r="AG52" s="4">
        <v>3</v>
      </c>
      <c r="AH52" s="4">
        <v>2</v>
      </c>
      <c r="AI52" s="4">
        <v>2</v>
      </c>
      <c r="AJ52" s="4">
        <v>6</v>
      </c>
      <c r="AK52" s="4">
        <v>6</v>
      </c>
      <c r="AL52" s="4">
        <v>0</v>
      </c>
      <c r="AM52" s="4">
        <v>0</v>
      </c>
      <c r="AN52" s="4">
        <v>0</v>
      </c>
      <c r="AO52" s="4">
        <v>0</v>
      </c>
      <c r="AP52" s="3" t="s">
        <v>58</v>
      </c>
      <c r="AQ52" s="3" t="s">
        <v>58</v>
      </c>
      <c r="AS52" s="6" t="str">
        <f t="shared" si="0"/>
        <v>Catalog Record</v>
      </c>
      <c r="AT52" s="6" t="str">
        <f t="shared" si="1"/>
        <v>WorldCat Record</v>
      </c>
      <c r="AU52" s="3" t="s">
        <v>717</v>
      </c>
      <c r="AV52" s="3" t="s">
        <v>718</v>
      </c>
      <c r="AW52" s="3" t="s">
        <v>719</v>
      </c>
      <c r="AX52" s="3" t="s">
        <v>719</v>
      </c>
      <c r="AY52" s="3" t="s">
        <v>720</v>
      </c>
      <c r="AZ52" s="3" t="s">
        <v>73</v>
      </c>
      <c r="BC52" s="3" t="s">
        <v>729</v>
      </c>
      <c r="BD52" s="3" t="s">
        <v>730</v>
      </c>
    </row>
    <row r="53" spans="1:56" ht="31.5" customHeight="1" x14ac:dyDescent="0.25">
      <c r="A53" s="7" t="s">
        <v>58</v>
      </c>
      <c r="B53" s="2" t="s">
        <v>709</v>
      </c>
      <c r="C53" s="2" t="s">
        <v>710</v>
      </c>
      <c r="D53" s="2" t="s">
        <v>711</v>
      </c>
      <c r="E53" s="3" t="s">
        <v>731</v>
      </c>
      <c r="F53" s="3" t="s">
        <v>68</v>
      </c>
      <c r="G53" s="3" t="s">
        <v>59</v>
      </c>
      <c r="H53" s="3" t="s">
        <v>58</v>
      </c>
      <c r="I53" s="3" t="s">
        <v>58</v>
      </c>
      <c r="J53" s="3" t="s">
        <v>60</v>
      </c>
      <c r="K53" s="2" t="s">
        <v>713</v>
      </c>
      <c r="L53" s="2" t="s">
        <v>714</v>
      </c>
      <c r="M53" s="3" t="s">
        <v>715</v>
      </c>
      <c r="O53" s="3" t="s">
        <v>63</v>
      </c>
      <c r="P53" s="3" t="s">
        <v>186</v>
      </c>
      <c r="Q53" s="2" t="s">
        <v>716</v>
      </c>
      <c r="R53" s="3" t="s">
        <v>65</v>
      </c>
      <c r="S53" s="4">
        <v>0</v>
      </c>
      <c r="T53" s="4">
        <v>5</v>
      </c>
      <c r="V53" s="5" t="s">
        <v>66</v>
      </c>
      <c r="W53" s="5" t="s">
        <v>204</v>
      </c>
      <c r="X53" s="5" t="s">
        <v>204</v>
      </c>
      <c r="Y53" s="4">
        <v>206</v>
      </c>
      <c r="Z53" s="4">
        <v>180</v>
      </c>
      <c r="AA53" s="4">
        <v>192</v>
      </c>
      <c r="AB53" s="4">
        <v>1</v>
      </c>
      <c r="AC53" s="4">
        <v>1</v>
      </c>
      <c r="AD53" s="4">
        <v>9</v>
      </c>
      <c r="AE53" s="4">
        <v>9</v>
      </c>
      <c r="AF53" s="4">
        <v>3</v>
      </c>
      <c r="AG53" s="4">
        <v>3</v>
      </c>
      <c r="AH53" s="4">
        <v>2</v>
      </c>
      <c r="AI53" s="4">
        <v>2</v>
      </c>
      <c r="AJ53" s="4">
        <v>6</v>
      </c>
      <c r="AK53" s="4">
        <v>6</v>
      </c>
      <c r="AL53" s="4">
        <v>0</v>
      </c>
      <c r="AM53" s="4">
        <v>0</v>
      </c>
      <c r="AN53" s="4">
        <v>0</v>
      </c>
      <c r="AO53" s="4">
        <v>0</v>
      </c>
      <c r="AP53" s="3" t="s">
        <v>58</v>
      </c>
      <c r="AQ53" s="3" t="s">
        <v>58</v>
      </c>
      <c r="AS53" s="6" t="str">
        <f t="shared" si="0"/>
        <v>Catalog Record</v>
      </c>
      <c r="AT53" s="6" t="str">
        <f t="shared" si="1"/>
        <v>WorldCat Record</v>
      </c>
      <c r="AU53" s="3" t="s">
        <v>717</v>
      </c>
      <c r="AV53" s="3" t="s">
        <v>718</v>
      </c>
      <c r="AW53" s="3" t="s">
        <v>719</v>
      </c>
      <c r="AX53" s="3" t="s">
        <v>719</v>
      </c>
      <c r="AY53" s="3" t="s">
        <v>720</v>
      </c>
      <c r="AZ53" s="3" t="s">
        <v>73</v>
      </c>
      <c r="BC53" s="3" t="s">
        <v>732</v>
      </c>
      <c r="BD53" s="3" t="s">
        <v>733</v>
      </c>
    </row>
    <row r="54" spans="1:56" ht="31.5" customHeight="1" x14ac:dyDescent="0.25">
      <c r="A54" s="7" t="s">
        <v>58</v>
      </c>
      <c r="B54" s="2" t="s">
        <v>709</v>
      </c>
      <c r="C54" s="2" t="s">
        <v>710</v>
      </c>
      <c r="D54" s="2" t="s">
        <v>711</v>
      </c>
      <c r="E54" s="3" t="s">
        <v>734</v>
      </c>
      <c r="F54" s="3" t="s">
        <v>68</v>
      </c>
      <c r="G54" s="3" t="s">
        <v>59</v>
      </c>
      <c r="H54" s="3" t="s">
        <v>58</v>
      </c>
      <c r="I54" s="3" t="s">
        <v>58</v>
      </c>
      <c r="J54" s="3" t="s">
        <v>60</v>
      </c>
      <c r="K54" s="2" t="s">
        <v>713</v>
      </c>
      <c r="L54" s="2" t="s">
        <v>714</v>
      </c>
      <c r="M54" s="3" t="s">
        <v>715</v>
      </c>
      <c r="O54" s="3" t="s">
        <v>63</v>
      </c>
      <c r="P54" s="3" t="s">
        <v>186</v>
      </c>
      <c r="Q54" s="2" t="s">
        <v>716</v>
      </c>
      <c r="R54" s="3" t="s">
        <v>65</v>
      </c>
      <c r="S54" s="4">
        <v>0</v>
      </c>
      <c r="T54" s="4">
        <v>5</v>
      </c>
      <c r="V54" s="5" t="s">
        <v>66</v>
      </c>
      <c r="W54" s="5" t="s">
        <v>204</v>
      </c>
      <c r="X54" s="5" t="s">
        <v>204</v>
      </c>
      <c r="Y54" s="4">
        <v>206</v>
      </c>
      <c r="Z54" s="4">
        <v>180</v>
      </c>
      <c r="AA54" s="4">
        <v>192</v>
      </c>
      <c r="AB54" s="4">
        <v>1</v>
      </c>
      <c r="AC54" s="4">
        <v>1</v>
      </c>
      <c r="AD54" s="4">
        <v>9</v>
      </c>
      <c r="AE54" s="4">
        <v>9</v>
      </c>
      <c r="AF54" s="4">
        <v>3</v>
      </c>
      <c r="AG54" s="4">
        <v>3</v>
      </c>
      <c r="AH54" s="4">
        <v>2</v>
      </c>
      <c r="AI54" s="4">
        <v>2</v>
      </c>
      <c r="AJ54" s="4">
        <v>6</v>
      </c>
      <c r="AK54" s="4">
        <v>6</v>
      </c>
      <c r="AL54" s="4">
        <v>0</v>
      </c>
      <c r="AM54" s="4">
        <v>0</v>
      </c>
      <c r="AN54" s="4">
        <v>0</v>
      </c>
      <c r="AO54" s="4">
        <v>0</v>
      </c>
      <c r="AP54" s="3" t="s">
        <v>58</v>
      </c>
      <c r="AQ54" s="3" t="s">
        <v>58</v>
      </c>
      <c r="AS54" s="6" t="str">
        <f t="shared" si="0"/>
        <v>Catalog Record</v>
      </c>
      <c r="AT54" s="6" t="str">
        <f t="shared" si="1"/>
        <v>WorldCat Record</v>
      </c>
      <c r="AU54" s="3" t="s">
        <v>717</v>
      </c>
      <c r="AV54" s="3" t="s">
        <v>718</v>
      </c>
      <c r="AW54" s="3" t="s">
        <v>719</v>
      </c>
      <c r="AX54" s="3" t="s">
        <v>719</v>
      </c>
      <c r="AY54" s="3" t="s">
        <v>720</v>
      </c>
      <c r="AZ54" s="3" t="s">
        <v>73</v>
      </c>
      <c r="BC54" s="3" t="s">
        <v>735</v>
      </c>
      <c r="BD54" s="3" t="s">
        <v>736</v>
      </c>
    </row>
    <row r="55" spans="1:56" ht="31.5" customHeight="1" x14ac:dyDescent="0.25">
      <c r="A55" s="7" t="s">
        <v>58</v>
      </c>
      <c r="B55" s="2" t="s">
        <v>709</v>
      </c>
      <c r="C55" s="2" t="s">
        <v>710</v>
      </c>
      <c r="D55" s="2" t="s">
        <v>711</v>
      </c>
      <c r="E55" s="3" t="s">
        <v>737</v>
      </c>
      <c r="F55" s="3" t="s">
        <v>68</v>
      </c>
      <c r="G55" s="3" t="s">
        <v>59</v>
      </c>
      <c r="H55" s="3" t="s">
        <v>58</v>
      </c>
      <c r="I55" s="3" t="s">
        <v>58</v>
      </c>
      <c r="J55" s="3" t="s">
        <v>60</v>
      </c>
      <c r="K55" s="2" t="s">
        <v>713</v>
      </c>
      <c r="L55" s="2" t="s">
        <v>714</v>
      </c>
      <c r="M55" s="3" t="s">
        <v>715</v>
      </c>
      <c r="O55" s="3" t="s">
        <v>63</v>
      </c>
      <c r="P55" s="3" t="s">
        <v>186</v>
      </c>
      <c r="Q55" s="2" t="s">
        <v>716</v>
      </c>
      <c r="R55" s="3" t="s">
        <v>65</v>
      </c>
      <c r="S55" s="4">
        <v>0</v>
      </c>
      <c r="T55" s="4">
        <v>5</v>
      </c>
      <c r="V55" s="5" t="s">
        <v>66</v>
      </c>
      <c r="W55" s="5" t="s">
        <v>204</v>
      </c>
      <c r="X55" s="5" t="s">
        <v>204</v>
      </c>
      <c r="Y55" s="4">
        <v>206</v>
      </c>
      <c r="Z55" s="4">
        <v>180</v>
      </c>
      <c r="AA55" s="4">
        <v>192</v>
      </c>
      <c r="AB55" s="4">
        <v>1</v>
      </c>
      <c r="AC55" s="4">
        <v>1</v>
      </c>
      <c r="AD55" s="4">
        <v>9</v>
      </c>
      <c r="AE55" s="4">
        <v>9</v>
      </c>
      <c r="AF55" s="4">
        <v>3</v>
      </c>
      <c r="AG55" s="4">
        <v>3</v>
      </c>
      <c r="AH55" s="4">
        <v>2</v>
      </c>
      <c r="AI55" s="4">
        <v>2</v>
      </c>
      <c r="AJ55" s="4">
        <v>6</v>
      </c>
      <c r="AK55" s="4">
        <v>6</v>
      </c>
      <c r="AL55" s="4">
        <v>0</v>
      </c>
      <c r="AM55" s="4">
        <v>0</v>
      </c>
      <c r="AN55" s="4">
        <v>0</v>
      </c>
      <c r="AO55" s="4">
        <v>0</v>
      </c>
      <c r="AP55" s="3" t="s">
        <v>58</v>
      </c>
      <c r="AQ55" s="3" t="s">
        <v>58</v>
      </c>
      <c r="AS55" s="6" t="str">
        <f t="shared" si="0"/>
        <v>Catalog Record</v>
      </c>
      <c r="AT55" s="6" t="str">
        <f t="shared" si="1"/>
        <v>WorldCat Record</v>
      </c>
      <c r="AU55" s="3" t="s">
        <v>717</v>
      </c>
      <c r="AV55" s="3" t="s">
        <v>718</v>
      </c>
      <c r="AW55" s="3" t="s">
        <v>719</v>
      </c>
      <c r="AX55" s="3" t="s">
        <v>719</v>
      </c>
      <c r="AY55" s="3" t="s">
        <v>720</v>
      </c>
      <c r="AZ55" s="3" t="s">
        <v>73</v>
      </c>
      <c r="BC55" s="3" t="s">
        <v>738</v>
      </c>
      <c r="BD55" s="3" t="s">
        <v>739</v>
      </c>
    </row>
    <row r="56" spans="1:56" ht="31.5" customHeight="1" x14ac:dyDescent="0.25">
      <c r="A56" s="7" t="s">
        <v>58</v>
      </c>
      <c r="B56" s="2" t="s">
        <v>709</v>
      </c>
      <c r="C56" s="2" t="s">
        <v>710</v>
      </c>
      <c r="D56" s="2" t="s">
        <v>711</v>
      </c>
      <c r="E56" s="3" t="s">
        <v>526</v>
      </c>
      <c r="F56" s="3" t="s">
        <v>68</v>
      </c>
      <c r="G56" s="3" t="s">
        <v>59</v>
      </c>
      <c r="H56" s="3" t="s">
        <v>58</v>
      </c>
      <c r="I56" s="3" t="s">
        <v>58</v>
      </c>
      <c r="J56" s="3" t="s">
        <v>60</v>
      </c>
      <c r="K56" s="2" t="s">
        <v>713</v>
      </c>
      <c r="L56" s="2" t="s">
        <v>714</v>
      </c>
      <c r="M56" s="3" t="s">
        <v>715</v>
      </c>
      <c r="O56" s="3" t="s">
        <v>63</v>
      </c>
      <c r="P56" s="3" t="s">
        <v>186</v>
      </c>
      <c r="Q56" s="2" t="s">
        <v>716</v>
      </c>
      <c r="R56" s="3" t="s">
        <v>65</v>
      </c>
      <c r="S56" s="4">
        <v>0</v>
      </c>
      <c r="T56" s="4">
        <v>5</v>
      </c>
      <c r="V56" s="5" t="s">
        <v>66</v>
      </c>
      <c r="W56" s="5" t="s">
        <v>204</v>
      </c>
      <c r="X56" s="5" t="s">
        <v>204</v>
      </c>
      <c r="Y56" s="4">
        <v>206</v>
      </c>
      <c r="Z56" s="4">
        <v>180</v>
      </c>
      <c r="AA56" s="4">
        <v>192</v>
      </c>
      <c r="AB56" s="4">
        <v>1</v>
      </c>
      <c r="AC56" s="4">
        <v>1</v>
      </c>
      <c r="AD56" s="4">
        <v>9</v>
      </c>
      <c r="AE56" s="4">
        <v>9</v>
      </c>
      <c r="AF56" s="4">
        <v>3</v>
      </c>
      <c r="AG56" s="4">
        <v>3</v>
      </c>
      <c r="AH56" s="4">
        <v>2</v>
      </c>
      <c r="AI56" s="4">
        <v>2</v>
      </c>
      <c r="AJ56" s="4">
        <v>6</v>
      </c>
      <c r="AK56" s="4">
        <v>6</v>
      </c>
      <c r="AL56" s="4">
        <v>0</v>
      </c>
      <c r="AM56" s="4">
        <v>0</v>
      </c>
      <c r="AN56" s="4">
        <v>0</v>
      </c>
      <c r="AO56" s="4">
        <v>0</v>
      </c>
      <c r="AP56" s="3" t="s">
        <v>58</v>
      </c>
      <c r="AQ56" s="3" t="s">
        <v>58</v>
      </c>
      <c r="AS56" s="6" t="str">
        <f t="shared" si="0"/>
        <v>Catalog Record</v>
      </c>
      <c r="AT56" s="6" t="str">
        <f t="shared" si="1"/>
        <v>WorldCat Record</v>
      </c>
      <c r="AU56" s="3" t="s">
        <v>717</v>
      </c>
      <c r="AV56" s="3" t="s">
        <v>718</v>
      </c>
      <c r="AW56" s="3" t="s">
        <v>719</v>
      </c>
      <c r="AX56" s="3" t="s">
        <v>719</v>
      </c>
      <c r="AY56" s="3" t="s">
        <v>720</v>
      </c>
      <c r="AZ56" s="3" t="s">
        <v>73</v>
      </c>
      <c r="BC56" s="3" t="s">
        <v>740</v>
      </c>
      <c r="BD56" s="3" t="s">
        <v>741</v>
      </c>
    </row>
    <row r="57" spans="1:56" ht="31.5" customHeight="1" x14ac:dyDescent="0.25">
      <c r="A57" s="7" t="s">
        <v>58</v>
      </c>
      <c r="B57" s="2" t="s">
        <v>709</v>
      </c>
      <c r="C57" s="2" t="s">
        <v>710</v>
      </c>
      <c r="D57" s="2" t="s">
        <v>711</v>
      </c>
      <c r="E57" s="3" t="s">
        <v>742</v>
      </c>
      <c r="F57" s="3" t="s">
        <v>68</v>
      </c>
      <c r="G57" s="3" t="s">
        <v>59</v>
      </c>
      <c r="H57" s="3" t="s">
        <v>58</v>
      </c>
      <c r="I57" s="3" t="s">
        <v>58</v>
      </c>
      <c r="J57" s="3" t="s">
        <v>60</v>
      </c>
      <c r="K57" s="2" t="s">
        <v>713</v>
      </c>
      <c r="L57" s="2" t="s">
        <v>714</v>
      </c>
      <c r="M57" s="3" t="s">
        <v>715</v>
      </c>
      <c r="O57" s="3" t="s">
        <v>63</v>
      </c>
      <c r="P57" s="3" t="s">
        <v>186</v>
      </c>
      <c r="Q57" s="2" t="s">
        <v>716</v>
      </c>
      <c r="R57" s="3" t="s">
        <v>65</v>
      </c>
      <c r="S57" s="4">
        <v>0</v>
      </c>
      <c r="T57" s="4">
        <v>5</v>
      </c>
      <c r="V57" s="5" t="s">
        <v>66</v>
      </c>
      <c r="W57" s="5" t="s">
        <v>204</v>
      </c>
      <c r="X57" s="5" t="s">
        <v>204</v>
      </c>
      <c r="Y57" s="4">
        <v>206</v>
      </c>
      <c r="Z57" s="4">
        <v>180</v>
      </c>
      <c r="AA57" s="4">
        <v>192</v>
      </c>
      <c r="AB57" s="4">
        <v>1</v>
      </c>
      <c r="AC57" s="4">
        <v>1</v>
      </c>
      <c r="AD57" s="4">
        <v>9</v>
      </c>
      <c r="AE57" s="4">
        <v>9</v>
      </c>
      <c r="AF57" s="4">
        <v>3</v>
      </c>
      <c r="AG57" s="4">
        <v>3</v>
      </c>
      <c r="AH57" s="4">
        <v>2</v>
      </c>
      <c r="AI57" s="4">
        <v>2</v>
      </c>
      <c r="AJ57" s="4">
        <v>6</v>
      </c>
      <c r="AK57" s="4">
        <v>6</v>
      </c>
      <c r="AL57" s="4">
        <v>0</v>
      </c>
      <c r="AM57" s="4">
        <v>0</v>
      </c>
      <c r="AN57" s="4">
        <v>0</v>
      </c>
      <c r="AO57" s="4">
        <v>0</v>
      </c>
      <c r="AP57" s="3" t="s">
        <v>58</v>
      </c>
      <c r="AQ57" s="3" t="s">
        <v>58</v>
      </c>
      <c r="AS57" s="6" t="str">
        <f t="shared" si="0"/>
        <v>Catalog Record</v>
      </c>
      <c r="AT57" s="6" t="str">
        <f t="shared" si="1"/>
        <v>WorldCat Record</v>
      </c>
      <c r="AU57" s="3" t="s">
        <v>717</v>
      </c>
      <c r="AV57" s="3" t="s">
        <v>718</v>
      </c>
      <c r="AW57" s="3" t="s">
        <v>719</v>
      </c>
      <c r="AX57" s="3" t="s">
        <v>719</v>
      </c>
      <c r="AY57" s="3" t="s">
        <v>720</v>
      </c>
      <c r="AZ57" s="3" t="s">
        <v>73</v>
      </c>
      <c r="BC57" s="3" t="s">
        <v>743</v>
      </c>
      <c r="BD57" s="3" t="s">
        <v>744</v>
      </c>
    </row>
    <row r="58" spans="1:56" ht="31.5" customHeight="1" x14ac:dyDescent="0.25">
      <c r="A58" s="7" t="s">
        <v>58</v>
      </c>
      <c r="B58" s="2" t="s">
        <v>709</v>
      </c>
      <c r="C58" s="2" t="s">
        <v>710</v>
      </c>
      <c r="D58" s="2" t="s">
        <v>711</v>
      </c>
      <c r="E58" s="3" t="s">
        <v>745</v>
      </c>
      <c r="F58" s="3" t="s">
        <v>68</v>
      </c>
      <c r="G58" s="3" t="s">
        <v>59</v>
      </c>
      <c r="H58" s="3" t="s">
        <v>58</v>
      </c>
      <c r="I58" s="3" t="s">
        <v>58</v>
      </c>
      <c r="J58" s="3" t="s">
        <v>60</v>
      </c>
      <c r="K58" s="2" t="s">
        <v>713</v>
      </c>
      <c r="L58" s="2" t="s">
        <v>714</v>
      </c>
      <c r="M58" s="3" t="s">
        <v>715</v>
      </c>
      <c r="O58" s="3" t="s">
        <v>63</v>
      </c>
      <c r="P58" s="3" t="s">
        <v>186</v>
      </c>
      <c r="Q58" s="2" t="s">
        <v>716</v>
      </c>
      <c r="R58" s="3" t="s">
        <v>65</v>
      </c>
      <c r="S58" s="4">
        <v>0</v>
      </c>
      <c r="T58" s="4">
        <v>5</v>
      </c>
      <c r="V58" s="5" t="s">
        <v>66</v>
      </c>
      <c r="W58" s="5" t="s">
        <v>204</v>
      </c>
      <c r="X58" s="5" t="s">
        <v>204</v>
      </c>
      <c r="Y58" s="4">
        <v>206</v>
      </c>
      <c r="Z58" s="4">
        <v>180</v>
      </c>
      <c r="AA58" s="4">
        <v>192</v>
      </c>
      <c r="AB58" s="4">
        <v>1</v>
      </c>
      <c r="AC58" s="4">
        <v>1</v>
      </c>
      <c r="AD58" s="4">
        <v>9</v>
      </c>
      <c r="AE58" s="4">
        <v>9</v>
      </c>
      <c r="AF58" s="4">
        <v>3</v>
      </c>
      <c r="AG58" s="4">
        <v>3</v>
      </c>
      <c r="AH58" s="4">
        <v>2</v>
      </c>
      <c r="AI58" s="4">
        <v>2</v>
      </c>
      <c r="AJ58" s="4">
        <v>6</v>
      </c>
      <c r="AK58" s="4">
        <v>6</v>
      </c>
      <c r="AL58" s="4">
        <v>0</v>
      </c>
      <c r="AM58" s="4">
        <v>0</v>
      </c>
      <c r="AN58" s="4">
        <v>0</v>
      </c>
      <c r="AO58" s="4">
        <v>0</v>
      </c>
      <c r="AP58" s="3" t="s">
        <v>58</v>
      </c>
      <c r="AQ58" s="3" t="s">
        <v>58</v>
      </c>
      <c r="AS58" s="6" t="str">
        <f t="shared" si="0"/>
        <v>Catalog Record</v>
      </c>
      <c r="AT58" s="6" t="str">
        <f t="shared" si="1"/>
        <v>WorldCat Record</v>
      </c>
      <c r="AU58" s="3" t="s">
        <v>717</v>
      </c>
      <c r="AV58" s="3" t="s">
        <v>718</v>
      </c>
      <c r="AW58" s="3" t="s">
        <v>719</v>
      </c>
      <c r="AX58" s="3" t="s">
        <v>719</v>
      </c>
      <c r="AY58" s="3" t="s">
        <v>720</v>
      </c>
      <c r="AZ58" s="3" t="s">
        <v>73</v>
      </c>
      <c r="BC58" s="3" t="s">
        <v>746</v>
      </c>
      <c r="BD58" s="3" t="s">
        <v>747</v>
      </c>
    </row>
    <row r="59" spans="1:56" ht="31.5" customHeight="1" x14ac:dyDescent="0.25">
      <c r="A59" s="7" t="s">
        <v>58</v>
      </c>
      <c r="B59" s="2" t="s">
        <v>709</v>
      </c>
      <c r="C59" s="2" t="s">
        <v>710</v>
      </c>
      <c r="D59" s="2" t="s">
        <v>711</v>
      </c>
      <c r="E59" s="3" t="s">
        <v>748</v>
      </c>
      <c r="F59" s="3" t="s">
        <v>68</v>
      </c>
      <c r="G59" s="3" t="s">
        <v>59</v>
      </c>
      <c r="H59" s="3" t="s">
        <v>58</v>
      </c>
      <c r="I59" s="3" t="s">
        <v>58</v>
      </c>
      <c r="J59" s="3" t="s">
        <v>60</v>
      </c>
      <c r="K59" s="2" t="s">
        <v>713</v>
      </c>
      <c r="L59" s="2" t="s">
        <v>714</v>
      </c>
      <c r="M59" s="3" t="s">
        <v>715</v>
      </c>
      <c r="O59" s="3" t="s">
        <v>63</v>
      </c>
      <c r="P59" s="3" t="s">
        <v>186</v>
      </c>
      <c r="Q59" s="2" t="s">
        <v>716</v>
      </c>
      <c r="R59" s="3" t="s">
        <v>65</v>
      </c>
      <c r="S59" s="4">
        <v>0</v>
      </c>
      <c r="T59" s="4">
        <v>5</v>
      </c>
      <c r="V59" s="5" t="s">
        <v>66</v>
      </c>
      <c r="W59" s="5" t="s">
        <v>204</v>
      </c>
      <c r="X59" s="5" t="s">
        <v>204</v>
      </c>
      <c r="Y59" s="4">
        <v>206</v>
      </c>
      <c r="Z59" s="4">
        <v>180</v>
      </c>
      <c r="AA59" s="4">
        <v>192</v>
      </c>
      <c r="AB59" s="4">
        <v>1</v>
      </c>
      <c r="AC59" s="4">
        <v>1</v>
      </c>
      <c r="AD59" s="4">
        <v>9</v>
      </c>
      <c r="AE59" s="4">
        <v>9</v>
      </c>
      <c r="AF59" s="4">
        <v>3</v>
      </c>
      <c r="AG59" s="4">
        <v>3</v>
      </c>
      <c r="AH59" s="4">
        <v>2</v>
      </c>
      <c r="AI59" s="4">
        <v>2</v>
      </c>
      <c r="AJ59" s="4">
        <v>6</v>
      </c>
      <c r="AK59" s="4">
        <v>6</v>
      </c>
      <c r="AL59" s="4">
        <v>0</v>
      </c>
      <c r="AM59" s="4">
        <v>0</v>
      </c>
      <c r="AN59" s="4">
        <v>0</v>
      </c>
      <c r="AO59" s="4">
        <v>0</v>
      </c>
      <c r="AP59" s="3" t="s">
        <v>58</v>
      </c>
      <c r="AQ59" s="3" t="s">
        <v>58</v>
      </c>
      <c r="AS59" s="6" t="str">
        <f t="shared" si="0"/>
        <v>Catalog Record</v>
      </c>
      <c r="AT59" s="6" t="str">
        <f t="shared" si="1"/>
        <v>WorldCat Record</v>
      </c>
      <c r="AU59" s="3" t="s">
        <v>717</v>
      </c>
      <c r="AV59" s="3" t="s">
        <v>718</v>
      </c>
      <c r="AW59" s="3" t="s">
        <v>719</v>
      </c>
      <c r="AX59" s="3" t="s">
        <v>719</v>
      </c>
      <c r="AY59" s="3" t="s">
        <v>720</v>
      </c>
      <c r="AZ59" s="3" t="s">
        <v>73</v>
      </c>
      <c r="BC59" s="3" t="s">
        <v>749</v>
      </c>
      <c r="BD59" s="3" t="s">
        <v>750</v>
      </c>
    </row>
    <row r="60" spans="1:56" ht="31.5" customHeight="1" x14ac:dyDescent="0.25">
      <c r="A60" s="7" t="s">
        <v>58</v>
      </c>
      <c r="B60" s="2" t="s">
        <v>709</v>
      </c>
      <c r="C60" s="2" t="s">
        <v>710</v>
      </c>
      <c r="D60" s="2" t="s">
        <v>711</v>
      </c>
      <c r="E60" s="3" t="s">
        <v>751</v>
      </c>
      <c r="F60" s="3" t="s">
        <v>68</v>
      </c>
      <c r="G60" s="3" t="s">
        <v>59</v>
      </c>
      <c r="H60" s="3" t="s">
        <v>58</v>
      </c>
      <c r="I60" s="3" t="s">
        <v>58</v>
      </c>
      <c r="J60" s="3" t="s">
        <v>60</v>
      </c>
      <c r="K60" s="2" t="s">
        <v>713</v>
      </c>
      <c r="L60" s="2" t="s">
        <v>714</v>
      </c>
      <c r="M60" s="3" t="s">
        <v>715</v>
      </c>
      <c r="O60" s="3" t="s">
        <v>63</v>
      </c>
      <c r="P60" s="3" t="s">
        <v>186</v>
      </c>
      <c r="Q60" s="2" t="s">
        <v>716</v>
      </c>
      <c r="R60" s="3" t="s">
        <v>65</v>
      </c>
      <c r="S60" s="4">
        <v>0</v>
      </c>
      <c r="T60" s="4">
        <v>5</v>
      </c>
      <c r="V60" s="5" t="s">
        <v>66</v>
      </c>
      <c r="W60" s="5" t="s">
        <v>204</v>
      </c>
      <c r="X60" s="5" t="s">
        <v>204</v>
      </c>
      <c r="Y60" s="4">
        <v>206</v>
      </c>
      <c r="Z60" s="4">
        <v>180</v>
      </c>
      <c r="AA60" s="4">
        <v>192</v>
      </c>
      <c r="AB60" s="4">
        <v>1</v>
      </c>
      <c r="AC60" s="4">
        <v>1</v>
      </c>
      <c r="AD60" s="4">
        <v>9</v>
      </c>
      <c r="AE60" s="4">
        <v>9</v>
      </c>
      <c r="AF60" s="4">
        <v>3</v>
      </c>
      <c r="AG60" s="4">
        <v>3</v>
      </c>
      <c r="AH60" s="4">
        <v>2</v>
      </c>
      <c r="AI60" s="4">
        <v>2</v>
      </c>
      <c r="AJ60" s="4">
        <v>6</v>
      </c>
      <c r="AK60" s="4">
        <v>6</v>
      </c>
      <c r="AL60" s="4">
        <v>0</v>
      </c>
      <c r="AM60" s="4">
        <v>0</v>
      </c>
      <c r="AN60" s="4">
        <v>0</v>
      </c>
      <c r="AO60" s="4">
        <v>0</v>
      </c>
      <c r="AP60" s="3" t="s">
        <v>58</v>
      </c>
      <c r="AQ60" s="3" t="s">
        <v>58</v>
      </c>
      <c r="AS60" s="6" t="str">
        <f t="shared" si="0"/>
        <v>Catalog Record</v>
      </c>
      <c r="AT60" s="6" t="str">
        <f t="shared" si="1"/>
        <v>WorldCat Record</v>
      </c>
      <c r="AU60" s="3" t="s">
        <v>717</v>
      </c>
      <c r="AV60" s="3" t="s">
        <v>718</v>
      </c>
      <c r="AW60" s="3" t="s">
        <v>719</v>
      </c>
      <c r="AX60" s="3" t="s">
        <v>719</v>
      </c>
      <c r="AY60" s="3" t="s">
        <v>720</v>
      </c>
      <c r="AZ60" s="3" t="s">
        <v>73</v>
      </c>
      <c r="BC60" s="3" t="s">
        <v>752</v>
      </c>
      <c r="BD60" s="3" t="s">
        <v>753</v>
      </c>
    </row>
    <row r="61" spans="1:56" ht="31.5" customHeight="1" x14ac:dyDescent="0.25">
      <c r="A61" s="7" t="s">
        <v>58</v>
      </c>
      <c r="B61" s="2" t="s">
        <v>709</v>
      </c>
      <c r="C61" s="2" t="s">
        <v>710</v>
      </c>
      <c r="D61" s="2" t="s">
        <v>711</v>
      </c>
      <c r="E61" s="3" t="s">
        <v>754</v>
      </c>
      <c r="F61" s="3" t="s">
        <v>68</v>
      </c>
      <c r="G61" s="3" t="s">
        <v>59</v>
      </c>
      <c r="H61" s="3" t="s">
        <v>58</v>
      </c>
      <c r="I61" s="3" t="s">
        <v>58</v>
      </c>
      <c r="J61" s="3" t="s">
        <v>60</v>
      </c>
      <c r="K61" s="2" t="s">
        <v>713</v>
      </c>
      <c r="L61" s="2" t="s">
        <v>714</v>
      </c>
      <c r="M61" s="3" t="s">
        <v>715</v>
      </c>
      <c r="O61" s="3" t="s">
        <v>63</v>
      </c>
      <c r="P61" s="3" t="s">
        <v>186</v>
      </c>
      <c r="Q61" s="2" t="s">
        <v>716</v>
      </c>
      <c r="R61" s="3" t="s">
        <v>65</v>
      </c>
      <c r="S61" s="4">
        <v>0</v>
      </c>
      <c r="T61" s="4">
        <v>5</v>
      </c>
      <c r="V61" s="5" t="s">
        <v>66</v>
      </c>
      <c r="W61" s="5" t="s">
        <v>204</v>
      </c>
      <c r="X61" s="5" t="s">
        <v>204</v>
      </c>
      <c r="Y61" s="4">
        <v>206</v>
      </c>
      <c r="Z61" s="4">
        <v>180</v>
      </c>
      <c r="AA61" s="4">
        <v>192</v>
      </c>
      <c r="AB61" s="4">
        <v>1</v>
      </c>
      <c r="AC61" s="4">
        <v>1</v>
      </c>
      <c r="AD61" s="4">
        <v>9</v>
      </c>
      <c r="AE61" s="4">
        <v>9</v>
      </c>
      <c r="AF61" s="4">
        <v>3</v>
      </c>
      <c r="AG61" s="4">
        <v>3</v>
      </c>
      <c r="AH61" s="4">
        <v>2</v>
      </c>
      <c r="AI61" s="4">
        <v>2</v>
      </c>
      <c r="AJ61" s="4">
        <v>6</v>
      </c>
      <c r="AK61" s="4">
        <v>6</v>
      </c>
      <c r="AL61" s="4">
        <v>0</v>
      </c>
      <c r="AM61" s="4">
        <v>0</v>
      </c>
      <c r="AN61" s="4">
        <v>0</v>
      </c>
      <c r="AO61" s="4">
        <v>0</v>
      </c>
      <c r="AP61" s="3" t="s">
        <v>58</v>
      </c>
      <c r="AQ61" s="3" t="s">
        <v>58</v>
      </c>
      <c r="AS61" s="6" t="str">
        <f t="shared" si="0"/>
        <v>Catalog Record</v>
      </c>
      <c r="AT61" s="6" t="str">
        <f t="shared" si="1"/>
        <v>WorldCat Record</v>
      </c>
      <c r="AU61" s="3" t="s">
        <v>717</v>
      </c>
      <c r="AV61" s="3" t="s">
        <v>718</v>
      </c>
      <c r="AW61" s="3" t="s">
        <v>719</v>
      </c>
      <c r="AX61" s="3" t="s">
        <v>719</v>
      </c>
      <c r="AY61" s="3" t="s">
        <v>720</v>
      </c>
      <c r="AZ61" s="3" t="s">
        <v>73</v>
      </c>
      <c r="BC61" s="3" t="s">
        <v>755</v>
      </c>
      <c r="BD61" s="3" t="s">
        <v>756</v>
      </c>
    </row>
    <row r="62" spans="1:56" ht="31.5" customHeight="1" x14ac:dyDescent="0.25">
      <c r="A62" s="7" t="s">
        <v>58</v>
      </c>
      <c r="B62" s="2" t="s">
        <v>709</v>
      </c>
      <c r="C62" s="2" t="s">
        <v>710</v>
      </c>
      <c r="D62" s="2" t="s">
        <v>711</v>
      </c>
      <c r="E62" s="3" t="s">
        <v>757</v>
      </c>
      <c r="F62" s="3" t="s">
        <v>68</v>
      </c>
      <c r="G62" s="3" t="s">
        <v>59</v>
      </c>
      <c r="H62" s="3" t="s">
        <v>58</v>
      </c>
      <c r="I62" s="3" t="s">
        <v>58</v>
      </c>
      <c r="J62" s="3" t="s">
        <v>60</v>
      </c>
      <c r="K62" s="2" t="s">
        <v>713</v>
      </c>
      <c r="L62" s="2" t="s">
        <v>714</v>
      </c>
      <c r="M62" s="3" t="s">
        <v>715</v>
      </c>
      <c r="O62" s="3" t="s">
        <v>63</v>
      </c>
      <c r="P62" s="3" t="s">
        <v>186</v>
      </c>
      <c r="Q62" s="2" t="s">
        <v>716</v>
      </c>
      <c r="R62" s="3" t="s">
        <v>65</v>
      </c>
      <c r="S62" s="4">
        <v>0</v>
      </c>
      <c r="T62" s="4">
        <v>5</v>
      </c>
      <c r="V62" s="5" t="s">
        <v>66</v>
      </c>
      <c r="W62" s="5" t="s">
        <v>204</v>
      </c>
      <c r="X62" s="5" t="s">
        <v>204</v>
      </c>
      <c r="Y62" s="4">
        <v>206</v>
      </c>
      <c r="Z62" s="4">
        <v>180</v>
      </c>
      <c r="AA62" s="4">
        <v>192</v>
      </c>
      <c r="AB62" s="4">
        <v>1</v>
      </c>
      <c r="AC62" s="4">
        <v>1</v>
      </c>
      <c r="AD62" s="4">
        <v>9</v>
      </c>
      <c r="AE62" s="4">
        <v>9</v>
      </c>
      <c r="AF62" s="4">
        <v>3</v>
      </c>
      <c r="AG62" s="4">
        <v>3</v>
      </c>
      <c r="AH62" s="4">
        <v>2</v>
      </c>
      <c r="AI62" s="4">
        <v>2</v>
      </c>
      <c r="AJ62" s="4">
        <v>6</v>
      </c>
      <c r="AK62" s="4">
        <v>6</v>
      </c>
      <c r="AL62" s="4">
        <v>0</v>
      </c>
      <c r="AM62" s="4">
        <v>0</v>
      </c>
      <c r="AN62" s="4">
        <v>0</v>
      </c>
      <c r="AO62" s="4">
        <v>0</v>
      </c>
      <c r="AP62" s="3" t="s">
        <v>58</v>
      </c>
      <c r="AQ62" s="3" t="s">
        <v>58</v>
      </c>
      <c r="AS62" s="6" t="str">
        <f t="shared" si="0"/>
        <v>Catalog Record</v>
      </c>
      <c r="AT62" s="6" t="str">
        <f t="shared" si="1"/>
        <v>WorldCat Record</v>
      </c>
      <c r="AU62" s="3" t="s">
        <v>717</v>
      </c>
      <c r="AV62" s="3" t="s">
        <v>718</v>
      </c>
      <c r="AW62" s="3" t="s">
        <v>719</v>
      </c>
      <c r="AX62" s="3" t="s">
        <v>719</v>
      </c>
      <c r="AY62" s="3" t="s">
        <v>720</v>
      </c>
      <c r="AZ62" s="3" t="s">
        <v>73</v>
      </c>
      <c r="BC62" s="3" t="s">
        <v>758</v>
      </c>
      <c r="BD62" s="3" t="s">
        <v>759</v>
      </c>
    </row>
    <row r="63" spans="1:56" ht="31.5" customHeight="1" x14ac:dyDescent="0.25">
      <c r="A63" s="7" t="s">
        <v>58</v>
      </c>
      <c r="B63" s="2" t="s">
        <v>709</v>
      </c>
      <c r="C63" s="2" t="s">
        <v>710</v>
      </c>
      <c r="D63" s="2" t="s">
        <v>711</v>
      </c>
      <c r="E63" s="3" t="s">
        <v>760</v>
      </c>
      <c r="F63" s="3" t="s">
        <v>68</v>
      </c>
      <c r="G63" s="3" t="s">
        <v>59</v>
      </c>
      <c r="H63" s="3" t="s">
        <v>58</v>
      </c>
      <c r="I63" s="3" t="s">
        <v>58</v>
      </c>
      <c r="J63" s="3" t="s">
        <v>60</v>
      </c>
      <c r="K63" s="2" t="s">
        <v>713</v>
      </c>
      <c r="L63" s="2" t="s">
        <v>714</v>
      </c>
      <c r="M63" s="3" t="s">
        <v>715</v>
      </c>
      <c r="O63" s="3" t="s">
        <v>63</v>
      </c>
      <c r="P63" s="3" t="s">
        <v>186</v>
      </c>
      <c r="Q63" s="2" t="s">
        <v>716</v>
      </c>
      <c r="R63" s="3" t="s">
        <v>65</v>
      </c>
      <c r="S63" s="4">
        <v>0</v>
      </c>
      <c r="T63" s="4">
        <v>5</v>
      </c>
      <c r="V63" s="5" t="s">
        <v>66</v>
      </c>
      <c r="W63" s="5" t="s">
        <v>204</v>
      </c>
      <c r="X63" s="5" t="s">
        <v>204</v>
      </c>
      <c r="Y63" s="4">
        <v>206</v>
      </c>
      <c r="Z63" s="4">
        <v>180</v>
      </c>
      <c r="AA63" s="4">
        <v>192</v>
      </c>
      <c r="AB63" s="4">
        <v>1</v>
      </c>
      <c r="AC63" s="4">
        <v>1</v>
      </c>
      <c r="AD63" s="4">
        <v>9</v>
      </c>
      <c r="AE63" s="4">
        <v>9</v>
      </c>
      <c r="AF63" s="4">
        <v>3</v>
      </c>
      <c r="AG63" s="4">
        <v>3</v>
      </c>
      <c r="AH63" s="4">
        <v>2</v>
      </c>
      <c r="AI63" s="4">
        <v>2</v>
      </c>
      <c r="AJ63" s="4">
        <v>6</v>
      </c>
      <c r="AK63" s="4">
        <v>6</v>
      </c>
      <c r="AL63" s="4">
        <v>0</v>
      </c>
      <c r="AM63" s="4">
        <v>0</v>
      </c>
      <c r="AN63" s="4">
        <v>0</v>
      </c>
      <c r="AO63" s="4">
        <v>0</v>
      </c>
      <c r="AP63" s="3" t="s">
        <v>58</v>
      </c>
      <c r="AQ63" s="3" t="s">
        <v>58</v>
      </c>
      <c r="AS63" s="6" t="str">
        <f t="shared" si="0"/>
        <v>Catalog Record</v>
      </c>
      <c r="AT63" s="6" t="str">
        <f t="shared" si="1"/>
        <v>WorldCat Record</v>
      </c>
      <c r="AU63" s="3" t="s">
        <v>717</v>
      </c>
      <c r="AV63" s="3" t="s">
        <v>718</v>
      </c>
      <c r="AW63" s="3" t="s">
        <v>719</v>
      </c>
      <c r="AX63" s="3" t="s">
        <v>719</v>
      </c>
      <c r="AY63" s="3" t="s">
        <v>720</v>
      </c>
      <c r="AZ63" s="3" t="s">
        <v>73</v>
      </c>
      <c r="BC63" s="3" t="s">
        <v>761</v>
      </c>
      <c r="BD63" s="3" t="s">
        <v>762</v>
      </c>
    </row>
    <row r="64" spans="1:56" ht="31.5" customHeight="1" x14ac:dyDescent="0.25">
      <c r="A64" s="7" t="s">
        <v>58</v>
      </c>
      <c r="B64" s="2" t="s">
        <v>709</v>
      </c>
      <c r="C64" s="2" t="s">
        <v>710</v>
      </c>
      <c r="D64" s="2" t="s">
        <v>711</v>
      </c>
      <c r="E64" s="3" t="s">
        <v>763</v>
      </c>
      <c r="F64" s="3" t="s">
        <v>68</v>
      </c>
      <c r="G64" s="3" t="s">
        <v>59</v>
      </c>
      <c r="H64" s="3" t="s">
        <v>58</v>
      </c>
      <c r="I64" s="3" t="s">
        <v>58</v>
      </c>
      <c r="J64" s="3" t="s">
        <v>60</v>
      </c>
      <c r="K64" s="2" t="s">
        <v>713</v>
      </c>
      <c r="L64" s="2" t="s">
        <v>714</v>
      </c>
      <c r="M64" s="3" t="s">
        <v>715</v>
      </c>
      <c r="O64" s="3" t="s">
        <v>63</v>
      </c>
      <c r="P64" s="3" t="s">
        <v>186</v>
      </c>
      <c r="Q64" s="2" t="s">
        <v>716</v>
      </c>
      <c r="R64" s="3" t="s">
        <v>65</v>
      </c>
      <c r="S64" s="4">
        <v>0</v>
      </c>
      <c r="T64" s="4">
        <v>5</v>
      </c>
      <c r="V64" s="5" t="s">
        <v>66</v>
      </c>
      <c r="W64" s="5" t="s">
        <v>204</v>
      </c>
      <c r="X64" s="5" t="s">
        <v>204</v>
      </c>
      <c r="Y64" s="4">
        <v>206</v>
      </c>
      <c r="Z64" s="4">
        <v>180</v>
      </c>
      <c r="AA64" s="4">
        <v>192</v>
      </c>
      <c r="AB64" s="4">
        <v>1</v>
      </c>
      <c r="AC64" s="4">
        <v>1</v>
      </c>
      <c r="AD64" s="4">
        <v>9</v>
      </c>
      <c r="AE64" s="4">
        <v>9</v>
      </c>
      <c r="AF64" s="4">
        <v>3</v>
      </c>
      <c r="AG64" s="4">
        <v>3</v>
      </c>
      <c r="AH64" s="4">
        <v>2</v>
      </c>
      <c r="AI64" s="4">
        <v>2</v>
      </c>
      <c r="AJ64" s="4">
        <v>6</v>
      </c>
      <c r="AK64" s="4">
        <v>6</v>
      </c>
      <c r="AL64" s="4">
        <v>0</v>
      </c>
      <c r="AM64" s="4">
        <v>0</v>
      </c>
      <c r="AN64" s="4">
        <v>0</v>
      </c>
      <c r="AO64" s="4">
        <v>0</v>
      </c>
      <c r="AP64" s="3" t="s">
        <v>58</v>
      </c>
      <c r="AQ64" s="3" t="s">
        <v>58</v>
      </c>
      <c r="AS64" s="6" t="str">
        <f t="shared" si="0"/>
        <v>Catalog Record</v>
      </c>
      <c r="AT64" s="6" t="str">
        <f t="shared" si="1"/>
        <v>WorldCat Record</v>
      </c>
      <c r="AU64" s="3" t="s">
        <v>717</v>
      </c>
      <c r="AV64" s="3" t="s">
        <v>718</v>
      </c>
      <c r="AW64" s="3" t="s">
        <v>719</v>
      </c>
      <c r="AX64" s="3" t="s">
        <v>719</v>
      </c>
      <c r="AY64" s="3" t="s">
        <v>720</v>
      </c>
      <c r="AZ64" s="3" t="s">
        <v>73</v>
      </c>
      <c r="BC64" s="3" t="s">
        <v>764</v>
      </c>
      <c r="BD64" s="3" t="s">
        <v>765</v>
      </c>
    </row>
    <row r="65" spans="1:56" ht="31.5" customHeight="1" x14ac:dyDescent="0.25">
      <c r="A65" s="7" t="s">
        <v>58</v>
      </c>
      <c r="B65" s="2" t="s">
        <v>709</v>
      </c>
      <c r="C65" s="2" t="s">
        <v>710</v>
      </c>
      <c r="D65" s="2" t="s">
        <v>711</v>
      </c>
      <c r="E65" s="3" t="s">
        <v>766</v>
      </c>
      <c r="F65" s="3" t="s">
        <v>68</v>
      </c>
      <c r="G65" s="3" t="s">
        <v>59</v>
      </c>
      <c r="H65" s="3" t="s">
        <v>58</v>
      </c>
      <c r="I65" s="3" t="s">
        <v>58</v>
      </c>
      <c r="J65" s="3" t="s">
        <v>60</v>
      </c>
      <c r="K65" s="2" t="s">
        <v>713</v>
      </c>
      <c r="L65" s="2" t="s">
        <v>714</v>
      </c>
      <c r="M65" s="3" t="s">
        <v>715</v>
      </c>
      <c r="O65" s="3" t="s">
        <v>63</v>
      </c>
      <c r="P65" s="3" t="s">
        <v>186</v>
      </c>
      <c r="Q65" s="2" t="s">
        <v>716</v>
      </c>
      <c r="R65" s="3" t="s">
        <v>65</v>
      </c>
      <c r="S65" s="4">
        <v>1</v>
      </c>
      <c r="T65" s="4">
        <v>5</v>
      </c>
      <c r="V65" s="5" t="s">
        <v>66</v>
      </c>
      <c r="W65" s="5" t="s">
        <v>204</v>
      </c>
      <c r="X65" s="5" t="s">
        <v>204</v>
      </c>
      <c r="Y65" s="4">
        <v>206</v>
      </c>
      <c r="Z65" s="4">
        <v>180</v>
      </c>
      <c r="AA65" s="4">
        <v>192</v>
      </c>
      <c r="AB65" s="4">
        <v>1</v>
      </c>
      <c r="AC65" s="4">
        <v>1</v>
      </c>
      <c r="AD65" s="4">
        <v>9</v>
      </c>
      <c r="AE65" s="4">
        <v>9</v>
      </c>
      <c r="AF65" s="4">
        <v>3</v>
      </c>
      <c r="AG65" s="4">
        <v>3</v>
      </c>
      <c r="AH65" s="4">
        <v>2</v>
      </c>
      <c r="AI65" s="4">
        <v>2</v>
      </c>
      <c r="AJ65" s="4">
        <v>6</v>
      </c>
      <c r="AK65" s="4">
        <v>6</v>
      </c>
      <c r="AL65" s="4">
        <v>0</v>
      </c>
      <c r="AM65" s="4">
        <v>0</v>
      </c>
      <c r="AN65" s="4">
        <v>0</v>
      </c>
      <c r="AO65" s="4">
        <v>0</v>
      </c>
      <c r="AP65" s="3" t="s">
        <v>58</v>
      </c>
      <c r="AQ65" s="3" t="s">
        <v>58</v>
      </c>
      <c r="AS65" s="6" t="str">
        <f t="shared" si="0"/>
        <v>Catalog Record</v>
      </c>
      <c r="AT65" s="6" t="str">
        <f t="shared" si="1"/>
        <v>WorldCat Record</v>
      </c>
      <c r="AU65" s="3" t="s">
        <v>717</v>
      </c>
      <c r="AV65" s="3" t="s">
        <v>718</v>
      </c>
      <c r="AW65" s="3" t="s">
        <v>719</v>
      </c>
      <c r="AX65" s="3" t="s">
        <v>719</v>
      </c>
      <c r="AY65" s="3" t="s">
        <v>720</v>
      </c>
      <c r="AZ65" s="3" t="s">
        <v>73</v>
      </c>
      <c r="BC65" s="3" t="s">
        <v>767</v>
      </c>
      <c r="BD65" s="3" t="s">
        <v>768</v>
      </c>
    </row>
    <row r="66" spans="1:56" ht="31.5" customHeight="1" x14ac:dyDescent="0.25">
      <c r="A66" s="7" t="s">
        <v>58</v>
      </c>
      <c r="B66" s="2" t="s">
        <v>709</v>
      </c>
      <c r="C66" s="2" t="s">
        <v>710</v>
      </c>
      <c r="D66" s="2" t="s">
        <v>711</v>
      </c>
      <c r="E66" s="3" t="s">
        <v>769</v>
      </c>
      <c r="F66" s="3" t="s">
        <v>68</v>
      </c>
      <c r="G66" s="3" t="s">
        <v>59</v>
      </c>
      <c r="H66" s="3" t="s">
        <v>58</v>
      </c>
      <c r="I66" s="3" t="s">
        <v>58</v>
      </c>
      <c r="J66" s="3" t="s">
        <v>60</v>
      </c>
      <c r="K66" s="2" t="s">
        <v>713</v>
      </c>
      <c r="L66" s="2" t="s">
        <v>714</v>
      </c>
      <c r="M66" s="3" t="s">
        <v>715</v>
      </c>
      <c r="O66" s="3" t="s">
        <v>63</v>
      </c>
      <c r="P66" s="3" t="s">
        <v>186</v>
      </c>
      <c r="Q66" s="2" t="s">
        <v>716</v>
      </c>
      <c r="R66" s="3" t="s">
        <v>65</v>
      </c>
      <c r="S66" s="4">
        <v>0</v>
      </c>
      <c r="T66" s="4">
        <v>5</v>
      </c>
      <c r="V66" s="5" t="s">
        <v>66</v>
      </c>
      <c r="W66" s="5" t="s">
        <v>204</v>
      </c>
      <c r="X66" s="5" t="s">
        <v>204</v>
      </c>
      <c r="Y66" s="4">
        <v>206</v>
      </c>
      <c r="Z66" s="4">
        <v>180</v>
      </c>
      <c r="AA66" s="4">
        <v>192</v>
      </c>
      <c r="AB66" s="4">
        <v>1</v>
      </c>
      <c r="AC66" s="4">
        <v>1</v>
      </c>
      <c r="AD66" s="4">
        <v>9</v>
      </c>
      <c r="AE66" s="4">
        <v>9</v>
      </c>
      <c r="AF66" s="4">
        <v>3</v>
      </c>
      <c r="AG66" s="4">
        <v>3</v>
      </c>
      <c r="AH66" s="4">
        <v>2</v>
      </c>
      <c r="AI66" s="4">
        <v>2</v>
      </c>
      <c r="AJ66" s="4">
        <v>6</v>
      </c>
      <c r="AK66" s="4">
        <v>6</v>
      </c>
      <c r="AL66" s="4">
        <v>0</v>
      </c>
      <c r="AM66" s="4">
        <v>0</v>
      </c>
      <c r="AN66" s="4">
        <v>0</v>
      </c>
      <c r="AO66" s="4">
        <v>0</v>
      </c>
      <c r="AP66" s="3" t="s">
        <v>58</v>
      </c>
      <c r="AQ66" s="3" t="s">
        <v>58</v>
      </c>
      <c r="AS66" s="6" t="str">
        <f t="shared" si="0"/>
        <v>Catalog Record</v>
      </c>
      <c r="AT66" s="6" t="str">
        <f t="shared" si="1"/>
        <v>WorldCat Record</v>
      </c>
      <c r="AU66" s="3" t="s">
        <v>717</v>
      </c>
      <c r="AV66" s="3" t="s">
        <v>718</v>
      </c>
      <c r="AW66" s="3" t="s">
        <v>719</v>
      </c>
      <c r="AX66" s="3" t="s">
        <v>719</v>
      </c>
      <c r="AY66" s="3" t="s">
        <v>720</v>
      </c>
      <c r="AZ66" s="3" t="s">
        <v>73</v>
      </c>
      <c r="BC66" s="3" t="s">
        <v>770</v>
      </c>
      <c r="BD66" s="3" t="s">
        <v>771</v>
      </c>
    </row>
    <row r="67" spans="1:56" ht="31.5" customHeight="1" x14ac:dyDescent="0.25">
      <c r="A67" s="7" t="s">
        <v>58</v>
      </c>
      <c r="B67" s="2" t="s">
        <v>709</v>
      </c>
      <c r="C67" s="2" t="s">
        <v>710</v>
      </c>
      <c r="D67" s="2" t="s">
        <v>711</v>
      </c>
      <c r="E67" s="3" t="s">
        <v>529</v>
      </c>
      <c r="F67" s="3" t="s">
        <v>68</v>
      </c>
      <c r="G67" s="3" t="s">
        <v>59</v>
      </c>
      <c r="H67" s="3" t="s">
        <v>58</v>
      </c>
      <c r="I67" s="3" t="s">
        <v>58</v>
      </c>
      <c r="J67" s="3" t="s">
        <v>60</v>
      </c>
      <c r="K67" s="2" t="s">
        <v>713</v>
      </c>
      <c r="L67" s="2" t="s">
        <v>714</v>
      </c>
      <c r="M67" s="3" t="s">
        <v>715</v>
      </c>
      <c r="O67" s="3" t="s">
        <v>63</v>
      </c>
      <c r="P67" s="3" t="s">
        <v>186</v>
      </c>
      <c r="Q67" s="2" t="s">
        <v>716</v>
      </c>
      <c r="R67" s="3" t="s">
        <v>65</v>
      </c>
      <c r="S67" s="4">
        <v>0</v>
      </c>
      <c r="T67" s="4">
        <v>5</v>
      </c>
      <c r="V67" s="5" t="s">
        <v>66</v>
      </c>
      <c r="W67" s="5" t="s">
        <v>204</v>
      </c>
      <c r="X67" s="5" t="s">
        <v>204</v>
      </c>
      <c r="Y67" s="4">
        <v>206</v>
      </c>
      <c r="Z67" s="4">
        <v>180</v>
      </c>
      <c r="AA67" s="4">
        <v>192</v>
      </c>
      <c r="AB67" s="4">
        <v>1</v>
      </c>
      <c r="AC67" s="4">
        <v>1</v>
      </c>
      <c r="AD67" s="4">
        <v>9</v>
      </c>
      <c r="AE67" s="4">
        <v>9</v>
      </c>
      <c r="AF67" s="4">
        <v>3</v>
      </c>
      <c r="AG67" s="4">
        <v>3</v>
      </c>
      <c r="AH67" s="4">
        <v>2</v>
      </c>
      <c r="AI67" s="4">
        <v>2</v>
      </c>
      <c r="AJ67" s="4">
        <v>6</v>
      </c>
      <c r="AK67" s="4">
        <v>6</v>
      </c>
      <c r="AL67" s="4">
        <v>0</v>
      </c>
      <c r="AM67" s="4">
        <v>0</v>
      </c>
      <c r="AN67" s="4">
        <v>0</v>
      </c>
      <c r="AO67" s="4">
        <v>0</v>
      </c>
      <c r="AP67" s="3" t="s">
        <v>58</v>
      </c>
      <c r="AQ67" s="3" t="s">
        <v>58</v>
      </c>
      <c r="AS67" s="6" t="str">
        <f t="shared" si="0"/>
        <v>Catalog Record</v>
      </c>
      <c r="AT67" s="6" t="str">
        <f t="shared" si="1"/>
        <v>WorldCat Record</v>
      </c>
      <c r="AU67" s="3" t="s">
        <v>717</v>
      </c>
      <c r="AV67" s="3" t="s">
        <v>718</v>
      </c>
      <c r="AW67" s="3" t="s">
        <v>719</v>
      </c>
      <c r="AX67" s="3" t="s">
        <v>719</v>
      </c>
      <c r="AY67" s="3" t="s">
        <v>720</v>
      </c>
      <c r="AZ67" s="3" t="s">
        <v>73</v>
      </c>
      <c r="BC67" s="3" t="s">
        <v>772</v>
      </c>
      <c r="BD67" s="3" t="s">
        <v>773</v>
      </c>
    </row>
    <row r="68" spans="1:56" ht="31.5" customHeight="1" x14ac:dyDescent="0.25">
      <c r="A68" s="7" t="s">
        <v>58</v>
      </c>
      <c r="B68" s="2" t="s">
        <v>709</v>
      </c>
      <c r="C68" s="2" t="s">
        <v>710</v>
      </c>
      <c r="D68" s="2" t="s">
        <v>711</v>
      </c>
      <c r="E68" s="3" t="s">
        <v>774</v>
      </c>
      <c r="F68" s="3" t="s">
        <v>68</v>
      </c>
      <c r="G68" s="3" t="s">
        <v>59</v>
      </c>
      <c r="H68" s="3" t="s">
        <v>58</v>
      </c>
      <c r="I68" s="3" t="s">
        <v>58</v>
      </c>
      <c r="J68" s="3" t="s">
        <v>60</v>
      </c>
      <c r="K68" s="2" t="s">
        <v>713</v>
      </c>
      <c r="L68" s="2" t="s">
        <v>714</v>
      </c>
      <c r="M68" s="3" t="s">
        <v>715</v>
      </c>
      <c r="O68" s="3" t="s">
        <v>63</v>
      </c>
      <c r="P68" s="3" t="s">
        <v>186</v>
      </c>
      <c r="Q68" s="2" t="s">
        <v>716</v>
      </c>
      <c r="R68" s="3" t="s">
        <v>65</v>
      </c>
      <c r="S68" s="4">
        <v>4</v>
      </c>
      <c r="T68" s="4">
        <v>5</v>
      </c>
      <c r="U68" s="5" t="s">
        <v>66</v>
      </c>
      <c r="V68" s="5" t="s">
        <v>66</v>
      </c>
      <c r="W68" s="5" t="s">
        <v>204</v>
      </c>
      <c r="X68" s="5" t="s">
        <v>204</v>
      </c>
      <c r="Y68" s="4">
        <v>206</v>
      </c>
      <c r="Z68" s="4">
        <v>180</v>
      </c>
      <c r="AA68" s="4">
        <v>192</v>
      </c>
      <c r="AB68" s="4">
        <v>1</v>
      </c>
      <c r="AC68" s="4">
        <v>1</v>
      </c>
      <c r="AD68" s="4">
        <v>9</v>
      </c>
      <c r="AE68" s="4">
        <v>9</v>
      </c>
      <c r="AF68" s="4">
        <v>3</v>
      </c>
      <c r="AG68" s="4">
        <v>3</v>
      </c>
      <c r="AH68" s="4">
        <v>2</v>
      </c>
      <c r="AI68" s="4">
        <v>2</v>
      </c>
      <c r="AJ68" s="4">
        <v>6</v>
      </c>
      <c r="AK68" s="4">
        <v>6</v>
      </c>
      <c r="AL68" s="4">
        <v>0</v>
      </c>
      <c r="AM68" s="4">
        <v>0</v>
      </c>
      <c r="AN68" s="4">
        <v>0</v>
      </c>
      <c r="AO68" s="4">
        <v>0</v>
      </c>
      <c r="AP68" s="3" t="s">
        <v>58</v>
      </c>
      <c r="AQ68" s="3" t="s">
        <v>58</v>
      </c>
      <c r="AS68" s="6" t="str">
        <f t="shared" si="0"/>
        <v>Catalog Record</v>
      </c>
      <c r="AT68" s="6" t="str">
        <f t="shared" si="1"/>
        <v>WorldCat Record</v>
      </c>
      <c r="AU68" s="3" t="s">
        <v>717</v>
      </c>
      <c r="AV68" s="3" t="s">
        <v>718</v>
      </c>
      <c r="AW68" s="3" t="s">
        <v>719</v>
      </c>
      <c r="AX68" s="3" t="s">
        <v>719</v>
      </c>
      <c r="AY68" s="3" t="s">
        <v>720</v>
      </c>
      <c r="AZ68" s="3" t="s">
        <v>73</v>
      </c>
      <c r="BC68" s="3" t="s">
        <v>775</v>
      </c>
      <c r="BD68" s="3" t="s">
        <v>776</v>
      </c>
    </row>
    <row r="69" spans="1:56" ht="31.5" customHeight="1" x14ac:dyDescent="0.25">
      <c r="A69" s="7" t="s">
        <v>58</v>
      </c>
      <c r="B69" s="2" t="s">
        <v>709</v>
      </c>
      <c r="C69" s="2" t="s">
        <v>710</v>
      </c>
      <c r="D69" s="2" t="s">
        <v>711</v>
      </c>
      <c r="E69" s="3" t="s">
        <v>777</v>
      </c>
      <c r="F69" s="3" t="s">
        <v>68</v>
      </c>
      <c r="G69" s="3" t="s">
        <v>59</v>
      </c>
      <c r="H69" s="3" t="s">
        <v>58</v>
      </c>
      <c r="I69" s="3" t="s">
        <v>58</v>
      </c>
      <c r="J69" s="3" t="s">
        <v>60</v>
      </c>
      <c r="K69" s="2" t="s">
        <v>713</v>
      </c>
      <c r="L69" s="2" t="s">
        <v>714</v>
      </c>
      <c r="M69" s="3" t="s">
        <v>715</v>
      </c>
      <c r="O69" s="3" t="s">
        <v>63</v>
      </c>
      <c r="P69" s="3" t="s">
        <v>186</v>
      </c>
      <c r="Q69" s="2" t="s">
        <v>716</v>
      </c>
      <c r="R69" s="3" t="s">
        <v>65</v>
      </c>
      <c r="S69" s="4">
        <v>0</v>
      </c>
      <c r="T69" s="4">
        <v>5</v>
      </c>
      <c r="V69" s="5" t="s">
        <v>66</v>
      </c>
      <c r="W69" s="5" t="s">
        <v>204</v>
      </c>
      <c r="X69" s="5" t="s">
        <v>204</v>
      </c>
      <c r="Y69" s="4">
        <v>206</v>
      </c>
      <c r="Z69" s="4">
        <v>180</v>
      </c>
      <c r="AA69" s="4">
        <v>192</v>
      </c>
      <c r="AB69" s="4">
        <v>1</v>
      </c>
      <c r="AC69" s="4">
        <v>1</v>
      </c>
      <c r="AD69" s="4">
        <v>9</v>
      </c>
      <c r="AE69" s="4">
        <v>9</v>
      </c>
      <c r="AF69" s="4">
        <v>3</v>
      </c>
      <c r="AG69" s="4">
        <v>3</v>
      </c>
      <c r="AH69" s="4">
        <v>2</v>
      </c>
      <c r="AI69" s="4">
        <v>2</v>
      </c>
      <c r="AJ69" s="4">
        <v>6</v>
      </c>
      <c r="AK69" s="4">
        <v>6</v>
      </c>
      <c r="AL69" s="4">
        <v>0</v>
      </c>
      <c r="AM69" s="4">
        <v>0</v>
      </c>
      <c r="AN69" s="4">
        <v>0</v>
      </c>
      <c r="AO69" s="4">
        <v>0</v>
      </c>
      <c r="AP69" s="3" t="s">
        <v>58</v>
      </c>
      <c r="AQ69" s="3" t="s">
        <v>58</v>
      </c>
      <c r="AS69" s="6" t="str">
        <f t="shared" si="0"/>
        <v>Catalog Record</v>
      </c>
      <c r="AT69" s="6" t="str">
        <f t="shared" si="1"/>
        <v>WorldCat Record</v>
      </c>
      <c r="AU69" s="3" t="s">
        <v>717</v>
      </c>
      <c r="AV69" s="3" t="s">
        <v>718</v>
      </c>
      <c r="AW69" s="3" t="s">
        <v>719</v>
      </c>
      <c r="AX69" s="3" t="s">
        <v>719</v>
      </c>
      <c r="AY69" s="3" t="s">
        <v>720</v>
      </c>
      <c r="AZ69" s="3" t="s">
        <v>73</v>
      </c>
      <c r="BC69" s="3" t="s">
        <v>778</v>
      </c>
      <c r="BD69" s="3" t="s">
        <v>779</v>
      </c>
    </row>
    <row r="70" spans="1:56" ht="31.5" customHeight="1" x14ac:dyDescent="0.25">
      <c r="A70" s="7" t="s">
        <v>58</v>
      </c>
      <c r="B70" s="2" t="s">
        <v>709</v>
      </c>
      <c r="C70" s="2" t="s">
        <v>710</v>
      </c>
      <c r="D70" s="2" t="s">
        <v>711</v>
      </c>
      <c r="E70" s="3" t="s">
        <v>780</v>
      </c>
      <c r="F70" s="3" t="s">
        <v>68</v>
      </c>
      <c r="G70" s="3" t="s">
        <v>59</v>
      </c>
      <c r="H70" s="3" t="s">
        <v>58</v>
      </c>
      <c r="I70" s="3" t="s">
        <v>58</v>
      </c>
      <c r="J70" s="3" t="s">
        <v>60</v>
      </c>
      <c r="K70" s="2" t="s">
        <v>713</v>
      </c>
      <c r="L70" s="2" t="s">
        <v>714</v>
      </c>
      <c r="M70" s="3" t="s">
        <v>715</v>
      </c>
      <c r="O70" s="3" t="s">
        <v>63</v>
      </c>
      <c r="P70" s="3" t="s">
        <v>186</v>
      </c>
      <c r="Q70" s="2" t="s">
        <v>716</v>
      </c>
      <c r="R70" s="3" t="s">
        <v>65</v>
      </c>
      <c r="S70" s="4">
        <v>0</v>
      </c>
      <c r="T70" s="4">
        <v>5</v>
      </c>
      <c r="V70" s="5" t="s">
        <v>66</v>
      </c>
      <c r="W70" s="5" t="s">
        <v>204</v>
      </c>
      <c r="X70" s="5" t="s">
        <v>204</v>
      </c>
      <c r="Y70" s="4">
        <v>206</v>
      </c>
      <c r="Z70" s="4">
        <v>180</v>
      </c>
      <c r="AA70" s="4">
        <v>192</v>
      </c>
      <c r="AB70" s="4">
        <v>1</v>
      </c>
      <c r="AC70" s="4">
        <v>1</v>
      </c>
      <c r="AD70" s="4">
        <v>9</v>
      </c>
      <c r="AE70" s="4">
        <v>9</v>
      </c>
      <c r="AF70" s="4">
        <v>3</v>
      </c>
      <c r="AG70" s="4">
        <v>3</v>
      </c>
      <c r="AH70" s="4">
        <v>2</v>
      </c>
      <c r="AI70" s="4">
        <v>2</v>
      </c>
      <c r="AJ70" s="4">
        <v>6</v>
      </c>
      <c r="AK70" s="4">
        <v>6</v>
      </c>
      <c r="AL70" s="4">
        <v>0</v>
      </c>
      <c r="AM70" s="4">
        <v>0</v>
      </c>
      <c r="AN70" s="4">
        <v>0</v>
      </c>
      <c r="AO70" s="4">
        <v>0</v>
      </c>
      <c r="AP70" s="3" t="s">
        <v>58</v>
      </c>
      <c r="AQ70" s="3" t="s">
        <v>58</v>
      </c>
      <c r="AS70" s="6" t="str">
        <f t="shared" si="0"/>
        <v>Catalog Record</v>
      </c>
      <c r="AT70" s="6" t="str">
        <f t="shared" si="1"/>
        <v>WorldCat Record</v>
      </c>
      <c r="AU70" s="3" t="s">
        <v>717</v>
      </c>
      <c r="AV70" s="3" t="s">
        <v>718</v>
      </c>
      <c r="AW70" s="3" t="s">
        <v>719</v>
      </c>
      <c r="AX70" s="3" t="s">
        <v>719</v>
      </c>
      <c r="AY70" s="3" t="s">
        <v>720</v>
      </c>
      <c r="AZ70" s="3" t="s">
        <v>73</v>
      </c>
      <c r="BC70" s="3" t="s">
        <v>781</v>
      </c>
      <c r="BD70" s="3" t="s">
        <v>782</v>
      </c>
    </row>
    <row r="71" spans="1:56" ht="31.5" customHeight="1" x14ac:dyDescent="0.25">
      <c r="A71" s="7" t="s">
        <v>58</v>
      </c>
      <c r="B71" s="2" t="s">
        <v>709</v>
      </c>
      <c r="C71" s="2" t="s">
        <v>710</v>
      </c>
      <c r="D71" s="2" t="s">
        <v>711</v>
      </c>
      <c r="E71" s="3" t="s">
        <v>783</v>
      </c>
      <c r="F71" s="3" t="s">
        <v>68</v>
      </c>
      <c r="G71" s="3" t="s">
        <v>59</v>
      </c>
      <c r="H71" s="3" t="s">
        <v>58</v>
      </c>
      <c r="I71" s="3" t="s">
        <v>58</v>
      </c>
      <c r="J71" s="3" t="s">
        <v>60</v>
      </c>
      <c r="K71" s="2" t="s">
        <v>713</v>
      </c>
      <c r="L71" s="2" t="s">
        <v>714</v>
      </c>
      <c r="M71" s="3" t="s">
        <v>715</v>
      </c>
      <c r="O71" s="3" t="s">
        <v>63</v>
      </c>
      <c r="P71" s="3" t="s">
        <v>186</v>
      </c>
      <c r="Q71" s="2" t="s">
        <v>716</v>
      </c>
      <c r="R71" s="3" t="s">
        <v>65</v>
      </c>
      <c r="S71" s="4">
        <v>0</v>
      </c>
      <c r="T71" s="4">
        <v>5</v>
      </c>
      <c r="V71" s="5" t="s">
        <v>66</v>
      </c>
      <c r="W71" s="5" t="s">
        <v>204</v>
      </c>
      <c r="X71" s="5" t="s">
        <v>204</v>
      </c>
      <c r="Y71" s="4">
        <v>206</v>
      </c>
      <c r="Z71" s="4">
        <v>180</v>
      </c>
      <c r="AA71" s="4">
        <v>192</v>
      </c>
      <c r="AB71" s="4">
        <v>1</v>
      </c>
      <c r="AC71" s="4">
        <v>1</v>
      </c>
      <c r="AD71" s="4">
        <v>9</v>
      </c>
      <c r="AE71" s="4">
        <v>9</v>
      </c>
      <c r="AF71" s="4">
        <v>3</v>
      </c>
      <c r="AG71" s="4">
        <v>3</v>
      </c>
      <c r="AH71" s="4">
        <v>2</v>
      </c>
      <c r="AI71" s="4">
        <v>2</v>
      </c>
      <c r="AJ71" s="4">
        <v>6</v>
      </c>
      <c r="AK71" s="4">
        <v>6</v>
      </c>
      <c r="AL71" s="4">
        <v>0</v>
      </c>
      <c r="AM71" s="4">
        <v>0</v>
      </c>
      <c r="AN71" s="4">
        <v>0</v>
      </c>
      <c r="AO71" s="4">
        <v>0</v>
      </c>
      <c r="AP71" s="3" t="s">
        <v>58</v>
      </c>
      <c r="AQ71" s="3" t="s">
        <v>58</v>
      </c>
      <c r="AS71" s="6" t="str">
        <f t="shared" si="0"/>
        <v>Catalog Record</v>
      </c>
      <c r="AT71" s="6" t="str">
        <f t="shared" si="1"/>
        <v>WorldCat Record</v>
      </c>
      <c r="AU71" s="3" t="s">
        <v>717</v>
      </c>
      <c r="AV71" s="3" t="s">
        <v>718</v>
      </c>
      <c r="AW71" s="3" t="s">
        <v>719</v>
      </c>
      <c r="AX71" s="3" t="s">
        <v>719</v>
      </c>
      <c r="AY71" s="3" t="s">
        <v>720</v>
      </c>
      <c r="AZ71" s="3" t="s">
        <v>73</v>
      </c>
      <c r="BC71" s="3" t="s">
        <v>784</v>
      </c>
      <c r="BD71" s="3" t="s">
        <v>785</v>
      </c>
    </row>
    <row r="72" spans="1:56" ht="31.5" customHeight="1" x14ac:dyDescent="0.25">
      <c r="A72" s="7" t="s">
        <v>58</v>
      </c>
      <c r="B72" s="2" t="s">
        <v>709</v>
      </c>
      <c r="C72" s="2" t="s">
        <v>710</v>
      </c>
      <c r="D72" s="2" t="s">
        <v>711</v>
      </c>
      <c r="E72" s="3" t="s">
        <v>786</v>
      </c>
      <c r="F72" s="3" t="s">
        <v>68</v>
      </c>
      <c r="G72" s="3" t="s">
        <v>59</v>
      </c>
      <c r="H72" s="3" t="s">
        <v>58</v>
      </c>
      <c r="I72" s="3" t="s">
        <v>58</v>
      </c>
      <c r="J72" s="3" t="s">
        <v>60</v>
      </c>
      <c r="K72" s="2" t="s">
        <v>713</v>
      </c>
      <c r="L72" s="2" t="s">
        <v>714</v>
      </c>
      <c r="M72" s="3" t="s">
        <v>715</v>
      </c>
      <c r="O72" s="3" t="s">
        <v>63</v>
      </c>
      <c r="P72" s="3" t="s">
        <v>186</v>
      </c>
      <c r="Q72" s="2" t="s">
        <v>716</v>
      </c>
      <c r="R72" s="3" t="s">
        <v>65</v>
      </c>
      <c r="S72" s="4">
        <v>0</v>
      </c>
      <c r="T72" s="4">
        <v>5</v>
      </c>
      <c r="V72" s="5" t="s">
        <v>66</v>
      </c>
      <c r="W72" s="5" t="s">
        <v>204</v>
      </c>
      <c r="X72" s="5" t="s">
        <v>204</v>
      </c>
      <c r="Y72" s="4">
        <v>206</v>
      </c>
      <c r="Z72" s="4">
        <v>180</v>
      </c>
      <c r="AA72" s="4">
        <v>192</v>
      </c>
      <c r="AB72" s="4">
        <v>1</v>
      </c>
      <c r="AC72" s="4">
        <v>1</v>
      </c>
      <c r="AD72" s="4">
        <v>9</v>
      </c>
      <c r="AE72" s="4">
        <v>9</v>
      </c>
      <c r="AF72" s="4">
        <v>3</v>
      </c>
      <c r="AG72" s="4">
        <v>3</v>
      </c>
      <c r="AH72" s="4">
        <v>2</v>
      </c>
      <c r="AI72" s="4">
        <v>2</v>
      </c>
      <c r="AJ72" s="4">
        <v>6</v>
      </c>
      <c r="AK72" s="4">
        <v>6</v>
      </c>
      <c r="AL72" s="4">
        <v>0</v>
      </c>
      <c r="AM72" s="4">
        <v>0</v>
      </c>
      <c r="AN72" s="4">
        <v>0</v>
      </c>
      <c r="AO72" s="4">
        <v>0</v>
      </c>
      <c r="AP72" s="3" t="s">
        <v>58</v>
      </c>
      <c r="AQ72" s="3" t="s">
        <v>58</v>
      </c>
      <c r="AS72" s="6" t="str">
        <f t="shared" si="0"/>
        <v>Catalog Record</v>
      </c>
      <c r="AT72" s="6" t="str">
        <f t="shared" si="1"/>
        <v>WorldCat Record</v>
      </c>
      <c r="AU72" s="3" t="s">
        <v>717</v>
      </c>
      <c r="AV72" s="3" t="s">
        <v>718</v>
      </c>
      <c r="AW72" s="3" t="s">
        <v>719</v>
      </c>
      <c r="AX72" s="3" t="s">
        <v>719</v>
      </c>
      <c r="AY72" s="3" t="s">
        <v>720</v>
      </c>
      <c r="AZ72" s="3" t="s">
        <v>73</v>
      </c>
      <c r="BC72" s="3" t="s">
        <v>787</v>
      </c>
      <c r="BD72" s="3" t="s">
        <v>788</v>
      </c>
    </row>
    <row r="73" spans="1:56" ht="31.5" customHeight="1" x14ac:dyDescent="0.25">
      <c r="A73" s="7" t="s">
        <v>58</v>
      </c>
      <c r="B73" s="2" t="s">
        <v>789</v>
      </c>
      <c r="C73" s="2" t="s">
        <v>790</v>
      </c>
      <c r="D73" s="2" t="s">
        <v>791</v>
      </c>
      <c r="E73" s="3" t="s">
        <v>792</v>
      </c>
      <c r="F73" s="3" t="s">
        <v>68</v>
      </c>
      <c r="G73" s="3" t="s">
        <v>59</v>
      </c>
      <c r="H73" s="3" t="s">
        <v>58</v>
      </c>
      <c r="I73" s="3" t="s">
        <v>58</v>
      </c>
      <c r="J73" s="3" t="s">
        <v>60</v>
      </c>
      <c r="K73" s="2" t="s">
        <v>793</v>
      </c>
      <c r="L73" s="2" t="s">
        <v>794</v>
      </c>
      <c r="M73" s="3" t="s">
        <v>795</v>
      </c>
      <c r="O73" s="3" t="s">
        <v>63</v>
      </c>
      <c r="P73" s="3" t="s">
        <v>796</v>
      </c>
      <c r="R73" s="3" t="s">
        <v>65</v>
      </c>
      <c r="S73" s="4">
        <v>0</v>
      </c>
      <c r="T73" s="4">
        <v>2</v>
      </c>
      <c r="V73" s="5" t="s">
        <v>797</v>
      </c>
      <c r="W73" s="5" t="s">
        <v>418</v>
      </c>
      <c r="X73" s="5" t="s">
        <v>418</v>
      </c>
      <c r="Y73" s="4">
        <v>183</v>
      </c>
      <c r="Z73" s="4">
        <v>124</v>
      </c>
      <c r="AA73" s="4">
        <v>201</v>
      </c>
      <c r="AB73" s="4">
        <v>1</v>
      </c>
      <c r="AC73" s="4">
        <v>3</v>
      </c>
      <c r="AD73" s="4">
        <v>2</v>
      </c>
      <c r="AE73" s="4">
        <v>12</v>
      </c>
      <c r="AF73" s="4">
        <v>0</v>
      </c>
      <c r="AG73" s="4">
        <v>3</v>
      </c>
      <c r="AH73" s="4">
        <v>1</v>
      </c>
      <c r="AI73" s="4">
        <v>3</v>
      </c>
      <c r="AJ73" s="4">
        <v>2</v>
      </c>
      <c r="AK73" s="4">
        <v>6</v>
      </c>
      <c r="AL73" s="4">
        <v>0</v>
      </c>
      <c r="AM73" s="4">
        <v>2</v>
      </c>
      <c r="AN73" s="4">
        <v>0</v>
      </c>
      <c r="AO73" s="4">
        <v>1</v>
      </c>
      <c r="AP73" s="3" t="s">
        <v>68</v>
      </c>
      <c r="AQ73" s="3" t="s">
        <v>58</v>
      </c>
      <c r="AR73" s="6" t="str">
        <f>HYPERLINK("http://catalog.hathitrust.org/Record/001475251","HathiTrust Record")</f>
        <v>HathiTrust Record</v>
      </c>
      <c r="AS73" s="6" t="str">
        <f>HYPERLINK("https://creighton-primo.hosted.exlibrisgroup.com/primo-explore/search?tab=default_tab&amp;search_scope=EVERYTHING&amp;vid=01CRU&amp;lang=en_US&amp;offset=0&amp;query=any,contains,991003302289702656","Catalog Record")</f>
        <v>Catalog Record</v>
      </c>
      <c r="AT73" s="6" t="str">
        <f>HYPERLINK("http://www.worldcat.org/oclc/825366","WorldCat Record")</f>
        <v>WorldCat Record</v>
      </c>
      <c r="AU73" s="3" t="s">
        <v>798</v>
      </c>
      <c r="AV73" s="3" t="s">
        <v>799</v>
      </c>
      <c r="AW73" s="3" t="s">
        <v>800</v>
      </c>
      <c r="AX73" s="3" t="s">
        <v>800</v>
      </c>
      <c r="AY73" s="3" t="s">
        <v>801</v>
      </c>
      <c r="AZ73" s="3" t="s">
        <v>73</v>
      </c>
      <c r="BC73" s="3" t="s">
        <v>802</v>
      </c>
      <c r="BD73" s="3" t="s">
        <v>803</v>
      </c>
    </row>
    <row r="74" spans="1:56" ht="31.5" customHeight="1" x14ac:dyDescent="0.25">
      <c r="A74" s="7" t="s">
        <v>58</v>
      </c>
      <c r="B74" s="2" t="s">
        <v>789</v>
      </c>
      <c r="C74" s="2" t="s">
        <v>790</v>
      </c>
      <c r="D74" s="2" t="s">
        <v>791</v>
      </c>
      <c r="E74" s="3" t="s">
        <v>804</v>
      </c>
      <c r="F74" s="3" t="s">
        <v>68</v>
      </c>
      <c r="G74" s="3" t="s">
        <v>59</v>
      </c>
      <c r="H74" s="3" t="s">
        <v>58</v>
      </c>
      <c r="I74" s="3" t="s">
        <v>58</v>
      </c>
      <c r="J74" s="3" t="s">
        <v>60</v>
      </c>
      <c r="K74" s="2" t="s">
        <v>793</v>
      </c>
      <c r="L74" s="2" t="s">
        <v>794</v>
      </c>
      <c r="M74" s="3" t="s">
        <v>795</v>
      </c>
      <c r="O74" s="3" t="s">
        <v>63</v>
      </c>
      <c r="P74" s="3" t="s">
        <v>796</v>
      </c>
      <c r="R74" s="3" t="s">
        <v>65</v>
      </c>
      <c r="S74" s="4">
        <v>0</v>
      </c>
      <c r="T74" s="4">
        <v>2</v>
      </c>
      <c r="V74" s="5" t="s">
        <v>797</v>
      </c>
      <c r="W74" s="5" t="s">
        <v>418</v>
      </c>
      <c r="X74" s="5" t="s">
        <v>418</v>
      </c>
      <c r="Y74" s="4">
        <v>183</v>
      </c>
      <c r="Z74" s="4">
        <v>124</v>
      </c>
      <c r="AA74" s="4">
        <v>201</v>
      </c>
      <c r="AB74" s="4">
        <v>1</v>
      </c>
      <c r="AC74" s="4">
        <v>3</v>
      </c>
      <c r="AD74" s="4">
        <v>2</v>
      </c>
      <c r="AE74" s="4">
        <v>12</v>
      </c>
      <c r="AF74" s="4">
        <v>0</v>
      </c>
      <c r="AG74" s="4">
        <v>3</v>
      </c>
      <c r="AH74" s="4">
        <v>1</v>
      </c>
      <c r="AI74" s="4">
        <v>3</v>
      </c>
      <c r="AJ74" s="4">
        <v>2</v>
      </c>
      <c r="AK74" s="4">
        <v>6</v>
      </c>
      <c r="AL74" s="4">
        <v>0</v>
      </c>
      <c r="AM74" s="4">
        <v>2</v>
      </c>
      <c r="AN74" s="4">
        <v>0</v>
      </c>
      <c r="AO74" s="4">
        <v>1</v>
      </c>
      <c r="AP74" s="3" t="s">
        <v>68</v>
      </c>
      <c r="AQ74" s="3" t="s">
        <v>58</v>
      </c>
      <c r="AR74" s="6" t="str">
        <f>HYPERLINK("http://catalog.hathitrust.org/Record/001475251","HathiTrust Record")</f>
        <v>HathiTrust Record</v>
      </c>
      <c r="AS74" s="6" t="str">
        <f>HYPERLINK("https://creighton-primo.hosted.exlibrisgroup.com/primo-explore/search?tab=default_tab&amp;search_scope=EVERYTHING&amp;vid=01CRU&amp;lang=en_US&amp;offset=0&amp;query=any,contains,991003302289702656","Catalog Record")</f>
        <v>Catalog Record</v>
      </c>
      <c r="AT74" s="6" t="str">
        <f>HYPERLINK("http://www.worldcat.org/oclc/825366","WorldCat Record")</f>
        <v>WorldCat Record</v>
      </c>
      <c r="AU74" s="3" t="s">
        <v>798</v>
      </c>
      <c r="AV74" s="3" t="s">
        <v>799</v>
      </c>
      <c r="AW74" s="3" t="s">
        <v>800</v>
      </c>
      <c r="AX74" s="3" t="s">
        <v>800</v>
      </c>
      <c r="AY74" s="3" t="s">
        <v>801</v>
      </c>
      <c r="AZ74" s="3" t="s">
        <v>73</v>
      </c>
      <c r="BC74" s="3" t="s">
        <v>805</v>
      </c>
      <c r="BD74" s="3" t="s">
        <v>806</v>
      </c>
    </row>
    <row r="75" spans="1:56" ht="31.5" customHeight="1" x14ac:dyDescent="0.25">
      <c r="A75" s="7" t="s">
        <v>58</v>
      </c>
      <c r="B75" s="2" t="s">
        <v>789</v>
      </c>
      <c r="C75" s="2" t="s">
        <v>790</v>
      </c>
      <c r="D75" s="2" t="s">
        <v>791</v>
      </c>
      <c r="E75" s="3" t="s">
        <v>807</v>
      </c>
      <c r="F75" s="3" t="s">
        <v>68</v>
      </c>
      <c r="G75" s="3" t="s">
        <v>59</v>
      </c>
      <c r="H75" s="3" t="s">
        <v>58</v>
      </c>
      <c r="I75" s="3" t="s">
        <v>58</v>
      </c>
      <c r="J75" s="3" t="s">
        <v>60</v>
      </c>
      <c r="K75" s="2" t="s">
        <v>793</v>
      </c>
      <c r="L75" s="2" t="s">
        <v>794</v>
      </c>
      <c r="M75" s="3" t="s">
        <v>795</v>
      </c>
      <c r="O75" s="3" t="s">
        <v>63</v>
      </c>
      <c r="P75" s="3" t="s">
        <v>796</v>
      </c>
      <c r="R75" s="3" t="s">
        <v>65</v>
      </c>
      <c r="S75" s="4">
        <v>1</v>
      </c>
      <c r="T75" s="4">
        <v>2</v>
      </c>
      <c r="U75" s="5" t="s">
        <v>797</v>
      </c>
      <c r="V75" s="5" t="s">
        <v>797</v>
      </c>
      <c r="W75" s="5" t="s">
        <v>418</v>
      </c>
      <c r="X75" s="5" t="s">
        <v>418</v>
      </c>
      <c r="Y75" s="4">
        <v>183</v>
      </c>
      <c r="Z75" s="4">
        <v>124</v>
      </c>
      <c r="AA75" s="4">
        <v>201</v>
      </c>
      <c r="AB75" s="4">
        <v>1</v>
      </c>
      <c r="AC75" s="4">
        <v>3</v>
      </c>
      <c r="AD75" s="4">
        <v>2</v>
      </c>
      <c r="AE75" s="4">
        <v>12</v>
      </c>
      <c r="AF75" s="4">
        <v>0</v>
      </c>
      <c r="AG75" s="4">
        <v>3</v>
      </c>
      <c r="AH75" s="4">
        <v>1</v>
      </c>
      <c r="AI75" s="4">
        <v>3</v>
      </c>
      <c r="AJ75" s="4">
        <v>2</v>
      </c>
      <c r="AK75" s="4">
        <v>6</v>
      </c>
      <c r="AL75" s="4">
        <v>0</v>
      </c>
      <c r="AM75" s="4">
        <v>2</v>
      </c>
      <c r="AN75" s="4">
        <v>0</v>
      </c>
      <c r="AO75" s="4">
        <v>1</v>
      </c>
      <c r="AP75" s="3" t="s">
        <v>68</v>
      </c>
      <c r="AQ75" s="3" t="s">
        <v>58</v>
      </c>
      <c r="AR75" s="6" t="str">
        <f>HYPERLINK("http://catalog.hathitrust.org/Record/001475251","HathiTrust Record")</f>
        <v>HathiTrust Record</v>
      </c>
      <c r="AS75" s="6" t="str">
        <f>HYPERLINK("https://creighton-primo.hosted.exlibrisgroup.com/primo-explore/search?tab=default_tab&amp;search_scope=EVERYTHING&amp;vid=01CRU&amp;lang=en_US&amp;offset=0&amp;query=any,contains,991003302289702656","Catalog Record")</f>
        <v>Catalog Record</v>
      </c>
      <c r="AT75" s="6" t="str">
        <f>HYPERLINK("http://www.worldcat.org/oclc/825366","WorldCat Record")</f>
        <v>WorldCat Record</v>
      </c>
      <c r="AU75" s="3" t="s">
        <v>798</v>
      </c>
      <c r="AV75" s="3" t="s">
        <v>799</v>
      </c>
      <c r="AW75" s="3" t="s">
        <v>800</v>
      </c>
      <c r="AX75" s="3" t="s">
        <v>800</v>
      </c>
      <c r="AY75" s="3" t="s">
        <v>801</v>
      </c>
      <c r="AZ75" s="3" t="s">
        <v>73</v>
      </c>
      <c r="BC75" s="3" t="s">
        <v>808</v>
      </c>
      <c r="BD75" s="3" t="s">
        <v>809</v>
      </c>
    </row>
    <row r="76" spans="1:56" ht="31.5" customHeight="1" x14ac:dyDescent="0.25">
      <c r="A76" s="7" t="s">
        <v>58</v>
      </c>
      <c r="B76" s="2" t="s">
        <v>789</v>
      </c>
      <c r="C76" s="2" t="s">
        <v>790</v>
      </c>
      <c r="D76" s="2" t="s">
        <v>791</v>
      </c>
      <c r="E76" s="3" t="s">
        <v>810</v>
      </c>
      <c r="F76" s="3" t="s">
        <v>68</v>
      </c>
      <c r="G76" s="3" t="s">
        <v>59</v>
      </c>
      <c r="H76" s="3" t="s">
        <v>58</v>
      </c>
      <c r="I76" s="3" t="s">
        <v>58</v>
      </c>
      <c r="J76" s="3" t="s">
        <v>60</v>
      </c>
      <c r="K76" s="2" t="s">
        <v>793</v>
      </c>
      <c r="L76" s="2" t="s">
        <v>794</v>
      </c>
      <c r="M76" s="3" t="s">
        <v>795</v>
      </c>
      <c r="O76" s="3" t="s">
        <v>63</v>
      </c>
      <c r="P76" s="3" t="s">
        <v>796</v>
      </c>
      <c r="R76" s="3" t="s">
        <v>65</v>
      </c>
      <c r="S76" s="4">
        <v>0</v>
      </c>
      <c r="T76" s="4">
        <v>2</v>
      </c>
      <c r="V76" s="5" t="s">
        <v>797</v>
      </c>
      <c r="W76" s="5" t="s">
        <v>418</v>
      </c>
      <c r="X76" s="5" t="s">
        <v>418</v>
      </c>
      <c r="Y76" s="4">
        <v>183</v>
      </c>
      <c r="Z76" s="4">
        <v>124</v>
      </c>
      <c r="AA76" s="4">
        <v>201</v>
      </c>
      <c r="AB76" s="4">
        <v>1</v>
      </c>
      <c r="AC76" s="4">
        <v>3</v>
      </c>
      <c r="AD76" s="4">
        <v>2</v>
      </c>
      <c r="AE76" s="4">
        <v>12</v>
      </c>
      <c r="AF76" s="4">
        <v>0</v>
      </c>
      <c r="AG76" s="4">
        <v>3</v>
      </c>
      <c r="AH76" s="4">
        <v>1</v>
      </c>
      <c r="AI76" s="4">
        <v>3</v>
      </c>
      <c r="AJ76" s="4">
        <v>2</v>
      </c>
      <c r="AK76" s="4">
        <v>6</v>
      </c>
      <c r="AL76" s="4">
        <v>0</v>
      </c>
      <c r="AM76" s="4">
        <v>2</v>
      </c>
      <c r="AN76" s="4">
        <v>0</v>
      </c>
      <c r="AO76" s="4">
        <v>1</v>
      </c>
      <c r="AP76" s="3" t="s">
        <v>68</v>
      </c>
      <c r="AQ76" s="3" t="s">
        <v>58</v>
      </c>
      <c r="AR76" s="6" t="str">
        <f>HYPERLINK("http://catalog.hathitrust.org/Record/001475251","HathiTrust Record")</f>
        <v>HathiTrust Record</v>
      </c>
      <c r="AS76" s="6" t="str">
        <f>HYPERLINK("https://creighton-primo.hosted.exlibrisgroup.com/primo-explore/search?tab=default_tab&amp;search_scope=EVERYTHING&amp;vid=01CRU&amp;lang=en_US&amp;offset=0&amp;query=any,contains,991003302289702656","Catalog Record")</f>
        <v>Catalog Record</v>
      </c>
      <c r="AT76" s="6" t="str">
        <f>HYPERLINK("http://www.worldcat.org/oclc/825366","WorldCat Record")</f>
        <v>WorldCat Record</v>
      </c>
      <c r="AU76" s="3" t="s">
        <v>798</v>
      </c>
      <c r="AV76" s="3" t="s">
        <v>799</v>
      </c>
      <c r="AW76" s="3" t="s">
        <v>800</v>
      </c>
      <c r="AX76" s="3" t="s">
        <v>800</v>
      </c>
      <c r="AY76" s="3" t="s">
        <v>801</v>
      </c>
      <c r="AZ76" s="3" t="s">
        <v>73</v>
      </c>
      <c r="BC76" s="3" t="s">
        <v>811</v>
      </c>
      <c r="BD76" s="3" t="s">
        <v>812</v>
      </c>
    </row>
    <row r="77" spans="1:56" ht="31.5" customHeight="1" x14ac:dyDescent="0.25">
      <c r="A77" s="7" t="s">
        <v>58</v>
      </c>
      <c r="B77" s="2" t="s">
        <v>789</v>
      </c>
      <c r="C77" s="2" t="s">
        <v>790</v>
      </c>
      <c r="D77" s="2" t="s">
        <v>791</v>
      </c>
      <c r="E77" s="3" t="s">
        <v>813</v>
      </c>
      <c r="F77" s="3" t="s">
        <v>68</v>
      </c>
      <c r="G77" s="3" t="s">
        <v>59</v>
      </c>
      <c r="H77" s="3" t="s">
        <v>58</v>
      </c>
      <c r="I77" s="3" t="s">
        <v>58</v>
      </c>
      <c r="J77" s="3" t="s">
        <v>60</v>
      </c>
      <c r="K77" s="2" t="s">
        <v>793</v>
      </c>
      <c r="L77" s="2" t="s">
        <v>794</v>
      </c>
      <c r="M77" s="3" t="s">
        <v>795</v>
      </c>
      <c r="O77" s="3" t="s">
        <v>63</v>
      </c>
      <c r="P77" s="3" t="s">
        <v>796</v>
      </c>
      <c r="R77" s="3" t="s">
        <v>65</v>
      </c>
      <c r="S77" s="4">
        <v>1</v>
      </c>
      <c r="T77" s="4">
        <v>2</v>
      </c>
      <c r="U77" s="5" t="s">
        <v>797</v>
      </c>
      <c r="V77" s="5" t="s">
        <v>797</v>
      </c>
      <c r="W77" s="5" t="s">
        <v>418</v>
      </c>
      <c r="X77" s="5" t="s">
        <v>418</v>
      </c>
      <c r="Y77" s="4">
        <v>183</v>
      </c>
      <c r="Z77" s="4">
        <v>124</v>
      </c>
      <c r="AA77" s="4">
        <v>201</v>
      </c>
      <c r="AB77" s="4">
        <v>1</v>
      </c>
      <c r="AC77" s="4">
        <v>3</v>
      </c>
      <c r="AD77" s="4">
        <v>2</v>
      </c>
      <c r="AE77" s="4">
        <v>12</v>
      </c>
      <c r="AF77" s="4">
        <v>0</v>
      </c>
      <c r="AG77" s="4">
        <v>3</v>
      </c>
      <c r="AH77" s="4">
        <v>1</v>
      </c>
      <c r="AI77" s="4">
        <v>3</v>
      </c>
      <c r="AJ77" s="4">
        <v>2</v>
      </c>
      <c r="AK77" s="4">
        <v>6</v>
      </c>
      <c r="AL77" s="4">
        <v>0</v>
      </c>
      <c r="AM77" s="4">
        <v>2</v>
      </c>
      <c r="AN77" s="4">
        <v>0</v>
      </c>
      <c r="AO77" s="4">
        <v>1</v>
      </c>
      <c r="AP77" s="3" t="s">
        <v>68</v>
      </c>
      <c r="AQ77" s="3" t="s">
        <v>58</v>
      </c>
      <c r="AR77" s="6" t="str">
        <f>HYPERLINK("http://catalog.hathitrust.org/Record/001475251","HathiTrust Record")</f>
        <v>HathiTrust Record</v>
      </c>
      <c r="AS77" s="6" t="str">
        <f>HYPERLINK("https://creighton-primo.hosted.exlibrisgroup.com/primo-explore/search?tab=default_tab&amp;search_scope=EVERYTHING&amp;vid=01CRU&amp;lang=en_US&amp;offset=0&amp;query=any,contains,991003302289702656","Catalog Record")</f>
        <v>Catalog Record</v>
      </c>
      <c r="AT77" s="6" t="str">
        <f>HYPERLINK("http://www.worldcat.org/oclc/825366","WorldCat Record")</f>
        <v>WorldCat Record</v>
      </c>
      <c r="AU77" s="3" t="s">
        <v>798</v>
      </c>
      <c r="AV77" s="3" t="s">
        <v>799</v>
      </c>
      <c r="AW77" s="3" t="s">
        <v>800</v>
      </c>
      <c r="AX77" s="3" t="s">
        <v>800</v>
      </c>
      <c r="AY77" s="3" t="s">
        <v>801</v>
      </c>
      <c r="AZ77" s="3" t="s">
        <v>73</v>
      </c>
      <c r="BC77" s="3" t="s">
        <v>814</v>
      </c>
      <c r="BD77" s="3" t="s">
        <v>815</v>
      </c>
    </row>
    <row r="78" spans="1:56" ht="31.5" customHeight="1" x14ac:dyDescent="0.25">
      <c r="A78" s="7" t="s">
        <v>58</v>
      </c>
      <c r="B78" s="2" t="s">
        <v>816</v>
      </c>
      <c r="C78" s="2" t="s">
        <v>817</v>
      </c>
      <c r="D78" s="2" t="s">
        <v>818</v>
      </c>
      <c r="F78" s="3" t="s">
        <v>58</v>
      </c>
      <c r="G78" s="3" t="s">
        <v>59</v>
      </c>
      <c r="H78" s="3" t="s">
        <v>58</v>
      </c>
      <c r="I78" s="3" t="s">
        <v>58</v>
      </c>
      <c r="J78" s="3" t="s">
        <v>60</v>
      </c>
      <c r="K78" s="2" t="s">
        <v>819</v>
      </c>
      <c r="L78" s="2" t="s">
        <v>820</v>
      </c>
      <c r="M78" s="3" t="s">
        <v>821</v>
      </c>
      <c r="N78" s="2" t="s">
        <v>822</v>
      </c>
      <c r="O78" s="3" t="s">
        <v>63</v>
      </c>
      <c r="P78" s="3" t="s">
        <v>64</v>
      </c>
      <c r="R78" s="3" t="s">
        <v>65</v>
      </c>
      <c r="S78" s="4">
        <v>4</v>
      </c>
      <c r="T78" s="4">
        <v>4</v>
      </c>
      <c r="U78" s="5" t="s">
        <v>231</v>
      </c>
      <c r="V78" s="5" t="s">
        <v>231</v>
      </c>
      <c r="W78" s="5" t="s">
        <v>204</v>
      </c>
      <c r="X78" s="5" t="s">
        <v>204</v>
      </c>
      <c r="Y78" s="4">
        <v>94</v>
      </c>
      <c r="Z78" s="4">
        <v>84</v>
      </c>
      <c r="AA78" s="4">
        <v>660</v>
      </c>
      <c r="AB78" s="4">
        <v>1</v>
      </c>
      <c r="AC78" s="4">
        <v>5</v>
      </c>
      <c r="AD78" s="4">
        <v>4</v>
      </c>
      <c r="AE78" s="4">
        <v>21</v>
      </c>
      <c r="AF78" s="4">
        <v>2</v>
      </c>
      <c r="AG78" s="4">
        <v>8</v>
      </c>
      <c r="AH78" s="4">
        <v>1</v>
      </c>
      <c r="AI78" s="4">
        <v>2</v>
      </c>
      <c r="AJ78" s="4">
        <v>1</v>
      </c>
      <c r="AK78" s="4">
        <v>10</v>
      </c>
      <c r="AL78" s="4">
        <v>0</v>
      </c>
      <c r="AM78" s="4">
        <v>4</v>
      </c>
      <c r="AN78" s="4">
        <v>0</v>
      </c>
      <c r="AO78" s="4">
        <v>0</v>
      </c>
      <c r="AP78" s="3" t="s">
        <v>58</v>
      </c>
      <c r="AQ78" s="3" t="s">
        <v>58</v>
      </c>
      <c r="AS78" s="6" t="str">
        <f>HYPERLINK("https://creighton-primo.hosted.exlibrisgroup.com/primo-explore/search?tab=default_tab&amp;search_scope=EVERYTHING&amp;vid=01CRU&amp;lang=en_US&amp;offset=0&amp;query=any,contains,991000362109702656","Catalog Record")</f>
        <v>Catalog Record</v>
      </c>
      <c r="AT78" s="6" t="str">
        <f>HYPERLINK("http://www.worldcat.org/oclc/10375021","WorldCat Record")</f>
        <v>WorldCat Record</v>
      </c>
      <c r="AU78" s="3" t="s">
        <v>823</v>
      </c>
      <c r="AV78" s="3" t="s">
        <v>824</v>
      </c>
      <c r="AW78" s="3" t="s">
        <v>825</v>
      </c>
      <c r="AX78" s="3" t="s">
        <v>825</v>
      </c>
      <c r="AY78" s="3" t="s">
        <v>826</v>
      </c>
      <c r="AZ78" s="3" t="s">
        <v>73</v>
      </c>
      <c r="BB78" s="3" t="s">
        <v>827</v>
      </c>
      <c r="BC78" s="3" t="s">
        <v>828</v>
      </c>
      <c r="BD78" s="3" t="s">
        <v>829</v>
      </c>
    </row>
    <row r="79" spans="1:56" ht="31.5" customHeight="1" x14ac:dyDescent="0.25">
      <c r="A79" s="7" t="s">
        <v>58</v>
      </c>
      <c r="B79" s="2" t="s">
        <v>830</v>
      </c>
      <c r="C79" s="2" t="s">
        <v>831</v>
      </c>
      <c r="D79" s="2" t="s">
        <v>832</v>
      </c>
      <c r="F79" s="3" t="s">
        <v>58</v>
      </c>
      <c r="G79" s="3" t="s">
        <v>59</v>
      </c>
      <c r="H79" s="3" t="s">
        <v>58</v>
      </c>
      <c r="I79" s="3" t="s">
        <v>58</v>
      </c>
      <c r="J79" s="3" t="s">
        <v>60</v>
      </c>
      <c r="K79" s="2" t="s">
        <v>833</v>
      </c>
      <c r="L79" s="2" t="s">
        <v>834</v>
      </c>
      <c r="M79" s="3" t="s">
        <v>835</v>
      </c>
      <c r="O79" s="3" t="s">
        <v>63</v>
      </c>
      <c r="P79" s="3" t="s">
        <v>114</v>
      </c>
      <c r="R79" s="3" t="s">
        <v>65</v>
      </c>
      <c r="S79" s="4">
        <v>1</v>
      </c>
      <c r="T79" s="4">
        <v>1</v>
      </c>
      <c r="U79" s="5" t="s">
        <v>836</v>
      </c>
      <c r="V79" s="5" t="s">
        <v>836</v>
      </c>
      <c r="W79" s="5" t="s">
        <v>837</v>
      </c>
      <c r="X79" s="5" t="s">
        <v>837</v>
      </c>
      <c r="Y79" s="4">
        <v>439</v>
      </c>
      <c r="Z79" s="4">
        <v>326</v>
      </c>
      <c r="AA79" s="4">
        <v>351</v>
      </c>
      <c r="AB79" s="4">
        <v>2</v>
      </c>
      <c r="AC79" s="4">
        <v>2</v>
      </c>
      <c r="AD79" s="4">
        <v>10</v>
      </c>
      <c r="AE79" s="4">
        <v>10</v>
      </c>
      <c r="AF79" s="4">
        <v>4</v>
      </c>
      <c r="AG79" s="4">
        <v>4</v>
      </c>
      <c r="AH79" s="4">
        <v>2</v>
      </c>
      <c r="AI79" s="4">
        <v>2</v>
      </c>
      <c r="AJ79" s="4">
        <v>5</v>
      </c>
      <c r="AK79" s="4">
        <v>5</v>
      </c>
      <c r="AL79" s="4">
        <v>1</v>
      </c>
      <c r="AM79" s="4">
        <v>1</v>
      </c>
      <c r="AN79" s="4">
        <v>0</v>
      </c>
      <c r="AO79" s="4">
        <v>0</v>
      </c>
      <c r="AP79" s="3" t="s">
        <v>58</v>
      </c>
      <c r="AQ79" s="3" t="s">
        <v>58</v>
      </c>
      <c r="AS79" s="6" t="str">
        <f>HYPERLINK("https://creighton-primo.hosted.exlibrisgroup.com/primo-explore/search?tab=default_tab&amp;search_scope=EVERYTHING&amp;vid=01CRU&amp;lang=en_US&amp;offset=0&amp;query=any,contains,991002925589702656","Catalog Record")</f>
        <v>Catalog Record</v>
      </c>
      <c r="AT79" s="6" t="str">
        <f>HYPERLINK("http://www.worldcat.org/oclc/38885238","WorldCat Record")</f>
        <v>WorldCat Record</v>
      </c>
      <c r="AU79" s="3" t="s">
        <v>838</v>
      </c>
      <c r="AV79" s="3" t="s">
        <v>839</v>
      </c>
      <c r="AW79" s="3" t="s">
        <v>840</v>
      </c>
      <c r="AX79" s="3" t="s">
        <v>840</v>
      </c>
      <c r="AY79" s="3" t="s">
        <v>841</v>
      </c>
      <c r="AZ79" s="3" t="s">
        <v>73</v>
      </c>
      <c r="BB79" s="3" t="s">
        <v>842</v>
      </c>
      <c r="BC79" s="3" t="s">
        <v>843</v>
      </c>
      <c r="BD79" s="3" t="s">
        <v>844</v>
      </c>
    </row>
    <row r="80" spans="1:56" ht="31.5" customHeight="1" x14ac:dyDescent="0.25">
      <c r="A80" s="7" t="s">
        <v>58</v>
      </c>
      <c r="B80" s="2" t="s">
        <v>845</v>
      </c>
      <c r="C80" s="2" t="s">
        <v>846</v>
      </c>
      <c r="D80" s="2" t="s">
        <v>847</v>
      </c>
      <c r="F80" s="3" t="s">
        <v>58</v>
      </c>
      <c r="G80" s="3" t="s">
        <v>59</v>
      </c>
      <c r="H80" s="3" t="s">
        <v>58</v>
      </c>
      <c r="I80" s="3" t="s">
        <v>58</v>
      </c>
      <c r="J80" s="3" t="s">
        <v>60</v>
      </c>
      <c r="K80" s="2" t="s">
        <v>848</v>
      </c>
      <c r="L80" s="2" t="s">
        <v>849</v>
      </c>
      <c r="M80" s="3" t="s">
        <v>850</v>
      </c>
      <c r="O80" s="3" t="s">
        <v>63</v>
      </c>
      <c r="P80" s="3" t="s">
        <v>129</v>
      </c>
      <c r="R80" s="3" t="s">
        <v>65</v>
      </c>
      <c r="S80" s="4">
        <v>3</v>
      </c>
      <c r="T80" s="4">
        <v>3</v>
      </c>
      <c r="U80" s="5" t="s">
        <v>851</v>
      </c>
      <c r="V80" s="5" t="s">
        <v>851</v>
      </c>
      <c r="W80" s="5" t="s">
        <v>477</v>
      </c>
      <c r="X80" s="5" t="s">
        <v>477</v>
      </c>
      <c r="Y80" s="4">
        <v>351</v>
      </c>
      <c r="Z80" s="4">
        <v>288</v>
      </c>
      <c r="AA80" s="4">
        <v>293</v>
      </c>
      <c r="AB80" s="4">
        <v>2</v>
      </c>
      <c r="AC80" s="4">
        <v>2</v>
      </c>
      <c r="AD80" s="4">
        <v>27</v>
      </c>
      <c r="AE80" s="4">
        <v>27</v>
      </c>
      <c r="AF80" s="4">
        <v>10</v>
      </c>
      <c r="AG80" s="4">
        <v>10</v>
      </c>
      <c r="AH80" s="4">
        <v>6</v>
      </c>
      <c r="AI80" s="4">
        <v>6</v>
      </c>
      <c r="AJ80" s="4">
        <v>19</v>
      </c>
      <c r="AK80" s="4">
        <v>19</v>
      </c>
      <c r="AL80" s="4">
        <v>1</v>
      </c>
      <c r="AM80" s="4">
        <v>1</v>
      </c>
      <c r="AN80" s="4">
        <v>0</v>
      </c>
      <c r="AO80" s="4">
        <v>0</v>
      </c>
      <c r="AP80" s="3" t="s">
        <v>58</v>
      </c>
      <c r="AQ80" s="3" t="s">
        <v>68</v>
      </c>
      <c r="AR80" s="6" t="str">
        <f>HYPERLINK("http://catalog.hathitrust.org/Record/001475533","HathiTrust Record")</f>
        <v>HathiTrust Record</v>
      </c>
      <c r="AS80" s="6" t="str">
        <f>HYPERLINK("https://creighton-primo.hosted.exlibrisgroup.com/primo-explore/search?tab=default_tab&amp;search_scope=EVERYTHING&amp;vid=01CRU&amp;lang=en_US&amp;offset=0&amp;query=any,contains,991003639429702656","Catalog Record")</f>
        <v>Catalog Record</v>
      </c>
      <c r="AT80" s="6" t="str">
        <f>HYPERLINK("http://www.worldcat.org/oclc/1235566","WorldCat Record")</f>
        <v>WorldCat Record</v>
      </c>
      <c r="AU80" s="3" t="s">
        <v>852</v>
      </c>
      <c r="AV80" s="3" t="s">
        <v>853</v>
      </c>
      <c r="AW80" s="3" t="s">
        <v>854</v>
      </c>
      <c r="AX80" s="3" t="s">
        <v>854</v>
      </c>
      <c r="AY80" s="3" t="s">
        <v>855</v>
      </c>
      <c r="AZ80" s="3" t="s">
        <v>73</v>
      </c>
      <c r="BC80" s="3" t="s">
        <v>856</v>
      </c>
      <c r="BD80" s="3" t="s">
        <v>857</v>
      </c>
    </row>
    <row r="81" spans="1:56" ht="31.5" customHeight="1" x14ac:dyDescent="0.25">
      <c r="A81" s="7" t="s">
        <v>58</v>
      </c>
      <c r="B81" s="2" t="s">
        <v>858</v>
      </c>
      <c r="C81" s="2" t="s">
        <v>859</v>
      </c>
      <c r="D81" s="2" t="s">
        <v>860</v>
      </c>
      <c r="F81" s="3" t="s">
        <v>58</v>
      </c>
      <c r="G81" s="3" t="s">
        <v>59</v>
      </c>
      <c r="H81" s="3" t="s">
        <v>58</v>
      </c>
      <c r="I81" s="3" t="s">
        <v>58</v>
      </c>
      <c r="J81" s="3" t="s">
        <v>60</v>
      </c>
      <c r="K81" s="2" t="s">
        <v>861</v>
      </c>
      <c r="L81" s="2" t="s">
        <v>862</v>
      </c>
      <c r="M81" s="3" t="s">
        <v>863</v>
      </c>
      <c r="O81" s="3" t="s">
        <v>63</v>
      </c>
      <c r="P81" s="3" t="s">
        <v>64</v>
      </c>
      <c r="Q81" s="2" t="s">
        <v>864</v>
      </c>
      <c r="R81" s="3" t="s">
        <v>65</v>
      </c>
      <c r="S81" s="4">
        <v>1</v>
      </c>
      <c r="T81" s="4">
        <v>1</v>
      </c>
      <c r="U81" s="5" t="s">
        <v>865</v>
      </c>
      <c r="V81" s="5" t="s">
        <v>865</v>
      </c>
      <c r="W81" s="5" t="s">
        <v>477</v>
      </c>
      <c r="X81" s="5" t="s">
        <v>477</v>
      </c>
      <c r="Y81" s="4">
        <v>343</v>
      </c>
      <c r="Z81" s="4">
        <v>265</v>
      </c>
      <c r="AA81" s="4">
        <v>490</v>
      </c>
      <c r="AB81" s="4">
        <v>3</v>
      </c>
      <c r="AC81" s="4">
        <v>5</v>
      </c>
      <c r="AD81" s="4">
        <v>15</v>
      </c>
      <c r="AE81" s="4">
        <v>29</v>
      </c>
      <c r="AF81" s="4">
        <v>4</v>
      </c>
      <c r="AG81" s="4">
        <v>10</v>
      </c>
      <c r="AH81" s="4">
        <v>4</v>
      </c>
      <c r="AI81" s="4">
        <v>5</v>
      </c>
      <c r="AJ81" s="4">
        <v>8</v>
      </c>
      <c r="AK81" s="4">
        <v>15</v>
      </c>
      <c r="AL81" s="4">
        <v>2</v>
      </c>
      <c r="AM81" s="4">
        <v>4</v>
      </c>
      <c r="AN81" s="4">
        <v>0</v>
      </c>
      <c r="AO81" s="4">
        <v>0</v>
      </c>
      <c r="AP81" s="3" t="s">
        <v>58</v>
      </c>
      <c r="AQ81" s="3" t="s">
        <v>68</v>
      </c>
      <c r="AR81" s="6" t="str">
        <f>HYPERLINK("http://catalog.hathitrust.org/Record/002241164","HathiTrust Record")</f>
        <v>HathiTrust Record</v>
      </c>
      <c r="AS81" s="6" t="str">
        <f>HYPERLINK("https://creighton-primo.hosted.exlibrisgroup.com/primo-explore/search?tab=default_tab&amp;search_scope=EVERYTHING&amp;vid=01CRU&amp;lang=en_US&amp;offset=0&amp;query=any,contains,991002577299702656","Catalog Record")</f>
        <v>Catalog Record</v>
      </c>
      <c r="AT81" s="6" t="str">
        <f>HYPERLINK("http://www.worldcat.org/oclc/374924","WorldCat Record")</f>
        <v>WorldCat Record</v>
      </c>
      <c r="AU81" s="3" t="s">
        <v>866</v>
      </c>
      <c r="AV81" s="3" t="s">
        <v>867</v>
      </c>
      <c r="AW81" s="3" t="s">
        <v>868</v>
      </c>
      <c r="AX81" s="3" t="s">
        <v>868</v>
      </c>
      <c r="AY81" s="3" t="s">
        <v>869</v>
      </c>
      <c r="AZ81" s="3" t="s">
        <v>73</v>
      </c>
      <c r="BC81" s="3" t="s">
        <v>870</v>
      </c>
      <c r="BD81" s="3" t="s">
        <v>871</v>
      </c>
    </row>
    <row r="82" spans="1:56" ht="31.5" customHeight="1" x14ac:dyDescent="0.25">
      <c r="A82" s="7" t="s">
        <v>58</v>
      </c>
      <c r="B82" s="2" t="s">
        <v>872</v>
      </c>
      <c r="C82" s="2" t="s">
        <v>873</v>
      </c>
      <c r="D82" s="2" t="s">
        <v>874</v>
      </c>
      <c r="F82" s="3" t="s">
        <v>58</v>
      </c>
      <c r="G82" s="3" t="s">
        <v>59</v>
      </c>
      <c r="H82" s="3" t="s">
        <v>58</v>
      </c>
      <c r="I82" s="3" t="s">
        <v>58</v>
      </c>
      <c r="J82" s="3" t="s">
        <v>60</v>
      </c>
      <c r="K82" s="2" t="s">
        <v>875</v>
      </c>
      <c r="L82" s="2" t="s">
        <v>876</v>
      </c>
      <c r="M82" s="3" t="s">
        <v>877</v>
      </c>
      <c r="O82" s="3" t="s">
        <v>63</v>
      </c>
      <c r="P82" s="3" t="s">
        <v>186</v>
      </c>
      <c r="R82" s="3" t="s">
        <v>65</v>
      </c>
      <c r="S82" s="4">
        <v>3</v>
      </c>
      <c r="T82" s="4">
        <v>3</v>
      </c>
      <c r="U82" s="5" t="s">
        <v>878</v>
      </c>
      <c r="V82" s="5" t="s">
        <v>878</v>
      </c>
      <c r="W82" s="5" t="s">
        <v>204</v>
      </c>
      <c r="X82" s="5" t="s">
        <v>204</v>
      </c>
      <c r="Y82" s="4">
        <v>318</v>
      </c>
      <c r="Z82" s="4">
        <v>222</v>
      </c>
      <c r="AA82" s="4">
        <v>230</v>
      </c>
      <c r="AB82" s="4">
        <v>3</v>
      </c>
      <c r="AC82" s="4">
        <v>3</v>
      </c>
      <c r="AD82" s="4">
        <v>6</v>
      </c>
      <c r="AE82" s="4">
        <v>6</v>
      </c>
      <c r="AF82" s="4">
        <v>0</v>
      </c>
      <c r="AG82" s="4">
        <v>0</v>
      </c>
      <c r="AH82" s="4">
        <v>3</v>
      </c>
      <c r="AI82" s="4">
        <v>3</v>
      </c>
      <c r="AJ82" s="4">
        <v>2</v>
      </c>
      <c r="AK82" s="4">
        <v>2</v>
      </c>
      <c r="AL82" s="4">
        <v>2</v>
      </c>
      <c r="AM82" s="4">
        <v>2</v>
      </c>
      <c r="AN82" s="4">
        <v>0</v>
      </c>
      <c r="AO82" s="4">
        <v>0</v>
      </c>
      <c r="AP82" s="3" t="s">
        <v>58</v>
      </c>
      <c r="AQ82" s="3" t="s">
        <v>68</v>
      </c>
      <c r="AR82" s="6" t="str">
        <f>HYPERLINK("http://catalog.hathitrust.org/Record/006233487","HathiTrust Record")</f>
        <v>HathiTrust Record</v>
      </c>
      <c r="AS82" s="6" t="str">
        <f>HYPERLINK("https://creighton-primo.hosted.exlibrisgroup.com/primo-explore/search?tab=default_tab&amp;search_scope=EVERYTHING&amp;vid=01CRU&amp;lang=en_US&amp;offset=0&amp;query=any,contains,991000599719702656","Catalog Record")</f>
        <v>Catalog Record</v>
      </c>
      <c r="AT82" s="6" t="str">
        <f>HYPERLINK("http://www.worldcat.org/oclc/15631819","WorldCat Record")</f>
        <v>WorldCat Record</v>
      </c>
      <c r="AU82" s="3" t="s">
        <v>879</v>
      </c>
      <c r="AV82" s="3" t="s">
        <v>880</v>
      </c>
      <c r="AW82" s="3" t="s">
        <v>881</v>
      </c>
      <c r="AX82" s="3" t="s">
        <v>881</v>
      </c>
      <c r="AY82" s="3" t="s">
        <v>882</v>
      </c>
      <c r="AZ82" s="3" t="s">
        <v>73</v>
      </c>
      <c r="BB82" s="3" t="s">
        <v>883</v>
      </c>
      <c r="BC82" s="3" t="s">
        <v>884</v>
      </c>
      <c r="BD82" s="3" t="s">
        <v>885</v>
      </c>
    </row>
    <row r="83" spans="1:56" ht="31.5" customHeight="1" x14ac:dyDescent="0.25">
      <c r="A83" s="7" t="s">
        <v>58</v>
      </c>
      <c r="B83" s="2" t="s">
        <v>886</v>
      </c>
      <c r="C83" s="2" t="s">
        <v>887</v>
      </c>
      <c r="D83" s="2" t="s">
        <v>888</v>
      </c>
      <c r="F83" s="3" t="s">
        <v>58</v>
      </c>
      <c r="G83" s="3" t="s">
        <v>59</v>
      </c>
      <c r="H83" s="3" t="s">
        <v>58</v>
      </c>
      <c r="I83" s="3" t="s">
        <v>58</v>
      </c>
      <c r="J83" s="3" t="s">
        <v>60</v>
      </c>
      <c r="K83" s="2" t="s">
        <v>889</v>
      </c>
      <c r="L83" s="2" t="s">
        <v>890</v>
      </c>
      <c r="M83" s="3" t="s">
        <v>891</v>
      </c>
      <c r="O83" s="3" t="s">
        <v>63</v>
      </c>
      <c r="P83" s="3" t="s">
        <v>186</v>
      </c>
      <c r="Q83" s="2" t="s">
        <v>892</v>
      </c>
      <c r="R83" s="3" t="s">
        <v>65</v>
      </c>
      <c r="S83" s="4">
        <v>5</v>
      </c>
      <c r="T83" s="4">
        <v>5</v>
      </c>
      <c r="U83" s="5" t="s">
        <v>402</v>
      </c>
      <c r="V83" s="5" t="s">
        <v>402</v>
      </c>
      <c r="W83" s="5" t="s">
        <v>893</v>
      </c>
      <c r="X83" s="5" t="s">
        <v>893</v>
      </c>
      <c r="Y83" s="4">
        <v>498</v>
      </c>
      <c r="Z83" s="4">
        <v>351</v>
      </c>
      <c r="AA83" s="4">
        <v>357</v>
      </c>
      <c r="AB83" s="4">
        <v>4</v>
      </c>
      <c r="AC83" s="4">
        <v>4</v>
      </c>
      <c r="AD83" s="4">
        <v>19</v>
      </c>
      <c r="AE83" s="4">
        <v>19</v>
      </c>
      <c r="AF83" s="4">
        <v>5</v>
      </c>
      <c r="AG83" s="4">
        <v>5</v>
      </c>
      <c r="AH83" s="4">
        <v>5</v>
      </c>
      <c r="AI83" s="4">
        <v>5</v>
      </c>
      <c r="AJ83" s="4">
        <v>9</v>
      </c>
      <c r="AK83" s="4">
        <v>9</v>
      </c>
      <c r="AL83" s="4">
        <v>3</v>
      </c>
      <c r="AM83" s="4">
        <v>3</v>
      </c>
      <c r="AN83" s="4">
        <v>0</v>
      </c>
      <c r="AO83" s="4">
        <v>0</v>
      </c>
      <c r="AP83" s="3" t="s">
        <v>58</v>
      </c>
      <c r="AQ83" s="3" t="s">
        <v>68</v>
      </c>
      <c r="AR83" s="6" t="str">
        <f>HYPERLINK("http://catalog.hathitrust.org/Record/001476442","HathiTrust Record")</f>
        <v>HathiTrust Record</v>
      </c>
      <c r="AS83" s="6" t="str">
        <f>HYPERLINK("https://creighton-primo.hosted.exlibrisgroup.com/primo-explore/search?tab=default_tab&amp;search_scope=EVERYTHING&amp;vid=01CRU&amp;lang=en_US&amp;offset=0&amp;query=any,contains,991000615939702656","Catalog Record")</f>
        <v>Catalog Record</v>
      </c>
      <c r="AT83" s="6" t="str">
        <f>HYPERLINK("http://www.worldcat.org/oclc/101672","WorldCat Record")</f>
        <v>WorldCat Record</v>
      </c>
      <c r="AU83" s="3" t="s">
        <v>894</v>
      </c>
      <c r="AV83" s="3" t="s">
        <v>895</v>
      </c>
      <c r="AW83" s="3" t="s">
        <v>896</v>
      </c>
      <c r="AX83" s="3" t="s">
        <v>896</v>
      </c>
      <c r="AY83" s="3" t="s">
        <v>897</v>
      </c>
      <c r="AZ83" s="3" t="s">
        <v>73</v>
      </c>
      <c r="BB83" s="3" t="s">
        <v>898</v>
      </c>
      <c r="BC83" s="3" t="s">
        <v>899</v>
      </c>
      <c r="BD83" s="3" t="s">
        <v>900</v>
      </c>
    </row>
    <row r="84" spans="1:56" ht="31.5" customHeight="1" x14ac:dyDescent="0.25">
      <c r="A84" s="7" t="s">
        <v>58</v>
      </c>
      <c r="B84" s="2" t="s">
        <v>901</v>
      </c>
      <c r="C84" s="2" t="s">
        <v>902</v>
      </c>
      <c r="D84" s="2" t="s">
        <v>903</v>
      </c>
      <c r="F84" s="3" t="s">
        <v>58</v>
      </c>
      <c r="G84" s="3" t="s">
        <v>59</v>
      </c>
      <c r="H84" s="3" t="s">
        <v>58</v>
      </c>
      <c r="I84" s="3" t="s">
        <v>58</v>
      </c>
      <c r="J84" s="3" t="s">
        <v>60</v>
      </c>
      <c r="K84" s="2" t="s">
        <v>904</v>
      </c>
      <c r="L84" s="2" t="s">
        <v>905</v>
      </c>
      <c r="M84" s="3" t="s">
        <v>144</v>
      </c>
      <c r="O84" s="3" t="s">
        <v>63</v>
      </c>
      <c r="P84" s="3" t="s">
        <v>444</v>
      </c>
      <c r="R84" s="3" t="s">
        <v>65</v>
      </c>
      <c r="S84" s="4">
        <v>12</v>
      </c>
      <c r="T84" s="4">
        <v>12</v>
      </c>
      <c r="U84" s="5" t="s">
        <v>402</v>
      </c>
      <c r="V84" s="5" t="s">
        <v>402</v>
      </c>
      <c r="W84" s="5" t="s">
        <v>161</v>
      </c>
      <c r="X84" s="5" t="s">
        <v>161</v>
      </c>
      <c r="Y84" s="4">
        <v>891</v>
      </c>
      <c r="Z84" s="4">
        <v>754</v>
      </c>
      <c r="AA84" s="4">
        <v>960</v>
      </c>
      <c r="AB84" s="4">
        <v>5</v>
      </c>
      <c r="AC84" s="4">
        <v>6</v>
      </c>
      <c r="AD84" s="4">
        <v>20</v>
      </c>
      <c r="AE84" s="4">
        <v>31</v>
      </c>
      <c r="AF84" s="4">
        <v>9</v>
      </c>
      <c r="AG84" s="4">
        <v>12</v>
      </c>
      <c r="AH84" s="4">
        <v>3</v>
      </c>
      <c r="AI84" s="4">
        <v>7</v>
      </c>
      <c r="AJ84" s="4">
        <v>7</v>
      </c>
      <c r="AK84" s="4">
        <v>13</v>
      </c>
      <c r="AL84" s="4">
        <v>4</v>
      </c>
      <c r="AM84" s="4">
        <v>5</v>
      </c>
      <c r="AN84" s="4">
        <v>0</v>
      </c>
      <c r="AO84" s="4">
        <v>0</v>
      </c>
      <c r="AP84" s="3" t="s">
        <v>58</v>
      </c>
      <c r="AQ84" s="3" t="s">
        <v>58</v>
      </c>
      <c r="AS84" s="6" t="str">
        <f>HYPERLINK("https://creighton-primo.hosted.exlibrisgroup.com/primo-explore/search?tab=default_tab&amp;search_scope=EVERYTHING&amp;vid=01CRU&amp;lang=en_US&amp;offset=0&amp;query=any,contains,991005193049702656","Catalog Record")</f>
        <v>Catalog Record</v>
      </c>
      <c r="AT84" s="6" t="str">
        <f>HYPERLINK("http://www.worldcat.org/oclc/8031953","WorldCat Record")</f>
        <v>WorldCat Record</v>
      </c>
      <c r="AU84" s="3" t="s">
        <v>906</v>
      </c>
      <c r="AV84" s="3" t="s">
        <v>907</v>
      </c>
      <c r="AW84" s="3" t="s">
        <v>908</v>
      </c>
      <c r="AX84" s="3" t="s">
        <v>908</v>
      </c>
      <c r="AY84" s="3" t="s">
        <v>909</v>
      </c>
      <c r="AZ84" s="3" t="s">
        <v>73</v>
      </c>
      <c r="BB84" s="3" t="s">
        <v>910</v>
      </c>
      <c r="BC84" s="3" t="s">
        <v>911</v>
      </c>
      <c r="BD84" s="3" t="s">
        <v>912</v>
      </c>
    </row>
    <row r="85" spans="1:56" ht="31.5" customHeight="1" x14ac:dyDescent="0.25">
      <c r="A85" s="7" t="s">
        <v>58</v>
      </c>
      <c r="B85" s="2" t="s">
        <v>913</v>
      </c>
      <c r="C85" s="2" t="s">
        <v>914</v>
      </c>
      <c r="D85" s="2" t="s">
        <v>915</v>
      </c>
      <c r="F85" s="3" t="s">
        <v>58</v>
      </c>
      <c r="G85" s="3" t="s">
        <v>59</v>
      </c>
      <c r="H85" s="3" t="s">
        <v>58</v>
      </c>
      <c r="I85" s="3" t="s">
        <v>58</v>
      </c>
      <c r="J85" s="3" t="s">
        <v>60</v>
      </c>
      <c r="K85" s="2" t="s">
        <v>916</v>
      </c>
      <c r="L85" s="2" t="s">
        <v>917</v>
      </c>
      <c r="M85" s="3" t="s">
        <v>159</v>
      </c>
      <c r="O85" s="3" t="s">
        <v>63</v>
      </c>
      <c r="P85" s="3" t="s">
        <v>186</v>
      </c>
      <c r="R85" s="3" t="s">
        <v>65</v>
      </c>
      <c r="S85" s="4">
        <v>12</v>
      </c>
      <c r="T85" s="4">
        <v>12</v>
      </c>
      <c r="U85" s="5" t="s">
        <v>918</v>
      </c>
      <c r="V85" s="5" t="s">
        <v>918</v>
      </c>
      <c r="W85" s="5" t="s">
        <v>161</v>
      </c>
      <c r="X85" s="5" t="s">
        <v>161</v>
      </c>
      <c r="Y85" s="4">
        <v>454</v>
      </c>
      <c r="Z85" s="4">
        <v>348</v>
      </c>
      <c r="AA85" s="4">
        <v>350</v>
      </c>
      <c r="AB85" s="4">
        <v>4</v>
      </c>
      <c r="AC85" s="4">
        <v>4</v>
      </c>
      <c r="AD85" s="4">
        <v>16</v>
      </c>
      <c r="AE85" s="4">
        <v>16</v>
      </c>
      <c r="AF85" s="4">
        <v>7</v>
      </c>
      <c r="AG85" s="4">
        <v>7</v>
      </c>
      <c r="AH85" s="4">
        <v>4</v>
      </c>
      <c r="AI85" s="4">
        <v>4</v>
      </c>
      <c r="AJ85" s="4">
        <v>6</v>
      </c>
      <c r="AK85" s="4">
        <v>6</v>
      </c>
      <c r="AL85" s="4">
        <v>3</v>
      </c>
      <c r="AM85" s="4">
        <v>3</v>
      </c>
      <c r="AN85" s="4">
        <v>0</v>
      </c>
      <c r="AO85" s="4">
        <v>0</v>
      </c>
      <c r="AP85" s="3" t="s">
        <v>58</v>
      </c>
      <c r="AQ85" s="3" t="s">
        <v>68</v>
      </c>
      <c r="AR85" s="6" t="str">
        <f>HYPERLINK("http://catalog.hathitrust.org/Record/000107666","HathiTrust Record")</f>
        <v>HathiTrust Record</v>
      </c>
      <c r="AS85" s="6" t="str">
        <f>HYPERLINK("https://creighton-primo.hosted.exlibrisgroup.com/primo-explore/search?tab=default_tab&amp;search_scope=EVERYTHING&amp;vid=01CRU&amp;lang=en_US&amp;offset=0&amp;query=any,contains,991000037079702656","Catalog Record")</f>
        <v>Catalog Record</v>
      </c>
      <c r="AT85" s="6" t="str">
        <f>HYPERLINK("http://www.worldcat.org/oclc/8627979","WorldCat Record")</f>
        <v>WorldCat Record</v>
      </c>
      <c r="AU85" s="3" t="s">
        <v>919</v>
      </c>
      <c r="AV85" s="3" t="s">
        <v>920</v>
      </c>
      <c r="AW85" s="3" t="s">
        <v>921</v>
      </c>
      <c r="AX85" s="3" t="s">
        <v>921</v>
      </c>
      <c r="AY85" s="3" t="s">
        <v>922</v>
      </c>
      <c r="AZ85" s="3" t="s">
        <v>73</v>
      </c>
      <c r="BB85" s="3" t="s">
        <v>923</v>
      </c>
      <c r="BC85" s="3" t="s">
        <v>924</v>
      </c>
      <c r="BD85" s="3" t="s">
        <v>925</v>
      </c>
    </row>
    <row r="86" spans="1:56" ht="31.5" customHeight="1" x14ac:dyDescent="0.25">
      <c r="A86" s="7" t="s">
        <v>58</v>
      </c>
      <c r="B86" s="2" t="s">
        <v>926</v>
      </c>
      <c r="C86" s="2" t="s">
        <v>927</v>
      </c>
      <c r="D86" s="2" t="s">
        <v>928</v>
      </c>
      <c r="F86" s="3" t="s">
        <v>58</v>
      </c>
      <c r="G86" s="3" t="s">
        <v>59</v>
      </c>
      <c r="H86" s="3" t="s">
        <v>58</v>
      </c>
      <c r="I86" s="3" t="s">
        <v>58</v>
      </c>
      <c r="J86" s="3" t="s">
        <v>60</v>
      </c>
      <c r="K86" s="2" t="s">
        <v>929</v>
      </c>
      <c r="L86" s="2" t="s">
        <v>930</v>
      </c>
      <c r="M86" s="3" t="s">
        <v>565</v>
      </c>
      <c r="O86" s="3" t="s">
        <v>63</v>
      </c>
      <c r="P86" s="3" t="s">
        <v>459</v>
      </c>
      <c r="Q86" s="2" t="s">
        <v>931</v>
      </c>
      <c r="R86" s="3" t="s">
        <v>65</v>
      </c>
      <c r="S86" s="4">
        <v>6</v>
      </c>
      <c r="T86" s="4">
        <v>6</v>
      </c>
      <c r="U86" s="5" t="s">
        <v>918</v>
      </c>
      <c r="V86" s="5" t="s">
        <v>918</v>
      </c>
      <c r="W86" s="5" t="s">
        <v>161</v>
      </c>
      <c r="X86" s="5" t="s">
        <v>161</v>
      </c>
      <c r="Y86" s="4">
        <v>292</v>
      </c>
      <c r="Z86" s="4">
        <v>180</v>
      </c>
      <c r="AA86" s="4">
        <v>193</v>
      </c>
      <c r="AB86" s="4">
        <v>2</v>
      </c>
      <c r="AC86" s="4">
        <v>2</v>
      </c>
      <c r="AD86" s="4">
        <v>6</v>
      </c>
      <c r="AE86" s="4">
        <v>6</v>
      </c>
      <c r="AF86" s="4">
        <v>3</v>
      </c>
      <c r="AG86" s="4">
        <v>3</v>
      </c>
      <c r="AH86" s="4">
        <v>2</v>
      </c>
      <c r="AI86" s="4">
        <v>2</v>
      </c>
      <c r="AJ86" s="4">
        <v>3</v>
      </c>
      <c r="AK86" s="4">
        <v>3</v>
      </c>
      <c r="AL86" s="4">
        <v>1</v>
      </c>
      <c r="AM86" s="4">
        <v>1</v>
      </c>
      <c r="AN86" s="4">
        <v>0</v>
      </c>
      <c r="AO86" s="4">
        <v>0</v>
      </c>
      <c r="AP86" s="3" t="s">
        <v>58</v>
      </c>
      <c r="AQ86" s="3" t="s">
        <v>68</v>
      </c>
      <c r="AR86" s="6" t="str">
        <f>HYPERLINK("http://catalog.hathitrust.org/Record/000181995","HathiTrust Record")</f>
        <v>HathiTrust Record</v>
      </c>
      <c r="AS86" s="6" t="str">
        <f>HYPERLINK("https://creighton-primo.hosted.exlibrisgroup.com/primo-explore/search?tab=default_tab&amp;search_scope=EVERYTHING&amp;vid=01CRU&amp;lang=en_US&amp;offset=0&amp;query=any,contains,991004955029702656","Catalog Record")</f>
        <v>Catalog Record</v>
      </c>
      <c r="AT86" s="6" t="str">
        <f>HYPERLINK("http://www.worldcat.org/oclc/6277682","WorldCat Record")</f>
        <v>WorldCat Record</v>
      </c>
      <c r="AU86" s="3" t="s">
        <v>932</v>
      </c>
      <c r="AV86" s="3" t="s">
        <v>933</v>
      </c>
      <c r="AW86" s="3" t="s">
        <v>934</v>
      </c>
      <c r="AX86" s="3" t="s">
        <v>934</v>
      </c>
      <c r="AY86" s="3" t="s">
        <v>935</v>
      </c>
      <c r="AZ86" s="3" t="s">
        <v>73</v>
      </c>
      <c r="BB86" s="3" t="s">
        <v>936</v>
      </c>
      <c r="BC86" s="3" t="s">
        <v>937</v>
      </c>
      <c r="BD86" s="3" t="s">
        <v>938</v>
      </c>
    </row>
    <row r="87" spans="1:56" ht="31.5" customHeight="1" x14ac:dyDescent="0.25">
      <c r="A87" s="7" t="s">
        <v>58</v>
      </c>
      <c r="B87" s="2" t="s">
        <v>939</v>
      </c>
      <c r="C87" s="2" t="s">
        <v>940</v>
      </c>
      <c r="D87" s="2" t="s">
        <v>941</v>
      </c>
      <c r="F87" s="3" t="s">
        <v>58</v>
      </c>
      <c r="G87" s="3" t="s">
        <v>59</v>
      </c>
      <c r="H87" s="3" t="s">
        <v>58</v>
      </c>
      <c r="I87" s="3" t="s">
        <v>58</v>
      </c>
      <c r="J87" s="3" t="s">
        <v>60</v>
      </c>
      <c r="K87" s="2" t="s">
        <v>942</v>
      </c>
      <c r="L87" s="2" t="s">
        <v>943</v>
      </c>
      <c r="M87" s="3" t="s">
        <v>944</v>
      </c>
      <c r="O87" s="3" t="s">
        <v>63</v>
      </c>
      <c r="P87" s="3" t="s">
        <v>64</v>
      </c>
      <c r="Q87" s="2" t="s">
        <v>945</v>
      </c>
      <c r="R87" s="3" t="s">
        <v>65</v>
      </c>
      <c r="S87" s="4">
        <v>8</v>
      </c>
      <c r="T87" s="4">
        <v>8</v>
      </c>
      <c r="U87" s="5" t="s">
        <v>918</v>
      </c>
      <c r="V87" s="5" t="s">
        <v>918</v>
      </c>
      <c r="W87" s="5" t="s">
        <v>946</v>
      </c>
      <c r="X87" s="5" t="s">
        <v>946</v>
      </c>
      <c r="Y87" s="4">
        <v>1231</v>
      </c>
      <c r="Z87" s="4">
        <v>1059</v>
      </c>
      <c r="AA87" s="4">
        <v>1115</v>
      </c>
      <c r="AB87" s="4">
        <v>8</v>
      </c>
      <c r="AC87" s="4">
        <v>8</v>
      </c>
      <c r="AD87" s="4">
        <v>40</v>
      </c>
      <c r="AE87" s="4">
        <v>41</v>
      </c>
      <c r="AF87" s="4">
        <v>15</v>
      </c>
      <c r="AG87" s="4">
        <v>16</v>
      </c>
      <c r="AH87" s="4">
        <v>8</v>
      </c>
      <c r="AI87" s="4">
        <v>8</v>
      </c>
      <c r="AJ87" s="4">
        <v>22</v>
      </c>
      <c r="AK87" s="4">
        <v>22</v>
      </c>
      <c r="AL87" s="4">
        <v>7</v>
      </c>
      <c r="AM87" s="4">
        <v>7</v>
      </c>
      <c r="AN87" s="4">
        <v>0</v>
      </c>
      <c r="AO87" s="4">
        <v>0</v>
      </c>
      <c r="AP87" s="3" t="s">
        <v>58</v>
      </c>
      <c r="AQ87" s="3" t="s">
        <v>58</v>
      </c>
      <c r="AS87" s="6" t="str">
        <f>HYPERLINK("https://creighton-primo.hosted.exlibrisgroup.com/primo-explore/search?tab=default_tab&amp;search_scope=EVERYTHING&amp;vid=01CRU&amp;lang=en_US&amp;offset=0&amp;query=any,contains,991001585749702656","Catalog Record")</f>
        <v>Catalog Record</v>
      </c>
      <c r="AT87" s="6" t="str">
        <f>HYPERLINK("http://www.worldcat.org/oclc/20528681","WorldCat Record")</f>
        <v>WorldCat Record</v>
      </c>
      <c r="AU87" s="3" t="s">
        <v>947</v>
      </c>
      <c r="AV87" s="3" t="s">
        <v>948</v>
      </c>
      <c r="AW87" s="3" t="s">
        <v>949</v>
      </c>
      <c r="AX87" s="3" t="s">
        <v>949</v>
      </c>
      <c r="AY87" s="3" t="s">
        <v>950</v>
      </c>
      <c r="AZ87" s="3" t="s">
        <v>73</v>
      </c>
      <c r="BB87" s="3" t="s">
        <v>951</v>
      </c>
      <c r="BC87" s="3" t="s">
        <v>952</v>
      </c>
      <c r="BD87" s="3" t="s">
        <v>953</v>
      </c>
    </row>
    <row r="88" spans="1:56" ht="31.5" customHeight="1" x14ac:dyDescent="0.25">
      <c r="A88" s="7" t="s">
        <v>58</v>
      </c>
      <c r="B88" s="2" t="s">
        <v>954</v>
      </c>
      <c r="C88" s="2" t="s">
        <v>955</v>
      </c>
      <c r="D88" s="2" t="s">
        <v>956</v>
      </c>
      <c r="F88" s="3" t="s">
        <v>58</v>
      </c>
      <c r="G88" s="3" t="s">
        <v>59</v>
      </c>
      <c r="H88" s="3" t="s">
        <v>58</v>
      </c>
      <c r="I88" s="3" t="s">
        <v>58</v>
      </c>
      <c r="J88" s="3" t="s">
        <v>60</v>
      </c>
      <c r="K88" s="2" t="s">
        <v>957</v>
      </c>
      <c r="L88" s="2" t="s">
        <v>958</v>
      </c>
      <c r="M88" s="3" t="s">
        <v>565</v>
      </c>
      <c r="O88" s="3" t="s">
        <v>63</v>
      </c>
      <c r="P88" s="3" t="s">
        <v>186</v>
      </c>
      <c r="R88" s="3" t="s">
        <v>65</v>
      </c>
      <c r="S88" s="4">
        <v>9</v>
      </c>
      <c r="T88" s="4">
        <v>9</v>
      </c>
      <c r="U88" s="5" t="s">
        <v>959</v>
      </c>
      <c r="V88" s="5" t="s">
        <v>959</v>
      </c>
      <c r="W88" s="5" t="s">
        <v>960</v>
      </c>
      <c r="X88" s="5" t="s">
        <v>960</v>
      </c>
      <c r="Y88" s="4">
        <v>727</v>
      </c>
      <c r="Z88" s="4">
        <v>566</v>
      </c>
      <c r="AA88" s="4">
        <v>572</v>
      </c>
      <c r="AB88" s="4">
        <v>7</v>
      </c>
      <c r="AC88" s="4">
        <v>7</v>
      </c>
      <c r="AD88" s="4">
        <v>19</v>
      </c>
      <c r="AE88" s="4">
        <v>19</v>
      </c>
      <c r="AF88" s="4">
        <v>4</v>
      </c>
      <c r="AG88" s="4">
        <v>4</v>
      </c>
      <c r="AH88" s="4">
        <v>4</v>
      </c>
      <c r="AI88" s="4">
        <v>4</v>
      </c>
      <c r="AJ88" s="4">
        <v>8</v>
      </c>
      <c r="AK88" s="4">
        <v>8</v>
      </c>
      <c r="AL88" s="4">
        <v>6</v>
      </c>
      <c r="AM88" s="4">
        <v>6</v>
      </c>
      <c r="AN88" s="4">
        <v>0</v>
      </c>
      <c r="AO88" s="4">
        <v>0</v>
      </c>
      <c r="AP88" s="3" t="s">
        <v>58</v>
      </c>
      <c r="AQ88" s="3" t="s">
        <v>58</v>
      </c>
      <c r="AS88" s="6" t="str">
        <f>HYPERLINK("https://creighton-primo.hosted.exlibrisgroup.com/primo-explore/search?tab=default_tab&amp;search_scope=EVERYTHING&amp;vid=01CRU&amp;lang=en_US&amp;offset=0&amp;query=any,contains,991004948749702656","Catalog Record")</f>
        <v>Catalog Record</v>
      </c>
      <c r="AT88" s="6" t="str">
        <f>HYPERLINK("http://www.worldcat.org/oclc/6223524","WorldCat Record")</f>
        <v>WorldCat Record</v>
      </c>
      <c r="AU88" s="3" t="s">
        <v>961</v>
      </c>
      <c r="AV88" s="3" t="s">
        <v>962</v>
      </c>
      <c r="AW88" s="3" t="s">
        <v>963</v>
      </c>
      <c r="AX88" s="3" t="s">
        <v>963</v>
      </c>
      <c r="AY88" s="3" t="s">
        <v>964</v>
      </c>
      <c r="AZ88" s="3" t="s">
        <v>73</v>
      </c>
      <c r="BB88" s="3" t="s">
        <v>965</v>
      </c>
      <c r="BC88" s="3" t="s">
        <v>966</v>
      </c>
      <c r="BD88" s="3" t="s">
        <v>967</v>
      </c>
    </row>
    <row r="89" spans="1:56" ht="31.5" customHeight="1" x14ac:dyDescent="0.25">
      <c r="A89" s="7" t="s">
        <v>58</v>
      </c>
      <c r="B89" s="2" t="s">
        <v>968</v>
      </c>
      <c r="C89" s="2" t="s">
        <v>969</v>
      </c>
      <c r="D89" s="2" t="s">
        <v>970</v>
      </c>
      <c r="F89" s="3" t="s">
        <v>58</v>
      </c>
      <c r="G89" s="3" t="s">
        <v>59</v>
      </c>
      <c r="H89" s="3" t="s">
        <v>58</v>
      </c>
      <c r="I89" s="3" t="s">
        <v>58</v>
      </c>
      <c r="J89" s="3" t="s">
        <v>60</v>
      </c>
      <c r="K89" s="2" t="s">
        <v>971</v>
      </c>
      <c r="L89" s="2" t="s">
        <v>972</v>
      </c>
      <c r="M89" s="3" t="s">
        <v>607</v>
      </c>
      <c r="O89" s="3" t="s">
        <v>63</v>
      </c>
      <c r="P89" s="3" t="s">
        <v>973</v>
      </c>
      <c r="R89" s="3" t="s">
        <v>65</v>
      </c>
      <c r="S89" s="4">
        <v>11</v>
      </c>
      <c r="T89" s="4">
        <v>11</v>
      </c>
      <c r="U89" s="5" t="s">
        <v>974</v>
      </c>
      <c r="V89" s="5" t="s">
        <v>974</v>
      </c>
      <c r="W89" s="5" t="s">
        <v>975</v>
      </c>
      <c r="X89" s="5" t="s">
        <v>975</v>
      </c>
      <c r="Y89" s="4">
        <v>585</v>
      </c>
      <c r="Z89" s="4">
        <v>481</v>
      </c>
      <c r="AA89" s="4">
        <v>577</v>
      </c>
      <c r="AB89" s="4">
        <v>3</v>
      </c>
      <c r="AC89" s="4">
        <v>4</v>
      </c>
      <c r="AD89" s="4">
        <v>22</v>
      </c>
      <c r="AE89" s="4">
        <v>27</v>
      </c>
      <c r="AF89" s="4">
        <v>8</v>
      </c>
      <c r="AG89" s="4">
        <v>9</v>
      </c>
      <c r="AH89" s="4">
        <v>5</v>
      </c>
      <c r="AI89" s="4">
        <v>6</v>
      </c>
      <c r="AJ89" s="4">
        <v>12</v>
      </c>
      <c r="AK89" s="4">
        <v>15</v>
      </c>
      <c r="AL89" s="4">
        <v>2</v>
      </c>
      <c r="AM89" s="4">
        <v>3</v>
      </c>
      <c r="AN89" s="4">
        <v>0</v>
      </c>
      <c r="AO89" s="4">
        <v>0</v>
      </c>
      <c r="AP89" s="3" t="s">
        <v>58</v>
      </c>
      <c r="AQ89" s="3" t="s">
        <v>68</v>
      </c>
      <c r="AR89" s="6" t="str">
        <f>HYPERLINK("http://catalog.hathitrust.org/Record/004392994","HathiTrust Record")</f>
        <v>HathiTrust Record</v>
      </c>
      <c r="AS89" s="6" t="str">
        <f>HYPERLINK("https://creighton-primo.hosted.exlibrisgroup.com/primo-explore/search?tab=default_tab&amp;search_scope=EVERYTHING&amp;vid=01CRU&amp;lang=en_US&amp;offset=0&amp;query=any,contains,991003205159702656","Catalog Record")</f>
        <v>Catalog Record</v>
      </c>
      <c r="AT89" s="6" t="str">
        <f>HYPERLINK("http://www.worldcat.org/oclc/730506","WorldCat Record")</f>
        <v>WorldCat Record</v>
      </c>
      <c r="AU89" s="3" t="s">
        <v>976</v>
      </c>
      <c r="AV89" s="3" t="s">
        <v>977</v>
      </c>
      <c r="AW89" s="3" t="s">
        <v>978</v>
      </c>
      <c r="AX89" s="3" t="s">
        <v>978</v>
      </c>
      <c r="AY89" s="3" t="s">
        <v>979</v>
      </c>
      <c r="AZ89" s="3" t="s">
        <v>73</v>
      </c>
      <c r="BB89" s="3" t="s">
        <v>980</v>
      </c>
      <c r="BC89" s="3" t="s">
        <v>981</v>
      </c>
      <c r="BD89" s="3" t="s">
        <v>982</v>
      </c>
    </row>
    <row r="90" spans="1:56" ht="31.5" customHeight="1" x14ac:dyDescent="0.25">
      <c r="A90" s="7" t="s">
        <v>58</v>
      </c>
      <c r="B90" s="2" t="s">
        <v>983</v>
      </c>
      <c r="C90" s="2" t="s">
        <v>984</v>
      </c>
      <c r="D90" s="2" t="s">
        <v>985</v>
      </c>
      <c r="F90" s="3" t="s">
        <v>58</v>
      </c>
      <c r="G90" s="3" t="s">
        <v>59</v>
      </c>
      <c r="H90" s="3" t="s">
        <v>58</v>
      </c>
      <c r="I90" s="3" t="s">
        <v>58</v>
      </c>
      <c r="J90" s="3" t="s">
        <v>60</v>
      </c>
      <c r="K90" s="2" t="s">
        <v>986</v>
      </c>
      <c r="L90" s="2" t="s">
        <v>987</v>
      </c>
      <c r="M90" s="3" t="s">
        <v>850</v>
      </c>
      <c r="O90" s="3" t="s">
        <v>63</v>
      </c>
      <c r="P90" s="3" t="s">
        <v>64</v>
      </c>
      <c r="R90" s="3" t="s">
        <v>65</v>
      </c>
      <c r="S90" s="4">
        <v>7</v>
      </c>
      <c r="T90" s="4">
        <v>7</v>
      </c>
      <c r="U90" s="5" t="s">
        <v>988</v>
      </c>
      <c r="V90" s="5" t="s">
        <v>988</v>
      </c>
      <c r="W90" s="5" t="s">
        <v>893</v>
      </c>
      <c r="X90" s="5" t="s">
        <v>893</v>
      </c>
      <c r="Y90" s="4">
        <v>469</v>
      </c>
      <c r="Z90" s="4">
        <v>409</v>
      </c>
      <c r="AA90" s="4">
        <v>417</v>
      </c>
      <c r="AB90" s="4">
        <v>3</v>
      </c>
      <c r="AC90" s="4">
        <v>3</v>
      </c>
      <c r="AD90" s="4">
        <v>16</v>
      </c>
      <c r="AE90" s="4">
        <v>16</v>
      </c>
      <c r="AF90" s="4">
        <v>7</v>
      </c>
      <c r="AG90" s="4">
        <v>7</v>
      </c>
      <c r="AH90" s="4">
        <v>2</v>
      </c>
      <c r="AI90" s="4">
        <v>2</v>
      </c>
      <c r="AJ90" s="4">
        <v>7</v>
      </c>
      <c r="AK90" s="4">
        <v>7</v>
      </c>
      <c r="AL90" s="4">
        <v>2</v>
      </c>
      <c r="AM90" s="4">
        <v>2</v>
      </c>
      <c r="AN90" s="4">
        <v>0</v>
      </c>
      <c r="AO90" s="4">
        <v>0</v>
      </c>
      <c r="AP90" s="3" t="s">
        <v>68</v>
      </c>
      <c r="AQ90" s="3" t="s">
        <v>58</v>
      </c>
      <c r="AR90" s="6" t="str">
        <f>HYPERLINK("http://catalog.hathitrust.org/Record/004392998","HathiTrust Record")</f>
        <v>HathiTrust Record</v>
      </c>
      <c r="AS90" s="6" t="str">
        <f>HYPERLINK("https://creighton-primo.hosted.exlibrisgroup.com/primo-explore/search?tab=default_tab&amp;search_scope=EVERYTHING&amp;vid=01CRU&amp;lang=en_US&amp;offset=0&amp;query=any,contains,991000390319702656","Catalog Record")</f>
        <v>Catalog Record</v>
      </c>
      <c r="AT90" s="6" t="str">
        <f>HYPERLINK("http://www.worldcat.org/oclc/10543769","WorldCat Record")</f>
        <v>WorldCat Record</v>
      </c>
      <c r="AU90" s="3" t="s">
        <v>989</v>
      </c>
      <c r="AV90" s="3" t="s">
        <v>990</v>
      </c>
      <c r="AW90" s="3" t="s">
        <v>991</v>
      </c>
      <c r="AX90" s="3" t="s">
        <v>991</v>
      </c>
      <c r="AY90" s="3" t="s">
        <v>992</v>
      </c>
      <c r="AZ90" s="3" t="s">
        <v>73</v>
      </c>
      <c r="BC90" s="3" t="s">
        <v>993</v>
      </c>
      <c r="BD90" s="3" t="s">
        <v>994</v>
      </c>
    </row>
    <row r="91" spans="1:56" ht="31.5" customHeight="1" x14ac:dyDescent="0.25">
      <c r="A91" s="7" t="s">
        <v>58</v>
      </c>
      <c r="B91" s="2" t="s">
        <v>995</v>
      </c>
      <c r="C91" s="2" t="s">
        <v>996</v>
      </c>
      <c r="D91" s="2" t="s">
        <v>997</v>
      </c>
      <c r="F91" s="3" t="s">
        <v>58</v>
      </c>
      <c r="G91" s="3" t="s">
        <v>59</v>
      </c>
      <c r="H91" s="3" t="s">
        <v>58</v>
      </c>
      <c r="I91" s="3" t="s">
        <v>58</v>
      </c>
      <c r="J91" s="3" t="s">
        <v>60</v>
      </c>
      <c r="K91" s="2" t="s">
        <v>998</v>
      </c>
      <c r="L91" s="2" t="s">
        <v>999</v>
      </c>
      <c r="M91" s="3" t="s">
        <v>1000</v>
      </c>
      <c r="O91" s="3" t="s">
        <v>63</v>
      </c>
      <c r="P91" s="3" t="s">
        <v>129</v>
      </c>
      <c r="R91" s="3" t="s">
        <v>65</v>
      </c>
      <c r="S91" s="4">
        <v>1</v>
      </c>
      <c r="T91" s="4">
        <v>1</v>
      </c>
      <c r="U91" s="5" t="s">
        <v>1001</v>
      </c>
      <c r="V91" s="5" t="s">
        <v>1001</v>
      </c>
      <c r="W91" s="5" t="s">
        <v>1001</v>
      </c>
      <c r="X91" s="5" t="s">
        <v>1001</v>
      </c>
      <c r="Y91" s="4">
        <v>972</v>
      </c>
      <c r="Z91" s="4">
        <v>901</v>
      </c>
      <c r="AA91" s="4">
        <v>921</v>
      </c>
      <c r="AB91" s="4">
        <v>10</v>
      </c>
      <c r="AC91" s="4">
        <v>10</v>
      </c>
      <c r="AD91" s="4">
        <v>26</v>
      </c>
      <c r="AE91" s="4">
        <v>26</v>
      </c>
      <c r="AF91" s="4">
        <v>10</v>
      </c>
      <c r="AG91" s="4">
        <v>10</v>
      </c>
      <c r="AH91" s="4">
        <v>3</v>
      </c>
      <c r="AI91" s="4">
        <v>3</v>
      </c>
      <c r="AJ91" s="4">
        <v>12</v>
      </c>
      <c r="AK91" s="4">
        <v>12</v>
      </c>
      <c r="AL91" s="4">
        <v>7</v>
      </c>
      <c r="AM91" s="4">
        <v>7</v>
      </c>
      <c r="AN91" s="4">
        <v>0</v>
      </c>
      <c r="AO91" s="4">
        <v>0</v>
      </c>
      <c r="AP91" s="3" t="s">
        <v>58</v>
      </c>
      <c r="AQ91" s="3" t="s">
        <v>58</v>
      </c>
      <c r="AS91" s="6" t="str">
        <f>HYPERLINK("https://creighton-primo.hosted.exlibrisgroup.com/primo-explore/search?tab=default_tab&amp;search_scope=EVERYTHING&amp;vid=01CRU&amp;lang=en_US&amp;offset=0&amp;query=any,contains,991004531369702656","Catalog Record")</f>
        <v>Catalog Record</v>
      </c>
      <c r="AT91" s="6" t="str">
        <f>HYPERLINK("http://www.worldcat.org/oclc/57243361","WorldCat Record")</f>
        <v>WorldCat Record</v>
      </c>
      <c r="AU91" s="3" t="s">
        <v>1002</v>
      </c>
      <c r="AV91" s="3" t="s">
        <v>1003</v>
      </c>
      <c r="AW91" s="3" t="s">
        <v>1004</v>
      </c>
      <c r="AX91" s="3" t="s">
        <v>1004</v>
      </c>
      <c r="AY91" s="3" t="s">
        <v>1005</v>
      </c>
      <c r="AZ91" s="3" t="s">
        <v>73</v>
      </c>
      <c r="BB91" s="3" t="s">
        <v>1006</v>
      </c>
      <c r="BC91" s="3" t="s">
        <v>1007</v>
      </c>
      <c r="BD91" s="3" t="s">
        <v>1008</v>
      </c>
    </row>
    <row r="92" spans="1:56" ht="31.5" customHeight="1" x14ac:dyDescent="0.25">
      <c r="A92" s="7" t="s">
        <v>58</v>
      </c>
      <c r="B92" s="2" t="s">
        <v>1009</v>
      </c>
      <c r="C92" s="2" t="s">
        <v>1010</v>
      </c>
      <c r="D92" s="2" t="s">
        <v>1011</v>
      </c>
      <c r="F92" s="3" t="s">
        <v>58</v>
      </c>
      <c r="G92" s="3" t="s">
        <v>59</v>
      </c>
      <c r="H92" s="3" t="s">
        <v>58</v>
      </c>
      <c r="I92" s="3" t="s">
        <v>58</v>
      </c>
      <c r="J92" s="3" t="s">
        <v>60</v>
      </c>
      <c r="K92" s="2" t="s">
        <v>1012</v>
      </c>
      <c r="L92" s="2" t="s">
        <v>1013</v>
      </c>
      <c r="M92" s="3" t="s">
        <v>97</v>
      </c>
      <c r="O92" s="3" t="s">
        <v>63</v>
      </c>
      <c r="P92" s="3" t="s">
        <v>1014</v>
      </c>
      <c r="Q92" s="2" t="s">
        <v>1015</v>
      </c>
      <c r="R92" s="3" t="s">
        <v>65</v>
      </c>
      <c r="S92" s="4">
        <v>5</v>
      </c>
      <c r="T92" s="4">
        <v>5</v>
      </c>
      <c r="U92" s="5" t="s">
        <v>245</v>
      </c>
      <c r="V92" s="5" t="s">
        <v>245</v>
      </c>
      <c r="W92" s="5" t="s">
        <v>1016</v>
      </c>
      <c r="X92" s="5" t="s">
        <v>1016</v>
      </c>
      <c r="Y92" s="4">
        <v>114</v>
      </c>
      <c r="Z92" s="4">
        <v>84</v>
      </c>
      <c r="AA92" s="4">
        <v>103</v>
      </c>
      <c r="AB92" s="4">
        <v>3</v>
      </c>
      <c r="AC92" s="4">
        <v>3</v>
      </c>
      <c r="AD92" s="4">
        <v>5</v>
      </c>
      <c r="AE92" s="4">
        <v>7</v>
      </c>
      <c r="AF92" s="4">
        <v>0</v>
      </c>
      <c r="AG92" s="4">
        <v>1</v>
      </c>
      <c r="AH92" s="4">
        <v>2</v>
      </c>
      <c r="AI92" s="4">
        <v>4</v>
      </c>
      <c r="AJ92" s="4">
        <v>2</v>
      </c>
      <c r="AK92" s="4">
        <v>3</v>
      </c>
      <c r="AL92" s="4">
        <v>2</v>
      </c>
      <c r="AM92" s="4">
        <v>2</v>
      </c>
      <c r="AN92" s="4">
        <v>0</v>
      </c>
      <c r="AO92" s="4">
        <v>0</v>
      </c>
      <c r="AP92" s="3" t="s">
        <v>58</v>
      </c>
      <c r="AQ92" s="3" t="s">
        <v>68</v>
      </c>
      <c r="AR92" s="6" t="str">
        <f>HYPERLINK("http://catalog.hathitrust.org/Record/002490372","HathiTrust Record")</f>
        <v>HathiTrust Record</v>
      </c>
      <c r="AS92" s="6" t="str">
        <f>HYPERLINK("https://creighton-primo.hosted.exlibrisgroup.com/primo-explore/search?tab=default_tab&amp;search_scope=EVERYTHING&amp;vid=01CRU&amp;lang=en_US&amp;offset=0&amp;query=any,contains,991001476989702656","Catalog Record")</f>
        <v>Catalog Record</v>
      </c>
      <c r="AT92" s="6" t="str">
        <f>HYPERLINK("http://www.worldcat.org/oclc/19581251","WorldCat Record")</f>
        <v>WorldCat Record</v>
      </c>
      <c r="AU92" s="3" t="s">
        <v>1017</v>
      </c>
      <c r="AV92" s="3" t="s">
        <v>1018</v>
      </c>
      <c r="AW92" s="3" t="s">
        <v>1019</v>
      </c>
      <c r="AX92" s="3" t="s">
        <v>1019</v>
      </c>
      <c r="AY92" s="3" t="s">
        <v>1020</v>
      </c>
      <c r="AZ92" s="3" t="s">
        <v>73</v>
      </c>
      <c r="BB92" s="3" t="s">
        <v>1021</v>
      </c>
      <c r="BC92" s="3" t="s">
        <v>1022</v>
      </c>
      <c r="BD92" s="3" t="s">
        <v>1023</v>
      </c>
    </row>
    <row r="93" spans="1:56" ht="31.5" customHeight="1" x14ac:dyDescent="0.25">
      <c r="A93" s="7" t="s">
        <v>58</v>
      </c>
      <c r="B93" s="2" t="s">
        <v>1024</v>
      </c>
      <c r="C93" s="2" t="s">
        <v>1025</v>
      </c>
      <c r="D93" s="2" t="s">
        <v>1026</v>
      </c>
      <c r="F93" s="3" t="s">
        <v>58</v>
      </c>
      <c r="G93" s="3" t="s">
        <v>59</v>
      </c>
      <c r="H93" s="3" t="s">
        <v>58</v>
      </c>
      <c r="I93" s="3" t="s">
        <v>58</v>
      </c>
      <c r="J93" s="3" t="s">
        <v>60</v>
      </c>
      <c r="K93" s="2" t="s">
        <v>1027</v>
      </c>
      <c r="L93" s="2" t="s">
        <v>1028</v>
      </c>
      <c r="M93" s="3" t="s">
        <v>1029</v>
      </c>
      <c r="O93" s="3" t="s">
        <v>63</v>
      </c>
      <c r="P93" s="3" t="s">
        <v>64</v>
      </c>
      <c r="R93" s="3" t="s">
        <v>65</v>
      </c>
      <c r="S93" s="4">
        <v>1</v>
      </c>
      <c r="T93" s="4">
        <v>1</v>
      </c>
      <c r="U93" s="5" t="s">
        <v>1030</v>
      </c>
      <c r="V93" s="5" t="s">
        <v>1030</v>
      </c>
      <c r="W93" s="5" t="s">
        <v>1031</v>
      </c>
      <c r="X93" s="5" t="s">
        <v>1031</v>
      </c>
      <c r="Y93" s="4">
        <v>523</v>
      </c>
      <c r="Z93" s="4">
        <v>443</v>
      </c>
      <c r="AA93" s="4">
        <v>538</v>
      </c>
      <c r="AB93" s="4">
        <v>3</v>
      </c>
      <c r="AC93" s="4">
        <v>3</v>
      </c>
      <c r="AD93" s="4">
        <v>19</v>
      </c>
      <c r="AE93" s="4">
        <v>23</v>
      </c>
      <c r="AF93" s="4">
        <v>8</v>
      </c>
      <c r="AG93" s="4">
        <v>10</v>
      </c>
      <c r="AH93" s="4">
        <v>4</v>
      </c>
      <c r="AI93" s="4">
        <v>7</v>
      </c>
      <c r="AJ93" s="4">
        <v>9</v>
      </c>
      <c r="AK93" s="4">
        <v>11</v>
      </c>
      <c r="AL93" s="4">
        <v>2</v>
      </c>
      <c r="AM93" s="4">
        <v>2</v>
      </c>
      <c r="AN93" s="4">
        <v>0</v>
      </c>
      <c r="AO93" s="4">
        <v>0</v>
      </c>
      <c r="AP93" s="3" t="s">
        <v>58</v>
      </c>
      <c r="AQ93" s="3" t="s">
        <v>58</v>
      </c>
      <c r="AR93" s="6" t="str">
        <f>HYPERLINK("http://catalog.hathitrust.org/Record/001990310","HathiTrust Record")</f>
        <v>HathiTrust Record</v>
      </c>
      <c r="AS93" s="6" t="str">
        <f>HYPERLINK("https://creighton-primo.hosted.exlibrisgroup.com/primo-explore/search?tab=default_tab&amp;search_scope=EVERYTHING&amp;vid=01CRU&amp;lang=en_US&amp;offset=0&amp;query=any,contains,991003228099702656","Catalog Record")</f>
        <v>Catalog Record</v>
      </c>
      <c r="AT93" s="6" t="str">
        <f>HYPERLINK("http://www.worldcat.org/oclc/753277","WorldCat Record")</f>
        <v>WorldCat Record</v>
      </c>
      <c r="AU93" s="3" t="s">
        <v>1032</v>
      </c>
      <c r="AV93" s="3" t="s">
        <v>1033</v>
      </c>
      <c r="AW93" s="3" t="s">
        <v>1034</v>
      </c>
      <c r="AX93" s="3" t="s">
        <v>1034</v>
      </c>
      <c r="AY93" s="3" t="s">
        <v>1035</v>
      </c>
      <c r="AZ93" s="3" t="s">
        <v>73</v>
      </c>
      <c r="BC93" s="3" t="s">
        <v>1036</v>
      </c>
      <c r="BD93" s="3" t="s">
        <v>1037</v>
      </c>
    </row>
    <row r="94" spans="1:56" ht="31.5" customHeight="1" x14ac:dyDescent="0.25">
      <c r="A94" s="7" t="s">
        <v>58</v>
      </c>
      <c r="B94" s="2" t="s">
        <v>1038</v>
      </c>
      <c r="C94" s="2" t="s">
        <v>1039</v>
      </c>
      <c r="D94" s="2" t="s">
        <v>1040</v>
      </c>
      <c r="E94" s="3" t="s">
        <v>1041</v>
      </c>
      <c r="F94" s="3" t="s">
        <v>68</v>
      </c>
      <c r="G94" s="3" t="s">
        <v>59</v>
      </c>
      <c r="H94" s="3" t="s">
        <v>58</v>
      </c>
      <c r="I94" s="3" t="s">
        <v>58</v>
      </c>
      <c r="J94" s="3" t="s">
        <v>60</v>
      </c>
      <c r="K94" s="2" t="s">
        <v>1042</v>
      </c>
      <c r="L94" s="2" t="s">
        <v>1043</v>
      </c>
      <c r="M94" s="3" t="s">
        <v>416</v>
      </c>
      <c r="O94" s="3" t="s">
        <v>63</v>
      </c>
      <c r="P94" s="3" t="s">
        <v>129</v>
      </c>
      <c r="R94" s="3" t="s">
        <v>65</v>
      </c>
      <c r="S94" s="4">
        <v>1</v>
      </c>
      <c r="T94" s="4">
        <v>1</v>
      </c>
      <c r="U94" s="5" t="s">
        <v>1044</v>
      </c>
      <c r="V94" s="5" t="s">
        <v>1044</v>
      </c>
      <c r="W94" s="5" t="s">
        <v>518</v>
      </c>
      <c r="X94" s="5" t="s">
        <v>518</v>
      </c>
      <c r="Y94" s="4">
        <v>379</v>
      </c>
      <c r="Z94" s="4">
        <v>293</v>
      </c>
      <c r="AA94" s="4">
        <v>296</v>
      </c>
      <c r="AB94" s="4">
        <v>3</v>
      </c>
      <c r="AC94" s="4">
        <v>3</v>
      </c>
      <c r="AD94" s="4">
        <v>10</v>
      </c>
      <c r="AE94" s="4">
        <v>10</v>
      </c>
      <c r="AF94" s="4">
        <v>1</v>
      </c>
      <c r="AG94" s="4">
        <v>1</v>
      </c>
      <c r="AH94" s="4">
        <v>2</v>
      </c>
      <c r="AI94" s="4">
        <v>2</v>
      </c>
      <c r="AJ94" s="4">
        <v>7</v>
      </c>
      <c r="AK94" s="4">
        <v>7</v>
      </c>
      <c r="AL94" s="4">
        <v>2</v>
      </c>
      <c r="AM94" s="4">
        <v>2</v>
      </c>
      <c r="AN94" s="4">
        <v>0</v>
      </c>
      <c r="AO94" s="4">
        <v>0</v>
      </c>
      <c r="AP94" s="3" t="s">
        <v>58</v>
      </c>
      <c r="AQ94" s="3" t="s">
        <v>68</v>
      </c>
      <c r="AR94" s="6" t="str">
        <f t="shared" ref="AR94:AR102" si="2">HYPERLINK("http://catalog.hathitrust.org/Record/000319541","HathiTrust Record")</f>
        <v>HathiTrust Record</v>
      </c>
      <c r="AS94" s="6" t="str">
        <f t="shared" ref="AS94:AS102" si="3">HYPERLINK("https://creighton-primo.hosted.exlibrisgroup.com/primo-explore/search?tab=default_tab&amp;search_scope=EVERYTHING&amp;vid=01CRU&amp;lang=en_US&amp;offset=0&amp;query=any,contains,991000615519702656","Catalog Record")</f>
        <v>Catalog Record</v>
      </c>
      <c r="AT94" s="6" t="str">
        <f t="shared" ref="AT94:AT102" si="4">HYPERLINK("http://www.worldcat.org/oclc/101594","WorldCat Record")</f>
        <v>WorldCat Record</v>
      </c>
      <c r="AU94" s="3" t="s">
        <v>1045</v>
      </c>
      <c r="AV94" s="3" t="s">
        <v>1046</v>
      </c>
      <c r="AW94" s="3" t="s">
        <v>1047</v>
      </c>
      <c r="AX94" s="3" t="s">
        <v>1047</v>
      </c>
      <c r="AY94" s="3" t="s">
        <v>1048</v>
      </c>
      <c r="AZ94" s="3" t="s">
        <v>73</v>
      </c>
      <c r="BB94" s="3" t="s">
        <v>1049</v>
      </c>
      <c r="BC94" s="3" t="s">
        <v>1050</v>
      </c>
      <c r="BD94" s="3" t="s">
        <v>1051</v>
      </c>
    </row>
    <row r="95" spans="1:56" ht="31.5" customHeight="1" x14ac:dyDescent="0.25">
      <c r="A95" s="7" t="s">
        <v>58</v>
      </c>
      <c r="B95" s="2" t="s">
        <v>1052</v>
      </c>
      <c r="C95" s="2" t="s">
        <v>1053</v>
      </c>
      <c r="D95" s="2" t="s">
        <v>1040</v>
      </c>
      <c r="E95" s="3" t="s">
        <v>1054</v>
      </c>
      <c r="F95" s="3" t="s">
        <v>68</v>
      </c>
      <c r="G95" s="3" t="s">
        <v>59</v>
      </c>
      <c r="H95" s="3" t="s">
        <v>58</v>
      </c>
      <c r="I95" s="3" t="s">
        <v>58</v>
      </c>
      <c r="J95" s="3" t="s">
        <v>60</v>
      </c>
      <c r="K95" s="2" t="s">
        <v>1042</v>
      </c>
      <c r="L95" s="2" t="s">
        <v>1043</v>
      </c>
      <c r="M95" s="3" t="s">
        <v>416</v>
      </c>
      <c r="O95" s="3" t="s">
        <v>63</v>
      </c>
      <c r="P95" s="3" t="s">
        <v>129</v>
      </c>
      <c r="R95" s="3" t="s">
        <v>65</v>
      </c>
      <c r="S95" s="4">
        <v>0</v>
      </c>
      <c r="T95" s="4">
        <v>1</v>
      </c>
      <c r="V95" s="5" t="s">
        <v>1044</v>
      </c>
      <c r="W95" s="5" t="s">
        <v>518</v>
      </c>
      <c r="X95" s="5" t="s">
        <v>518</v>
      </c>
      <c r="Y95" s="4">
        <v>379</v>
      </c>
      <c r="Z95" s="4">
        <v>293</v>
      </c>
      <c r="AA95" s="4">
        <v>296</v>
      </c>
      <c r="AB95" s="4">
        <v>3</v>
      </c>
      <c r="AC95" s="4">
        <v>3</v>
      </c>
      <c r="AD95" s="4">
        <v>10</v>
      </c>
      <c r="AE95" s="4">
        <v>10</v>
      </c>
      <c r="AF95" s="4">
        <v>1</v>
      </c>
      <c r="AG95" s="4">
        <v>1</v>
      </c>
      <c r="AH95" s="4">
        <v>2</v>
      </c>
      <c r="AI95" s="4">
        <v>2</v>
      </c>
      <c r="AJ95" s="4">
        <v>7</v>
      </c>
      <c r="AK95" s="4">
        <v>7</v>
      </c>
      <c r="AL95" s="4">
        <v>2</v>
      </c>
      <c r="AM95" s="4">
        <v>2</v>
      </c>
      <c r="AN95" s="4">
        <v>0</v>
      </c>
      <c r="AO95" s="4">
        <v>0</v>
      </c>
      <c r="AP95" s="3" t="s">
        <v>58</v>
      </c>
      <c r="AQ95" s="3" t="s">
        <v>68</v>
      </c>
      <c r="AR95" s="6" t="str">
        <f t="shared" si="2"/>
        <v>HathiTrust Record</v>
      </c>
      <c r="AS95" s="6" t="str">
        <f t="shared" si="3"/>
        <v>Catalog Record</v>
      </c>
      <c r="AT95" s="6" t="str">
        <f t="shared" si="4"/>
        <v>WorldCat Record</v>
      </c>
      <c r="AU95" s="3" t="s">
        <v>1045</v>
      </c>
      <c r="AV95" s="3" t="s">
        <v>1046</v>
      </c>
      <c r="AW95" s="3" t="s">
        <v>1047</v>
      </c>
      <c r="AX95" s="3" t="s">
        <v>1047</v>
      </c>
      <c r="AY95" s="3" t="s">
        <v>1048</v>
      </c>
      <c r="AZ95" s="3" t="s">
        <v>73</v>
      </c>
      <c r="BB95" s="3" t="s">
        <v>1049</v>
      </c>
      <c r="BC95" s="3" t="s">
        <v>1055</v>
      </c>
      <c r="BD95" s="3" t="s">
        <v>1056</v>
      </c>
    </row>
    <row r="96" spans="1:56" ht="31.5" customHeight="1" x14ac:dyDescent="0.25">
      <c r="A96" s="7" t="s">
        <v>58</v>
      </c>
      <c r="B96" s="2" t="s">
        <v>1057</v>
      </c>
      <c r="C96" s="2" t="s">
        <v>1058</v>
      </c>
      <c r="D96" s="2" t="s">
        <v>1040</v>
      </c>
      <c r="E96" s="3" t="s">
        <v>1059</v>
      </c>
      <c r="F96" s="3" t="s">
        <v>68</v>
      </c>
      <c r="G96" s="3" t="s">
        <v>59</v>
      </c>
      <c r="H96" s="3" t="s">
        <v>58</v>
      </c>
      <c r="I96" s="3" t="s">
        <v>58</v>
      </c>
      <c r="J96" s="3" t="s">
        <v>60</v>
      </c>
      <c r="K96" s="2" t="s">
        <v>1042</v>
      </c>
      <c r="L96" s="2" t="s">
        <v>1043</v>
      </c>
      <c r="M96" s="3" t="s">
        <v>416</v>
      </c>
      <c r="O96" s="3" t="s">
        <v>63</v>
      </c>
      <c r="P96" s="3" t="s">
        <v>129</v>
      </c>
      <c r="R96" s="3" t="s">
        <v>65</v>
      </c>
      <c r="S96" s="4">
        <v>0</v>
      </c>
      <c r="T96" s="4">
        <v>1</v>
      </c>
      <c r="V96" s="5" t="s">
        <v>1044</v>
      </c>
      <c r="W96" s="5" t="s">
        <v>518</v>
      </c>
      <c r="X96" s="5" t="s">
        <v>518</v>
      </c>
      <c r="Y96" s="4">
        <v>379</v>
      </c>
      <c r="Z96" s="4">
        <v>293</v>
      </c>
      <c r="AA96" s="4">
        <v>296</v>
      </c>
      <c r="AB96" s="4">
        <v>3</v>
      </c>
      <c r="AC96" s="4">
        <v>3</v>
      </c>
      <c r="AD96" s="4">
        <v>10</v>
      </c>
      <c r="AE96" s="4">
        <v>10</v>
      </c>
      <c r="AF96" s="4">
        <v>1</v>
      </c>
      <c r="AG96" s="4">
        <v>1</v>
      </c>
      <c r="AH96" s="4">
        <v>2</v>
      </c>
      <c r="AI96" s="4">
        <v>2</v>
      </c>
      <c r="AJ96" s="4">
        <v>7</v>
      </c>
      <c r="AK96" s="4">
        <v>7</v>
      </c>
      <c r="AL96" s="4">
        <v>2</v>
      </c>
      <c r="AM96" s="4">
        <v>2</v>
      </c>
      <c r="AN96" s="4">
        <v>0</v>
      </c>
      <c r="AO96" s="4">
        <v>0</v>
      </c>
      <c r="AP96" s="3" t="s">
        <v>58</v>
      </c>
      <c r="AQ96" s="3" t="s">
        <v>68</v>
      </c>
      <c r="AR96" s="6" t="str">
        <f t="shared" si="2"/>
        <v>HathiTrust Record</v>
      </c>
      <c r="AS96" s="6" t="str">
        <f t="shared" si="3"/>
        <v>Catalog Record</v>
      </c>
      <c r="AT96" s="6" t="str">
        <f t="shared" si="4"/>
        <v>WorldCat Record</v>
      </c>
      <c r="AU96" s="3" t="s">
        <v>1045</v>
      </c>
      <c r="AV96" s="3" t="s">
        <v>1046</v>
      </c>
      <c r="AW96" s="3" t="s">
        <v>1047</v>
      </c>
      <c r="AX96" s="3" t="s">
        <v>1047</v>
      </c>
      <c r="AY96" s="3" t="s">
        <v>1048</v>
      </c>
      <c r="AZ96" s="3" t="s">
        <v>73</v>
      </c>
      <c r="BB96" s="3" t="s">
        <v>1049</v>
      </c>
      <c r="BC96" s="3" t="s">
        <v>1060</v>
      </c>
      <c r="BD96" s="3" t="s">
        <v>1061</v>
      </c>
    </row>
    <row r="97" spans="1:56" ht="31.5" customHeight="1" x14ac:dyDescent="0.25">
      <c r="A97" s="7" t="s">
        <v>58</v>
      </c>
      <c r="B97" s="2" t="s">
        <v>1062</v>
      </c>
      <c r="C97" s="2" t="s">
        <v>1063</v>
      </c>
      <c r="D97" s="2" t="s">
        <v>1040</v>
      </c>
      <c r="E97" s="3" t="s">
        <v>1064</v>
      </c>
      <c r="F97" s="3" t="s">
        <v>68</v>
      </c>
      <c r="G97" s="3" t="s">
        <v>59</v>
      </c>
      <c r="H97" s="3" t="s">
        <v>58</v>
      </c>
      <c r="I97" s="3" t="s">
        <v>58</v>
      </c>
      <c r="J97" s="3" t="s">
        <v>60</v>
      </c>
      <c r="K97" s="2" t="s">
        <v>1042</v>
      </c>
      <c r="L97" s="2" t="s">
        <v>1043</v>
      </c>
      <c r="M97" s="3" t="s">
        <v>416</v>
      </c>
      <c r="O97" s="3" t="s">
        <v>63</v>
      </c>
      <c r="P97" s="3" t="s">
        <v>129</v>
      </c>
      <c r="R97" s="3" t="s">
        <v>65</v>
      </c>
      <c r="S97" s="4">
        <v>0</v>
      </c>
      <c r="T97" s="4">
        <v>1</v>
      </c>
      <c r="V97" s="5" t="s">
        <v>1044</v>
      </c>
      <c r="W97" s="5" t="s">
        <v>518</v>
      </c>
      <c r="X97" s="5" t="s">
        <v>518</v>
      </c>
      <c r="Y97" s="4">
        <v>379</v>
      </c>
      <c r="Z97" s="4">
        <v>293</v>
      </c>
      <c r="AA97" s="4">
        <v>296</v>
      </c>
      <c r="AB97" s="4">
        <v>3</v>
      </c>
      <c r="AC97" s="4">
        <v>3</v>
      </c>
      <c r="AD97" s="4">
        <v>10</v>
      </c>
      <c r="AE97" s="4">
        <v>10</v>
      </c>
      <c r="AF97" s="4">
        <v>1</v>
      </c>
      <c r="AG97" s="4">
        <v>1</v>
      </c>
      <c r="AH97" s="4">
        <v>2</v>
      </c>
      <c r="AI97" s="4">
        <v>2</v>
      </c>
      <c r="AJ97" s="4">
        <v>7</v>
      </c>
      <c r="AK97" s="4">
        <v>7</v>
      </c>
      <c r="AL97" s="4">
        <v>2</v>
      </c>
      <c r="AM97" s="4">
        <v>2</v>
      </c>
      <c r="AN97" s="4">
        <v>0</v>
      </c>
      <c r="AO97" s="4">
        <v>0</v>
      </c>
      <c r="AP97" s="3" t="s">
        <v>58</v>
      </c>
      <c r="AQ97" s="3" t="s">
        <v>68</v>
      </c>
      <c r="AR97" s="6" t="str">
        <f t="shared" si="2"/>
        <v>HathiTrust Record</v>
      </c>
      <c r="AS97" s="6" t="str">
        <f t="shared" si="3"/>
        <v>Catalog Record</v>
      </c>
      <c r="AT97" s="6" t="str">
        <f t="shared" si="4"/>
        <v>WorldCat Record</v>
      </c>
      <c r="AU97" s="3" t="s">
        <v>1045</v>
      </c>
      <c r="AV97" s="3" t="s">
        <v>1046</v>
      </c>
      <c r="AW97" s="3" t="s">
        <v>1047</v>
      </c>
      <c r="AX97" s="3" t="s">
        <v>1047</v>
      </c>
      <c r="AY97" s="3" t="s">
        <v>1048</v>
      </c>
      <c r="AZ97" s="3" t="s">
        <v>73</v>
      </c>
      <c r="BB97" s="3" t="s">
        <v>1049</v>
      </c>
      <c r="BC97" s="3" t="s">
        <v>1065</v>
      </c>
      <c r="BD97" s="3" t="s">
        <v>1066</v>
      </c>
    </row>
    <row r="98" spans="1:56" ht="31.5" customHeight="1" x14ac:dyDescent="0.25">
      <c r="A98" s="7" t="s">
        <v>58</v>
      </c>
      <c r="B98" s="2" t="s">
        <v>1067</v>
      </c>
      <c r="C98" s="2" t="s">
        <v>1068</v>
      </c>
      <c r="D98" s="2" t="s">
        <v>1040</v>
      </c>
      <c r="E98" s="3" t="s">
        <v>1069</v>
      </c>
      <c r="F98" s="3" t="s">
        <v>68</v>
      </c>
      <c r="G98" s="3" t="s">
        <v>59</v>
      </c>
      <c r="H98" s="3" t="s">
        <v>58</v>
      </c>
      <c r="I98" s="3" t="s">
        <v>58</v>
      </c>
      <c r="J98" s="3" t="s">
        <v>60</v>
      </c>
      <c r="K98" s="2" t="s">
        <v>1042</v>
      </c>
      <c r="L98" s="2" t="s">
        <v>1043</v>
      </c>
      <c r="M98" s="3" t="s">
        <v>416</v>
      </c>
      <c r="O98" s="3" t="s">
        <v>63</v>
      </c>
      <c r="P98" s="3" t="s">
        <v>129</v>
      </c>
      <c r="R98" s="3" t="s">
        <v>65</v>
      </c>
      <c r="S98" s="4">
        <v>0</v>
      </c>
      <c r="T98" s="4">
        <v>1</v>
      </c>
      <c r="V98" s="5" t="s">
        <v>1044</v>
      </c>
      <c r="W98" s="5" t="s">
        <v>518</v>
      </c>
      <c r="X98" s="5" t="s">
        <v>518</v>
      </c>
      <c r="Y98" s="4">
        <v>379</v>
      </c>
      <c r="Z98" s="4">
        <v>293</v>
      </c>
      <c r="AA98" s="4">
        <v>296</v>
      </c>
      <c r="AB98" s="4">
        <v>3</v>
      </c>
      <c r="AC98" s="4">
        <v>3</v>
      </c>
      <c r="AD98" s="4">
        <v>10</v>
      </c>
      <c r="AE98" s="4">
        <v>10</v>
      </c>
      <c r="AF98" s="4">
        <v>1</v>
      </c>
      <c r="AG98" s="4">
        <v>1</v>
      </c>
      <c r="AH98" s="4">
        <v>2</v>
      </c>
      <c r="AI98" s="4">
        <v>2</v>
      </c>
      <c r="AJ98" s="4">
        <v>7</v>
      </c>
      <c r="AK98" s="4">
        <v>7</v>
      </c>
      <c r="AL98" s="4">
        <v>2</v>
      </c>
      <c r="AM98" s="4">
        <v>2</v>
      </c>
      <c r="AN98" s="4">
        <v>0</v>
      </c>
      <c r="AO98" s="4">
        <v>0</v>
      </c>
      <c r="AP98" s="3" t="s">
        <v>58</v>
      </c>
      <c r="AQ98" s="3" t="s">
        <v>68</v>
      </c>
      <c r="AR98" s="6" t="str">
        <f t="shared" si="2"/>
        <v>HathiTrust Record</v>
      </c>
      <c r="AS98" s="6" t="str">
        <f t="shared" si="3"/>
        <v>Catalog Record</v>
      </c>
      <c r="AT98" s="6" t="str">
        <f t="shared" si="4"/>
        <v>WorldCat Record</v>
      </c>
      <c r="AU98" s="3" t="s">
        <v>1045</v>
      </c>
      <c r="AV98" s="3" t="s">
        <v>1046</v>
      </c>
      <c r="AW98" s="3" t="s">
        <v>1047</v>
      </c>
      <c r="AX98" s="3" t="s">
        <v>1047</v>
      </c>
      <c r="AY98" s="3" t="s">
        <v>1048</v>
      </c>
      <c r="AZ98" s="3" t="s">
        <v>73</v>
      </c>
      <c r="BB98" s="3" t="s">
        <v>1049</v>
      </c>
      <c r="BC98" s="3" t="s">
        <v>1070</v>
      </c>
      <c r="BD98" s="3" t="s">
        <v>1071</v>
      </c>
    </row>
    <row r="99" spans="1:56" ht="31.5" customHeight="1" x14ac:dyDescent="0.25">
      <c r="A99" s="7" t="s">
        <v>58</v>
      </c>
      <c r="B99" s="2" t="s">
        <v>1072</v>
      </c>
      <c r="C99" s="2" t="s">
        <v>1073</v>
      </c>
      <c r="D99" s="2" t="s">
        <v>1040</v>
      </c>
      <c r="E99" s="3" t="s">
        <v>1074</v>
      </c>
      <c r="F99" s="3" t="s">
        <v>68</v>
      </c>
      <c r="G99" s="3" t="s">
        <v>59</v>
      </c>
      <c r="H99" s="3" t="s">
        <v>58</v>
      </c>
      <c r="I99" s="3" t="s">
        <v>58</v>
      </c>
      <c r="J99" s="3" t="s">
        <v>60</v>
      </c>
      <c r="K99" s="2" t="s">
        <v>1042</v>
      </c>
      <c r="L99" s="2" t="s">
        <v>1043</v>
      </c>
      <c r="M99" s="3" t="s">
        <v>416</v>
      </c>
      <c r="O99" s="3" t="s">
        <v>63</v>
      </c>
      <c r="P99" s="3" t="s">
        <v>129</v>
      </c>
      <c r="R99" s="3" t="s">
        <v>65</v>
      </c>
      <c r="S99" s="4">
        <v>0</v>
      </c>
      <c r="T99" s="4">
        <v>1</v>
      </c>
      <c r="V99" s="5" t="s">
        <v>1044</v>
      </c>
      <c r="W99" s="5" t="s">
        <v>518</v>
      </c>
      <c r="X99" s="5" t="s">
        <v>518</v>
      </c>
      <c r="Y99" s="4">
        <v>379</v>
      </c>
      <c r="Z99" s="4">
        <v>293</v>
      </c>
      <c r="AA99" s="4">
        <v>296</v>
      </c>
      <c r="AB99" s="4">
        <v>3</v>
      </c>
      <c r="AC99" s="4">
        <v>3</v>
      </c>
      <c r="AD99" s="4">
        <v>10</v>
      </c>
      <c r="AE99" s="4">
        <v>10</v>
      </c>
      <c r="AF99" s="4">
        <v>1</v>
      </c>
      <c r="AG99" s="4">
        <v>1</v>
      </c>
      <c r="AH99" s="4">
        <v>2</v>
      </c>
      <c r="AI99" s="4">
        <v>2</v>
      </c>
      <c r="AJ99" s="4">
        <v>7</v>
      </c>
      <c r="AK99" s="4">
        <v>7</v>
      </c>
      <c r="AL99" s="4">
        <v>2</v>
      </c>
      <c r="AM99" s="4">
        <v>2</v>
      </c>
      <c r="AN99" s="4">
        <v>0</v>
      </c>
      <c r="AO99" s="4">
        <v>0</v>
      </c>
      <c r="AP99" s="3" t="s">
        <v>58</v>
      </c>
      <c r="AQ99" s="3" t="s">
        <v>68</v>
      </c>
      <c r="AR99" s="6" t="str">
        <f t="shared" si="2"/>
        <v>HathiTrust Record</v>
      </c>
      <c r="AS99" s="6" t="str">
        <f t="shared" si="3"/>
        <v>Catalog Record</v>
      </c>
      <c r="AT99" s="6" t="str">
        <f t="shared" si="4"/>
        <v>WorldCat Record</v>
      </c>
      <c r="AU99" s="3" t="s">
        <v>1045</v>
      </c>
      <c r="AV99" s="3" t="s">
        <v>1046</v>
      </c>
      <c r="AW99" s="3" t="s">
        <v>1047</v>
      </c>
      <c r="AX99" s="3" t="s">
        <v>1047</v>
      </c>
      <c r="AY99" s="3" t="s">
        <v>1048</v>
      </c>
      <c r="AZ99" s="3" t="s">
        <v>73</v>
      </c>
      <c r="BB99" s="3" t="s">
        <v>1049</v>
      </c>
      <c r="BC99" s="3" t="s">
        <v>1075</v>
      </c>
      <c r="BD99" s="3" t="s">
        <v>1076</v>
      </c>
    </row>
    <row r="100" spans="1:56" ht="31.5" customHeight="1" x14ac:dyDescent="0.25">
      <c r="A100" s="7" t="s">
        <v>58</v>
      </c>
      <c r="B100" s="2" t="s">
        <v>1077</v>
      </c>
      <c r="C100" s="2" t="s">
        <v>1078</v>
      </c>
      <c r="D100" s="2" t="s">
        <v>1040</v>
      </c>
      <c r="E100" s="3" t="s">
        <v>1079</v>
      </c>
      <c r="F100" s="3" t="s">
        <v>68</v>
      </c>
      <c r="G100" s="3" t="s">
        <v>59</v>
      </c>
      <c r="H100" s="3" t="s">
        <v>58</v>
      </c>
      <c r="I100" s="3" t="s">
        <v>58</v>
      </c>
      <c r="J100" s="3" t="s">
        <v>60</v>
      </c>
      <c r="K100" s="2" t="s">
        <v>1042</v>
      </c>
      <c r="L100" s="2" t="s">
        <v>1043</v>
      </c>
      <c r="M100" s="3" t="s">
        <v>416</v>
      </c>
      <c r="O100" s="3" t="s">
        <v>63</v>
      </c>
      <c r="P100" s="3" t="s">
        <v>129</v>
      </c>
      <c r="R100" s="3" t="s">
        <v>65</v>
      </c>
      <c r="S100" s="4">
        <v>0</v>
      </c>
      <c r="T100" s="4">
        <v>1</v>
      </c>
      <c r="V100" s="5" t="s">
        <v>1044</v>
      </c>
      <c r="W100" s="5" t="s">
        <v>518</v>
      </c>
      <c r="X100" s="5" t="s">
        <v>518</v>
      </c>
      <c r="Y100" s="4">
        <v>379</v>
      </c>
      <c r="Z100" s="4">
        <v>293</v>
      </c>
      <c r="AA100" s="4">
        <v>296</v>
      </c>
      <c r="AB100" s="4">
        <v>3</v>
      </c>
      <c r="AC100" s="4">
        <v>3</v>
      </c>
      <c r="AD100" s="4">
        <v>10</v>
      </c>
      <c r="AE100" s="4">
        <v>10</v>
      </c>
      <c r="AF100" s="4">
        <v>1</v>
      </c>
      <c r="AG100" s="4">
        <v>1</v>
      </c>
      <c r="AH100" s="4">
        <v>2</v>
      </c>
      <c r="AI100" s="4">
        <v>2</v>
      </c>
      <c r="AJ100" s="4">
        <v>7</v>
      </c>
      <c r="AK100" s="4">
        <v>7</v>
      </c>
      <c r="AL100" s="4">
        <v>2</v>
      </c>
      <c r="AM100" s="4">
        <v>2</v>
      </c>
      <c r="AN100" s="4">
        <v>0</v>
      </c>
      <c r="AO100" s="4">
        <v>0</v>
      </c>
      <c r="AP100" s="3" t="s">
        <v>58</v>
      </c>
      <c r="AQ100" s="3" t="s">
        <v>68</v>
      </c>
      <c r="AR100" s="6" t="str">
        <f t="shared" si="2"/>
        <v>HathiTrust Record</v>
      </c>
      <c r="AS100" s="6" t="str">
        <f t="shared" si="3"/>
        <v>Catalog Record</v>
      </c>
      <c r="AT100" s="6" t="str">
        <f t="shared" si="4"/>
        <v>WorldCat Record</v>
      </c>
      <c r="AU100" s="3" t="s">
        <v>1045</v>
      </c>
      <c r="AV100" s="3" t="s">
        <v>1046</v>
      </c>
      <c r="AW100" s="3" t="s">
        <v>1047</v>
      </c>
      <c r="AX100" s="3" t="s">
        <v>1047</v>
      </c>
      <c r="AY100" s="3" t="s">
        <v>1048</v>
      </c>
      <c r="AZ100" s="3" t="s">
        <v>73</v>
      </c>
      <c r="BB100" s="3" t="s">
        <v>1049</v>
      </c>
      <c r="BC100" s="3" t="s">
        <v>1080</v>
      </c>
      <c r="BD100" s="3" t="s">
        <v>1081</v>
      </c>
    </row>
    <row r="101" spans="1:56" ht="31.5" customHeight="1" x14ac:dyDescent="0.25">
      <c r="A101" s="7" t="s">
        <v>58</v>
      </c>
      <c r="B101" s="2" t="s">
        <v>1082</v>
      </c>
      <c r="C101" s="2" t="s">
        <v>1083</v>
      </c>
      <c r="D101" s="2" t="s">
        <v>1040</v>
      </c>
      <c r="E101" s="3" t="s">
        <v>1084</v>
      </c>
      <c r="F101" s="3" t="s">
        <v>68</v>
      </c>
      <c r="G101" s="3" t="s">
        <v>59</v>
      </c>
      <c r="H101" s="3" t="s">
        <v>58</v>
      </c>
      <c r="I101" s="3" t="s">
        <v>58</v>
      </c>
      <c r="J101" s="3" t="s">
        <v>60</v>
      </c>
      <c r="K101" s="2" t="s">
        <v>1042</v>
      </c>
      <c r="L101" s="2" t="s">
        <v>1043</v>
      </c>
      <c r="M101" s="3" t="s">
        <v>416</v>
      </c>
      <c r="O101" s="3" t="s">
        <v>63</v>
      </c>
      <c r="P101" s="3" t="s">
        <v>129</v>
      </c>
      <c r="R101" s="3" t="s">
        <v>65</v>
      </c>
      <c r="S101" s="4">
        <v>0</v>
      </c>
      <c r="T101" s="4">
        <v>1</v>
      </c>
      <c r="V101" s="5" t="s">
        <v>1044</v>
      </c>
      <c r="W101" s="5" t="s">
        <v>518</v>
      </c>
      <c r="X101" s="5" t="s">
        <v>518</v>
      </c>
      <c r="Y101" s="4">
        <v>379</v>
      </c>
      <c r="Z101" s="4">
        <v>293</v>
      </c>
      <c r="AA101" s="4">
        <v>296</v>
      </c>
      <c r="AB101" s="4">
        <v>3</v>
      </c>
      <c r="AC101" s="4">
        <v>3</v>
      </c>
      <c r="AD101" s="4">
        <v>10</v>
      </c>
      <c r="AE101" s="4">
        <v>10</v>
      </c>
      <c r="AF101" s="4">
        <v>1</v>
      </c>
      <c r="AG101" s="4">
        <v>1</v>
      </c>
      <c r="AH101" s="4">
        <v>2</v>
      </c>
      <c r="AI101" s="4">
        <v>2</v>
      </c>
      <c r="AJ101" s="4">
        <v>7</v>
      </c>
      <c r="AK101" s="4">
        <v>7</v>
      </c>
      <c r="AL101" s="4">
        <v>2</v>
      </c>
      <c r="AM101" s="4">
        <v>2</v>
      </c>
      <c r="AN101" s="4">
        <v>0</v>
      </c>
      <c r="AO101" s="4">
        <v>0</v>
      </c>
      <c r="AP101" s="3" t="s">
        <v>58</v>
      </c>
      <c r="AQ101" s="3" t="s">
        <v>68</v>
      </c>
      <c r="AR101" s="6" t="str">
        <f t="shared" si="2"/>
        <v>HathiTrust Record</v>
      </c>
      <c r="AS101" s="6" t="str">
        <f t="shared" si="3"/>
        <v>Catalog Record</v>
      </c>
      <c r="AT101" s="6" t="str">
        <f t="shared" si="4"/>
        <v>WorldCat Record</v>
      </c>
      <c r="AU101" s="3" t="s">
        <v>1045</v>
      </c>
      <c r="AV101" s="3" t="s">
        <v>1046</v>
      </c>
      <c r="AW101" s="3" t="s">
        <v>1047</v>
      </c>
      <c r="AX101" s="3" t="s">
        <v>1047</v>
      </c>
      <c r="AY101" s="3" t="s">
        <v>1048</v>
      </c>
      <c r="AZ101" s="3" t="s">
        <v>73</v>
      </c>
      <c r="BB101" s="3" t="s">
        <v>1049</v>
      </c>
      <c r="BC101" s="3" t="s">
        <v>1085</v>
      </c>
      <c r="BD101" s="3" t="s">
        <v>1086</v>
      </c>
    </row>
    <row r="102" spans="1:56" ht="31.5" customHeight="1" x14ac:dyDescent="0.25">
      <c r="A102" s="7" t="s">
        <v>58</v>
      </c>
      <c r="B102" s="2" t="s">
        <v>1087</v>
      </c>
      <c r="C102" s="2" t="s">
        <v>1088</v>
      </c>
      <c r="D102" s="2" t="s">
        <v>1040</v>
      </c>
      <c r="E102" s="3" t="s">
        <v>1089</v>
      </c>
      <c r="F102" s="3" t="s">
        <v>68</v>
      </c>
      <c r="G102" s="3" t="s">
        <v>59</v>
      </c>
      <c r="H102" s="3" t="s">
        <v>58</v>
      </c>
      <c r="I102" s="3" t="s">
        <v>58</v>
      </c>
      <c r="J102" s="3" t="s">
        <v>60</v>
      </c>
      <c r="K102" s="2" t="s">
        <v>1042</v>
      </c>
      <c r="L102" s="2" t="s">
        <v>1043</v>
      </c>
      <c r="M102" s="3" t="s">
        <v>416</v>
      </c>
      <c r="O102" s="3" t="s">
        <v>63</v>
      </c>
      <c r="P102" s="3" t="s">
        <v>129</v>
      </c>
      <c r="R102" s="3" t="s">
        <v>65</v>
      </c>
      <c r="S102" s="4">
        <v>0</v>
      </c>
      <c r="T102" s="4">
        <v>1</v>
      </c>
      <c r="V102" s="5" t="s">
        <v>1044</v>
      </c>
      <c r="W102" s="5" t="s">
        <v>518</v>
      </c>
      <c r="X102" s="5" t="s">
        <v>518</v>
      </c>
      <c r="Y102" s="4">
        <v>379</v>
      </c>
      <c r="Z102" s="4">
        <v>293</v>
      </c>
      <c r="AA102" s="4">
        <v>296</v>
      </c>
      <c r="AB102" s="4">
        <v>3</v>
      </c>
      <c r="AC102" s="4">
        <v>3</v>
      </c>
      <c r="AD102" s="4">
        <v>10</v>
      </c>
      <c r="AE102" s="4">
        <v>10</v>
      </c>
      <c r="AF102" s="4">
        <v>1</v>
      </c>
      <c r="AG102" s="4">
        <v>1</v>
      </c>
      <c r="AH102" s="4">
        <v>2</v>
      </c>
      <c r="AI102" s="4">
        <v>2</v>
      </c>
      <c r="AJ102" s="4">
        <v>7</v>
      </c>
      <c r="AK102" s="4">
        <v>7</v>
      </c>
      <c r="AL102" s="4">
        <v>2</v>
      </c>
      <c r="AM102" s="4">
        <v>2</v>
      </c>
      <c r="AN102" s="4">
        <v>0</v>
      </c>
      <c r="AO102" s="4">
        <v>0</v>
      </c>
      <c r="AP102" s="3" t="s">
        <v>58</v>
      </c>
      <c r="AQ102" s="3" t="s">
        <v>68</v>
      </c>
      <c r="AR102" s="6" t="str">
        <f t="shared" si="2"/>
        <v>HathiTrust Record</v>
      </c>
      <c r="AS102" s="6" t="str">
        <f t="shared" si="3"/>
        <v>Catalog Record</v>
      </c>
      <c r="AT102" s="6" t="str">
        <f t="shared" si="4"/>
        <v>WorldCat Record</v>
      </c>
      <c r="AU102" s="3" t="s">
        <v>1045</v>
      </c>
      <c r="AV102" s="3" t="s">
        <v>1046</v>
      </c>
      <c r="AW102" s="3" t="s">
        <v>1047</v>
      </c>
      <c r="AX102" s="3" t="s">
        <v>1047</v>
      </c>
      <c r="AY102" s="3" t="s">
        <v>1048</v>
      </c>
      <c r="AZ102" s="3" t="s">
        <v>73</v>
      </c>
      <c r="BB102" s="3" t="s">
        <v>1049</v>
      </c>
      <c r="BC102" s="3" t="s">
        <v>1090</v>
      </c>
      <c r="BD102" s="3" t="s">
        <v>1091</v>
      </c>
    </row>
    <row r="103" spans="1:56" ht="31.5" customHeight="1" x14ac:dyDescent="0.25">
      <c r="A103" s="7" t="s">
        <v>58</v>
      </c>
      <c r="B103" s="2" t="s">
        <v>1092</v>
      </c>
      <c r="C103" s="2" t="s">
        <v>1093</v>
      </c>
      <c r="D103" s="2" t="s">
        <v>1094</v>
      </c>
      <c r="F103" s="3" t="s">
        <v>58</v>
      </c>
      <c r="G103" s="3" t="s">
        <v>59</v>
      </c>
      <c r="H103" s="3" t="s">
        <v>58</v>
      </c>
      <c r="I103" s="3" t="s">
        <v>58</v>
      </c>
      <c r="J103" s="3" t="s">
        <v>60</v>
      </c>
      <c r="K103" s="2" t="s">
        <v>1095</v>
      </c>
      <c r="L103" s="2" t="s">
        <v>1096</v>
      </c>
      <c r="M103" s="3" t="s">
        <v>128</v>
      </c>
      <c r="O103" s="3" t="s">
        <v>63</v>
      </c>
      <c r="P103" s="3" t="s">
        <v>64</v>
      </c>
      <c r="R103" s="3" t="s">
        <v>65</v>
      </c>
      <c r="S103" s="4">
        <v>4</v>
      </c>
      <c r="T103" s="4">
        <v>4</v>
      </c>
      <c r="U103" s="5" t="s">
        <v>1097</v>
      </c>
      <c r="V103" s="5" t="s">
        <v>1097</v>
      </c>
      <c r="W103" s="5" t="s">
        <v>1098</v>
      </c>
      <c r="X103" s="5" t="s">
        <v>1098</v>
      </c>
      <c r="Y103" s="4">
        <v>1178</v>
      </c>
      <c r="Z103" s="4">
        <v>1018</v>
      </c>
      <c r="AA103" s="4">
        <v>1026</v>
      </c>
      <c r="AB103" s="4">
        <v>6</v>
      </c>
      <c r="AC103" s="4">
        <v>6</v>
      </c>
      <c r="AD103" s="4">
        <v>32</v>
      </c>
      <c r="AE103" s="4">
        <v>32</v>
      </c>
      <c r="AF103" s="4">
        <v>11</v>
      </c>
      <c r="AG103" s="4">
        <v>11</v>
      </c>
      <c r="AH103" s="4">
        <v>8</v>
      </c>
      <c r="AI103" s="4">
        <v>8</v>
      </c>
      <c r="AJ103" s="4">
        <v>15</v>
      </c>
      <c r="AK103" s="4">
        <v>15</v>
      </c>
      <c r="AL103" s="4">
        <v>5</v>
      </c>
      <c r="AM103" s="4">
        <v>5</v>
      </c>
      <c r="AN103" s="4">
        <v>0</v>
      </c>
      <c r="AO103" s="4">
        <v>0</v>
      </c>
      <c r="AP103" s="3" t="s">
        <v>58</v>
      </c>
      <c r="AQ103" s="3" t="s">
        <v>58</v>
      </c>
      <c r="AS103" s="6" t="str">
        <f>HYPERLINK("https://creighton-primo.hosted.exlibrisgroup.com/primo-explore/search?tab=default_tab&amp;search_scope=EVERYTHING&amp;vid=01CRU&amp;lang=en_US&amp;offset=0&amp;query=any,contains,991002151959702656","Catalog Record")</f>
        <v>Catalog Record</v>
      </c>
      <c r="AT103" s="6" t="str">
        <f>HYPERLINK("http://www.worldcat.org/oclc/27727301","WorldCat Record")</f>
        <v>WorldCat Record</v>
      </c>
      <c r="AU103" s="3" t="s">
        <v>1099</v>
      </c>
      <c r="AV103" s="3" t="s">
        <v>1100</v>
      </c>
      <c r="AW103" s="3" t="s">
        <v>1101</v>
      </c>
      <c r="AX103" s="3" t="s">
        <v>1101</v>
      </c>
      <c r="AY103" s="3" t="s">
        <v>1102</v>
      </c>
      <c r="AZ103" s="3" t="s">
        <v>73</v>
      </c>
      <c r="BB103" s="3" t="s">
        <v>1103</v>
      </c>
      <c r="BC103" s="3" t="s">
        <v>1104</v>
      </c>
      <c r="BD103" s="3" t="s">
        <v>1105</v>
      </c>
    </row>
    <row r="104" spans="1:56" ht="31.5" customHeight="1" x14ac:dyDescent="0.25">
      <c r="A104" s="7" t="s">
        <v>58</v>
      </c>
      <c r="B104" s="2" t="s">
        <v>1106</v>
      </c>
      <c r="C104" s="2" t="s">
        <v>1107</v>
      </c>
      <c r="D104" s="2" t="s">
        <v>1108</v>
      </c>
      <c r="F104" s="3" t="s">
        <v>58</v>
      </c>
      <c r="G104" s="3" t="s">
        <v>59</v>
      </c>
      <c r="H104" s="3" t="s">
        <v>58</v>
      </c>
      <c r="I104" s="3" t="s">
        <v>58</v>
      </c>
      <c r="J104" s="3" t="s">
        <v>60</v>
      </c>
      <c r="K104" s="2" t="s">
        <v>1109</v>
      </c>
      <c r="L104" s="2" t="s">
        <v>1110</v>
      </c>
      <c r="M104" s="3" t="s">
        <v>850</v>
      </c>
      <c r="O104" s="3" t="s">
        <v>63</v>
      </c>
      <c r="P104" s="3" t="s">
        <v>1111</v>
      </c>
      <c r="Q104" s="2" t="s">
        <v>1112</v>
      </c>
      <c r="R104" s="3" t="s">
        <v>65</v>
      </c>
      <c r="S104" s="4">
        <v>6</v>
      </c>
      <c r="T104" s="4">
        <v>6</v>
      </c>
      <c r="U104" s="5" t="s">
        <v>1113</v>
      </c>
      <c r="V104" s="5" t="s">
        <v>1113</v>
      </c>
      <c r="W104" s="5" t="s">
        <v>161</v>
      </c>
      <c r="X104" s="5" t="s">
        <v>161</v>
      </c>
      <c r="Y104" s="4">
        <v>503</v>
      </c>
      <c r="Z104" s="4">
        <v>375</v>
      </c>
      <c r="AA104" s="4">
        <v>384</v>
      </c>
      <c r="AB104" s="4">
        <v>3</v>
      </c>
      <c r="AC104" s="4">
        <v>3</v>
      </c>
      <c r="AD104" s="4">
        <v>13</v>
      </c>
      <c r="AE104" s="4">
        <v>13</v>
      </c>
      <c r="AF104" s="4">
        <v>5</v>
      </c>
      <c r="AG104" s="4">
        <v>5</v>
      </c>
      <c r="AH104" s="4">
        <v>1</v>
      </c>
      <c r="AI104" s="4">
        <v>1</v>
      </c>
      <c r="AJ104" s="4">
        <v>9</v>
      </c>
      <c r="AK104" s="4">
        <v>9</v>
      </c>
      <c r="AL104" s="4">
        <v>1</v>
      </c>
      <c r="AM104" s="4">
        <v>1</v>
      </c>
      <c r="AN104" s="4">
        <v>0</v>
      </c>
      <c r="AO104" s="4">
        <v>0</v>
      </c>
      <c r="AP104" s="3" t="s">
        <v>68</v>
      </c>
      <c r="AQ104" s="3" t="s">
        <v>58</v>
      </c>
      <c r="AR104" s="6" t="str">
        <f>HYPERLINK("http://catalog.hathitrust.org/Record/001476493","HathiTrust Record")</f>
        <v>HathiTrust Record</v>
      </c>
      <c r="AS104" s="6" t="str">
        <f>HYPERLINK("https://creighton-primo.hosted.exlibrisgroup.com/primo-explore/search?tab=default_tab&amp;search_scope=EVERYTHING&amp;vid=01CRU&amp;lang=en_US&amp;offset=0&amp;query=any,contains,991002930849702656","Catalog Record")</f>
        <v>Catalog Record</v>
      </c>
      <c r="AT104" s="6" t="str">
        <f>HYPERLINK("http://www.worldcat.org/oclc/530860","WorldCat Record")</f>
        <v>WorldCat Record</v>
      </c>
      <c r="AU104" s="3" t="s">
        <v>1114</v>
      </c>
      <c r="AV104" s="3" t="s">
        <v>1115</v>
      </c>
      <c r="AW104" s="3" t="s">
        <v>1116</v>
      </c>
      <c r="AX104" s="3" t="s">
        <v>1116</v>
      </c>
      <c r="AY104" s="3" t="s">
        <v>1117</v>
      </c>
      <c r="AZ104" s="3" t="s">
        <v>73</v>
      </c>
      <c r="BC104" s="3" t="s">
        <v>1118</v>
      </c>
      <c r="BD104" s="3" t="s">
        <v>1119</v>
      </c>
    </row>
    <row r="105" spans="1:56" ht="31.5" customHeight="1" x14ac:dyDescent="0.25">
      <c r="A105" s="7" t="s">
        <v>58</v>
      </c>
      <c r="B105" s="2" t="s">
        <v>1120</v>
      </c>
      <c r="C105" s="2" t="s">
        <v>1121</v>
      </c>
      <c r="D105" s="2" t="s">
        <v>1122</v>
      </c>
      <c r="F105" s="3" t="s">
        <v>58</v>
      </c>
      <c r="G105" s="3" t="s">
        <v>59</v>
      </c>
      <c r="H105" s="3" t="s">
        <v>58</v>
      </c>
      <c r="I105" s="3" t="s">
        <v>58</v>
      </c>
      <c r="J105" s="3" t="s">
        <v>60</v>
      </c>
      <c r="K105" s="2" t="s">
        <v>242</v>
      </c>
      <c r="L105" s="2" t="s">
        <v>1123</v>
      </c>
      <c r="M105" s="3" t="s">
        <v>877</v>
      </c>
      <c r="O105" s="3" t="s">
        <v>63</v>
      </c>
      <c r="P105" s="3" t="s">
        <v>64</v>
      </c>
      <c r="R105" s="3" t="s">
        <v>65</v>
      </c>
      <c r="S105" s="4">
        <v>8</v>
      </c>
      <c r="T105" s="4">
        <v>8</v>
      </c>
      <c r="U105" s="5" t="s">
        <v>1124</v>
      </c>
      <c r="V105" s="5" t="s">
        <v>1124</v>
      </c>
      <c r="W105" s="5" t="s">
        <v>388</v>
      </c>
      <c r="X105" s="5" t="s">
        <v>388</v>
      </c>
      <c r="Y105" s="4">
        <v>459</v>
      </c>
      <c r="Z105" s="4">
        <v>377</v>
      </c>
      <c r="AA105" s="4">
        <v>379</v>
      </c>
      <c r="AB105" s="4">
        <v>4</v>
      </c>
      <c r="AC105" s="4">
        <v>4</v>
      </c>
      <c r="AD105" s="4">
        <v>13</v>
      </c>
      <c r="AE105" s="4">
        <v>13</v>
      </c>
      <c r="AF105" s="4">
        <v>4</v>
      </c>
      <c r="AG105" s="4">
        <v>4</v>
      </c>
      <c r="AH105" s="4">
        <v>5</v>
      </c>
      <c r="AI105" s="4">
        <v>5</v>
      </c>
      <c r="AJ105" s="4">
        <v>6</v>
      </c>
      <c r="AK105" s="4">
        <v>6</v>
      </c>
      <c r="AL105" s="4">
        <v>3</v>
      </c>
      <c r="AM105" s="4">
        <v>3</v>
      </c>
      <c r="AN105" s="4">
        <v>0</v>
      </c>
      <c r="AO105" s="4">
        <v>0</v>
      </c>
      <c r="AP105" s="3" t="s">
        <v>58</v>
      </c>
      <c r="AQ105" s="3" t="s">
        <v>68</v>
      </c>
      <c r="AR105" s="6" t="str">
        <f>HYPERLINK("http://catalog.hathitrust.org/Record/000458491","HathiTrust Record")</f>
        <v>HathiTrust Record</v>
      </c>
      <c r="AS105" s="6" t="str">
        <f>HYPERLINK("https://creighton-primo.hosted.exlibrisgroup.com/primo-explore/search?tab=default_tab&amp;search_scope=EVERYTHING&amp;vid=01CRU&amp;lang=en_US&amp;offset=0&amp;query=any,contains,991000509089702656","Catalog Record")</f>
        <v>Catalog Record</v>
      </c>
      <c r="AT105" s="6" t="str">
        <f>HYPERLINK("http://www.worldcat.org/oclc/11234163","WorldCat Record")</f>
        <v>WorldCat Record</v>
      </c>
      <c r="AU105" s="3" t="s">
        <v>1125</v>
      </c>
      <c r="AV105" s="3" t="s">
        <v>1126</v>
      </c>
      <c r="AW105" s="3" t="s">
        <v>1127</v>
      </c>
      <c r="AX105" s="3" t="s">
        <v>1127</v>
      </c>
      <c r="AY105" s="3" t="s">
        <v>1128</v>
      </c>
      <c r="AZ105" s="3" t="s">
        <v>73</v>
      </c>
      <c r="BB105" s="3" t="s">
        <v>1129</v>
      </c>
      <c r="BC105" s="3" t="s">
        <v>1130</v>
      </c>
      <c r="BD105" s="3" t="s">
        <v>1131</v>
      </c>
    </row>
    <row r="106" spans="1:56" ht="31.5" customHeight="1" x14ac:dyDescent="0.25">
      <c r="A106" s="7" t="s">
        <v>58</v>
      </c>
      <c r="B106" s="2" t="s">
        <v>1132</v>
      </c>
      <c r="C106" s="2" t="s">
        <v>1133</v>
      </c>
      <c r="D106" s="2" t="s">
        <v>1134</v>
      </c>
      <c r="F106" s="3" t="s">
        <v>58</v>
      </c>
      <c r="G106" s="3" t="s">
        <v>59</v>
      </c>
      <c r="H106" s="3" t="s">
        <v>58</v>
      </c>
      <c r="I106" s="3" t="s">
        <v>58</v>
      </c>
      <c r="J106" s="3" t="s">
        <v>60</v>
      </c>
      <c r="K106" s="2" t="s">
        <v>1135</v>
      </c>
      <c r="L106" s="2" t="s">
        <v>1136</v>
      </c>
      <c r="M106" s="3" t="s">
        <v>537</v>
      </c>
      <c r="N106" s="2" t="s">
        <v>1137</v>
      </c>
      <c r="O106" s="3" t="s">
        <v>63</v>
      </c>
      <c r="P106" s="3" t="s">
        <v>145</v>
      </c>
      <c r="R106" s="3" t="s">
        <v>65</v>
      </c>
      <c r="S106" s="4">
        <v>2</v>
      </c>
      <c r="T106" s="4">
        <v>2</v>
      </c>
      <c r="U106" s="5" t="s">
        <v>1138</v>
      </c>
      <c r="V106" s="5" t="s">
        <v>1138</v>
      </c>
      <c r="W106" s="5" t="s">
        <v>1139</v>
      </c>
      <c r="X106" s="5" t="s">
        <v>1139</v>
      </c>
      <c r="Y106" s="4">
        <v>164</v>
      </c>
      <c r="Z106" s="4">
        <v>139</v>
      </c>
      <c r="AA106" s="4">
        <v>140</v>
      </c>
      <c r="AB106" s="4">
        <v>4</v>
      </c>
      <c r="AC106" s="4">
        <v>4</v>
      </c>
      <c r="AD106" s="4">
        <v>8</v>
      </c>
      <c r="AE106" s="4">
        <v>8</v>
      </c>
      <c r="AF106" s="4">
        <v>3</v>
      </c>
      <c r="AG106" s="4">
        <v>3</v>
      </c>
      <c r="AH106" s="4">
        <v>0</v>
      </c>
      <c r="AI106" s="4">
        <v>0</v>
      </c>
      <c r="AJ106" s="4">
        <v>3</v>
      </c>
      <c r="AK106" s="4">
        <v>3</v>
      </c>
      <c r="AL106" s="4">
        <v>3</v>
      </c>
      <c r="AM106" s="4">
        <v>3</v>
      </c>
      <c r="AN106" s="4">
        <v>0</v>
      </c>
      <c r="AO106" s="4">
        <v>0</v>
      </c>
      <c r="AP106" s="3" t="s">
        <v>58</v>
      </c>
      <c r="AQ106" s="3" t="s">
        <v>68</v>
      </c>
      <c r="AR106" s="6" t="str">
        <f>HYPERLINK("http://catalog.hathitrust.org/Record/002525279","HathiTrust Record")</f>
        <v>HathiTrust Record</v>
      </c>
      <c r="AS106" s="6" t="str">
        <f>HYPERLINK("https://creighton-primo.hosted.exlibrisgroup.com/primo-explore/search?tab=default_tab&amp;search_scope=EVERYTHING&amp;vid=01CRU&amp;lang=en_US&amp;offset=0&amp;query=any,contains,991001855869702656","Catalog Record")</f>
        <v>Catalog Record</v>
      </c>
      <c r="AT106" s="6" t="str">
        <f>HYPERLINK("http://www.worldcat.org/oclc/23287041","WorldCat Record")</f>
        <v>WorldCat Record</v>
      </c>
      <c r="AU106" s="3" t="s">
        <v>1140</v>
      </c>
      <c r="AV106" s="3" t="s">
        <v>1141</v>
      </c>
      <c r="AW106" s="3" t="s">
        <v>1142</v>
      </c>
      <c r="AX106" s="3" t="s">
        <v>1142</v>
      </c>
      <c r="AY106" s="3" t="s">
        <v>1143</v>
      </c>
      <c r="AZ106" s="3" t="s">
        <v>73</v>
      </c>
      <c r="BB106" s="3" t="s">
        <v>1144</v>
      </c>
      <c r="BC106" s="3" t="s">
        <v>1145</v>
      </c>
      <c r="BD106" s="3" t="s">
        <v>1146</v>
      </c>
    </row>
    <row r="107" spans="1:56" ht="31.5" customHeight="1" x14ac:dyDescent="0.25">
      <c r="A107" s="7" t="s">
        <v>58</v>
      </c>
      <c r="B107" s="2" t="s">
        <v>1147</v>
      </c>
      <c r="C107" s="2" t="s">
        <v>1148</v>
      </c>
      <c r="D107" s="2" t="s">
        <v>1149</v>
      </c>
      <c r="F107" s="3" t="s">
        <v>58</v>
      </c>
      <c r="G107" s="3" t="s">
        <v>59</v>
      </c>
      <c r="H107" s="3" t="s">
        <v>58</v>
      </c>
      <c r="I107" s="3" t="s">
        <v>58</v>
      </c>
      <c r="J107" s="3" t="s">
        <v>60</v>
      </c>
      <c r="K107" s="2" t="s">
        <v>1150</v>
      </c>
      <c r="L107" s="2" t="s">
        <v>1151</v>
      </c>
      <c r="M107" s="3" t="s">
        <v>201</v>
      </c>
      <c r="O107" s="3" t="s">
        <v>63</v>
      </c>
      <c r="P107" s="3" t="s">
        <v>1152</v>
      </c>
      <c r="Q107" s="2" t="s">
        <v>1153</v>
      </c>
      <c r="R107" s="3" t="s">
        <v>65</v>
      </c>
      <c r="S107" s="4">
        <v>1</v>
      </c>
      <c r="T107" s="4">
        <v>1</v>
      </c>
      <c r="U107" s="5" t="s">
        <v>1154</v>
      </c>
      <c r="V107" s="5" t="s">
        <v>1154</v>
      </c>
      <c r="W107" s="5" t="s">
        <v>1154</v>
      </c>
      <c r="X107" s="5" t="s">
        <v>1154</v>
      </c>
      <c r="Y107" s="4">
        <v>553</v>
      </c>
      <c r="Z107" s="4">
        <v>443</v>
      </c>
      <c r="AA107" s="4">
        <v>507</v>
      </c>
      <c r="AB107" s="4">
        <v>3</v>
      </c>
      <c r="AC107" s="4">
        <v>4</v>
      </c>
      <c r="AD107" s="4">
        <v>23</v>
      </c>
      <c r="AE107" s="4">
        <v>26</v>
      </c>
      <c r="AF107" s="4">
        <v>6</v>
      </c>
      <c r="AG107" s="4">
        <v>8</v>
      </c>
      <c r="AH107" s="4">
        <v>7</v>
      </c>
      <c r="AI107" s="4">
        <v>8</v>
      </c>
      <c r="AJ107" s="4">
        <v>13</v>
      </c>
      <c r="AK107" s="4">
        <v>13</v>
      </c>
      <c r="AL107" s="4">
        <v>2</v>
      </c>
      <c r="AM107" s="4">
        <v>3</v>
      </c>
      <c r="AN107" s="4">
        <v>0</v>
      </c>
      <c r="AO107" s="4">
        <v>0</v>
      </c>
      <c r="AP107" s="3" t="s">
        <v>58</v>
      </c>
      <c r="AQ107" s="3" t="s">
        <v>68</v>
      </c>
      <c r="AR107" s="6" t="str">
        <f>HYPERLINK("http://catalog.hathitrust.org/Record/000039268","HathiTrust Record")</f>
        <v>HathiTrust Record</v>
      </c>
      <c r="AS107" s="6" t="str">
        <f>HYPERLINK("https://creighton-primo.hosted.exlibrisgroup.com/primo-explore/search?tab=default_tab&amp;search_scope=EVERYTHING&amp;vid=01CRU&amp;lang=en_US&amp;offset=0&amp;query=any,contains,991003553739702656","Catalog Record")</f>
        <v>Catalog Record</v>
      </c>
      <c r="AT107" s="6" t="str">
        <f>HYPERLINK("http://www.worldcat.org/oclc/2862987","WorldCat Record")</f>
        <v>WorldCat Record</v>
      </c>
      <c r="AU107" s="3" t="s">
        <v>1155</v>
      </c>
      <c r="AV107" s="3" t="s">
        <v>1156</v>
      </c>
      <c r="AW107" s="3" t="s">
        <v>1157</v>
      </c>
      <c r="AX107" s="3" t="s">
        <v>1157</v>
      </c>
      <c r="AY107" s="3" t="s">
        <v>1158</v>
      </c>
      <c r="AZ107" s="3" t="s">
        <v>73</v>
      </c>
      <c r="BB107" s="3" t="s">
        <v>1159</v>
      </c>
      <c r="BC107" s="3" t="s">
        <v>1160</v>
      </c>
      <c r="BD107" s="3" t="s">
        <v>1161</v>
      </c>
    </row>
    <row r="108" spans="1:56" ht="31.5" customHeight="1" x14ac:dyDescent="0.25">
      <c r="A108" s="7" t="s">
        <v>58</v>
      </c>
      <c r="B108" s="2" t="s">
        <v>1162</v>
      </c>
      <c r="C108" s="2" t="s">
        <v>1163</v>
      </c>
      <c r="D108" s="2" t="s">
        <v>1164</v>
      </c>
      <c r="F108" s="3" t="s">
        <v>58</v>
      </c>
      <c r="G108" s="3" t="s">
        <v>59</v>
      </c>
      <c r="H108" s="3" t="s">
        <v>58</v>
      </c>
      <c r="I108" s="3" t="s">
        <v>58</v>
      </c>
      <c r="J108" s="3" t="s">
        <v>60</v>
      </c>
      <c r="K108" s="2" t="s">
        <v>1165</v>
      </c>
      <c r="L108" s="2" t="s">
        <v>1166</v>
      </c>
      <c r="M108" s="3" t="s">
        <v>230</v>
      </c>
      <c r="O108" s="3" t="s">
        <v>63</v>
      </c>
      <c r="P108" s="3" t="s">
        <v>64</v>
      </c>
      <c r="R108" s="3" t="s">
        <v>65</v>
      </c>
      <c r="S108" s="4">
        <v>3</v>
      </c>
      <c r="T108" s="4">
        <v>3</v>
      </c>
      <c r="U108" s="5" t="s">
        <v>1167</v>
      </c>
      <c r="V108" s="5" t="s">
        <v>1167</v>
      </c>
      <c r="W108" s="5" t="s">
        <v>518</v>
      </c>
      <c r="X108" s="5" t="s">
        <v>518</v>
      </c>
      <c r="Y108" s="4">
        <v>193</v>
      </c>
      <c r="Z108" s="4">
        <v>177</v>
      </c>
      <c r="AA108" s="4">
        <v>461</v>
      </c>
      <c r="AB108" s="4">
        <v>1</v>
      </c>
      <c r="AC108" s="4">
        <v>3</v>
      </c>
      <c r="AD108" s="4">
        <v>4</v>
      </c>
      <c r="AE108" s="4">
        <v>15</v>
      </c>
      <c r="AF108" s="4">
        <v>2</v>
      </c>
      <c r="AG108" s="4">
        <v>5</v>
      </c>
      <c r="AH108" s="4">
        <v>1</v>
      </c>
      <c r="AI108" s="4">
        <v>5</v>
      </c>
      <c r="AJ108" s="4">
        <v>2</v>
      </c>
      <c r="AK108" s="4">
        <v>8</v>
      </c>
      <c r="AL108" s="4">
        <v>0</v>
      </c>
      <c r="AM108" s="4">
        <v>2</v>
      </c>
      <c r="AN108" s="4">
        <v>0</v>
      </c>
      <c r="AO108" s="4">
        <v>0</v>
      </c>
      <c r="AP108" s="3" t="s">
        <v>58</v>
      </c>
      <c r="AQ108" s="3" t="s">
        <v>68</v>
      </c>
      <c r="AR108" s="6" t="str">
        <f>HYPERLINK("http://catalog.hathitrust.org/Record/000294615","HathiTrust Record")</f>
        <v>HathiTrust Record</v>
      </c>
      <c r="AS108" s="6" t="str">
        <f>HYPERLINK("https://creighton-primo.hosted.exlibrisgroup.com/primo-explore/search?tab=default_tab&amp;search_scope=EVERYTHING&amp;vid=01CRU&amp;lang=en_US&amp;offset=0&amp;query=any,contains,991004373099702656","Catalog Record")</f>
        <v>Catalog Record</v>
      </c>
      <c r="AT108" s="6" t="str">
        <f>HYPERLINK("http://www.worldcat.org/oclc/3202661","WorldCat Record")</f>
        <v>WorldCat Record</v>
      </c>
      <c r="AU108" s="3" t="s">
        <v>1168</v>
      </c>
      <c r="AV108" s="3" t="s">
        <v>1169</v>
      </c>
      <c r="AW108" s="3" t="s">
        <v>1170</v>
      </c>
      <c r="AX108" s="3" t="s">
        <v>1170</v>
      </c>
      <c r="AY108" s="3" t="s">
        <v>1171</v>
      </c>
      <c r="AZ108" s="3" t="s">
        <v>73</v>
      </c>
      <c r="BB108" s="3" t="s">
        <v>1172</v>
      </c>
      <c r="BC108" s="3" t="s">
        <v>1173</v>
      </c>
      <c r="BD108" s="3" t="s">
        <v>1174</v>
      </c>
    </row>
    <row r="109" spans="1:56" ht="31.5" customHeight="1" x14ac:dyDescent="0.25">
      <c r="A109" s="7" t="s">
        <v>58</v>
      </c>
      <c r="B109" s="2" t="s">
        <v>1175</v>
      </c>
      <c r="C109" s="2" t="s">
        <v>1176</v>
      </c>
      <c r="D109" s="2" t="s">
        <v>1177</v>
      </c>
      <c r="F109" s="3" t="s">
        <v>58</v>
      </c>
      <c r="G109" s="3" t="s">
        <v>59</v>
      </c>
      <c r="H109" s="3" t="s">
        <v>58</v>
      </c>
      <c r="I109" s="3" t="s">
        <v>58</v>
      </c>
      <c r="J109" s="3" t="s">
        <v>60</v>
      </c>
      <c r="K109" s="2" t="s">
        <v>1178</v>
      </c>
      <c r="L109" s="2" t="s">
        <v>1179</v>
      </c>
      <c r="M109" s="3" t="s">
        <v>835</v>
      </c>
      <c r="N109" s="2" t="s">
        <v>1180</v>
      </c>
      <c r="O109" s="3" t="s">
        <v>63</v>
      </c>
      <c r="P109" s="3" t="s">
        <v>64</v>
      </c>
      <c r="R109" s="3" t="s">
        <v>65</v>
      </c>
      <c r="S109" s="4">
        <v>2</v>
      </c>
      <c r="T109" s="4">
        <v>2</v>
      </c>
      <c r="U109" s="5" t="s">
        <v>1181</v>
      </c>
      <c r="V109" s="5" t="s">
        <v>1181</v>
      </c>
      <c r="W109" s="5" t="s">
        <v>1182</v>
      </c>
      <c r="X109" s="5" t="s">
        <v>1182</v>
      </c>
      <c r="Y109" s="4">
        <v>273</v>
      </c>
      <c r="Z109" s="4">
        <v>206</v>
      </c>
      <c r="AA109" s="4">
        <v>425</v>
      </c>
      <c r="AB109" s="4">
        <v>2</v>
      </c>
      <c r="AC109" s="4">
        <v>3</v>
      </c>
      <c r="AD109" s="4">
        <v>11</v>
      </c>
      <c r="AE109" s="4">
        <v>17</v>
      </c>
      <c r="AF109" s="4">
        <v>2</v>
      </c>
      <c r="AG109" s="4">
        <v>5</v>
      </c>
      <c r="AH109" s="4">
        <v>4</v>
      </c>
      <c r="AI109" s="4">
        <v>4</v>
      </c>
      <c r="AJ109" s="4">
        <v>6</v>
      </c>
      <c r="AK109" s="4">
        <v>10</v>
      </c>
      <c r="AL109" s="4">
        <v>1</v>
      </c>
      <c r="AM109" s="4">
        <v>2</v>
      </c>
      <c r="AN109" s="4">
        <v>0</v>
      </c>
      <c r="AO109" s="4">
        <v>0</v>
      </c>
      <c r="AP109" s="3" t="s">
        <v>58</v>
      </c>
      <c r="AQ109" s="3" t="s">
        <v>58</v>
      </c>
      <c r="AS109" s="6" t="str">
        <f>HYPERLINK("https://creighton-primo.hosted.exlibrisgroup.com/primo-explore/search?tab=default_tab&amp;search_scope=EVERYTHING&amp;vid=01CRU&amp;lang=en_US&amp;offset=0&amp;query=any,contains,991002785629702656","Catalog Record")</f>
        <v>Catalog Record</v>
      </c>
      <c r="AT109" s="6" t="str">
        <f>HYPERLINK("http://www.worldcat.org/oclc/36573836","WorldCat Record")</f>
        <v>WorldCat Record</v>
      </c>
      <c r="AU109" s="3" t="s">
        <v>1183</v>
      </c>
      <c r="AV109" s="3" t="s">
        <v>1184</v>
      </c>
      <c r="AW109" s="3" t="s">
        <v>1185</v>
      </c>
      <c r="AX109" s="3" t="s">
        <v>1185</v>
      </c>
      <c r="AY109" s="3" t="s">
        <v>1186</v>
      </c>
      <c r="AZ109" s="3" t="s">
        <v>73</v>
      </c>
      <c r="BB109" s="3" t="s">
        <v>1187</v>
      </c>
      <c r="BC109" s="3" t="s">
        <v>1188</v>
      </c>
      <c r="BD109" s="3" t="s">
        <v>1189</v>
      </c>
    </row>
    <row r="110" spans="1:56" ht="31.5" customHeight="1" x14ac:dyDescent="0.25">
      <c r="A110" s="7" t="s">
        <v>58</v>
      </c>
      <c r="B110" s="2" t="s">
        <v>1190</v>
      </c>
      <c r="C110" s="2" t="s">
        <v>1191</v>
      </c>
      <c r="D110" s="2" t="s">
        <v>1192</v>
      </c>
      <c r="F110" s="3" t="s">
        <v>58</v>
      </c>
      <c r="G110" s="3" t="s">
        <v>59</v>
      </c>
      <c r="H110" s="3" t="s">
        <v>58</v>
      </c>
      <c r="I110" s="3" t="s">
        <v>58</v>
      </c>
      <c r="J110" s="3" t="s">
        <v>60</v>
      </c>
      <c r="K110" s="2" t="s">
        <v>1193</v>
      </c>
      <c r="L110" s="2" t="s">
        <v>1194</v>
      </c>
      <c r="M110" s="3" t="s">
        <v>1195</v>
      </c>
      <c r="O110" s="3" t="s">
        <v>63</v>
      </c>
      <c r="P110" s="3" t="s">
        <v>64</v>
      </c>
      <c r="R110" s="3" t="s">
        <v>65</v>
      </c>
      <c r="S110" s="4">
        <v>11</v>
      </c>
      <c r="T110" s="4">
        <v>11</v>
      </c>
      <c r="U110" s="5" t="s">
        <v>1196</v>
      </c>
      <c r="V110" s="5" t="s">
        <v>1196</v>
      </c>
      <c r="W110" s="5" t="s">
        <v>1197</v>
      </c>
      <c r="X110" s="5" t="s">
        <v>1197</v>
      </c>
      <c r="Y110" s="4">
        <v>512</v>
      </c>
      <c r="Z110" s="4">
        <v>439</v>
      </c>
      <c r="AA110" s="4">
        <v>453</v>
      </c>
      <c r="AB110" s="4">
        <v>6</v>
      </c>
      <c r="AC110" s="4">
        <v>6</v>
      </c>
      <c r="AD110" s="4">
        <v>19</v>
      </c>
      <c r="AE110" s="4">
        <v>19</v>
      </c>
      <c r="AF110" s="4">
        <v>4</v>
      </c>
      <c r="AG110" s="4">
        <v>4</v>
      </c>
      <c r="AH110" s="4">
        <v>4</v>
      </c>
      <c r="AI110" s="4">
        <v>4</v>
      </c>
      <c r="AJ110" s="4">
        <v>10</v>
      </c>
      <c r="AK110" s="4">
        <v>10</v>
      </c>
      <c r="AL110" s="4">
        <v>5</v>
      </c>
      <c r="AM110" s="4">
        <v>5</v>
      </c>
      <c r="AN110" s="4">
        <v>0</v>
      </c>
      <c r="AO110" s="4">
        <v>0</v>
      </c>
      <c r="AP110" s="3" t="s">
        <v>58</v>
      </c>
      <c r="AQ110" s="3" t="s">
        <v>58</v>
      </c>
      <c r="AR110" s="6" t="str">
        <f>HYPERLINK("http://catalog.hathitrust.org/Record/001475564","HathiTrust Record")</f>
        <v>HathiTrust Record</v>
      </c>
      <c r="AS110" s="6" t="str">
        <f>HYPERLINK("https://creighton-primo.hosted.exlibrisgroup.com/primo-explore/search?tab=default_tab&amp;search_scope=EVERYTHING&amp;vid=01CRU&amp;lang=en_US&amp;offset=0&amp;query=any,contains,991002929279702656","Catalog Record")</f>
        <v>Catalog Record</v>
      </c>
      <c r="AT110" s="6" t="str">
        <f>HYPERLINK("http://www.worldcat.org/oclc/530360","WorldCat Record")</f>
        <v>WorldCat Record</v>
      </c>
      <c r="AU110" s="3" t="s">
        <v>1198</v>
      </c>
      <c r="AV110" s="3" t="s">
        <v>1199</v>
      </c>
      <c r="AW110" s="3" t="s">
        <v>1200</v>
      </c>
      <c r="AX110" s="3" t="s">
        <v>1200</v>
      </c>
      <c r="AY110" s="3" t="s">
        <v>1201</v>
      </c>
      <c r="AZ110" s="3" t="s">
        <v>73</v>
      </c>
      <c r="BC110" s="3" t="s">
        <v>1202</v>
      </c>
      <c r="BD110" s="3" t="s">
        <v>1203</v>
      </c>
    </row>
    <row r="111" spans="1:56" ht="31.5" customHeight="1" x14ac:dyDescent="0.25">
      <c r="A111" s="7" t="s">
        <v>58</v>
      </c>
      <c r="B111" s="2" t="s">
        <v>1204</v>
      </c>
      <c r="C111" s="2" t="s">
        <v>1205</v>
      </c>
      <c r="D111" s="2" t="s">
        <v>1206</v>
      </c>
      <c r="F111" s="3" t="s">
        <v>58</v>
      </c>
      <c r="G111" s="3" t="s">
        <v>59</v>
      </c>
      <c r="H111" s="3" t="s">
        <v>58</v>
      </c>
      <c r="I111" s="3" t="s">
        <v>58</v>
      </c>
      <c r="J111" s="3" t="s">
        <v>60</v>
      </c>
      <c r="K111" s="2" t="s">
        <v>1207</v>
      </c>
      <c r="L111" s="2" t="s">
        <v>1208</v>
      </c>
      <c r="M111" s="3" t="s">
        <v>82</v>
      </c>
      <c r="O111" s="3" t="s">
        <v>63</v>
      </c>
      <c r="P111" s="3" t="s">
        <v>64</v>
      </c>
      <c r="R111" s="3" t="s">
        <v>65</v>
      </c>
      <c r="S111" s="4">
        <v>4</v>
      </c>
      <c r="T111" s="4">
        <v>4</v>
      </c>
      <c r="U111" s="5" t="s">
        <v>259</v>
      </c>
      <c r="V111" s="5" t="s">
        <v>259</v>
      </c>
      <c r="W111" s="5" t="s">
        <v>1209</v>
      </c>
      <c r="X111" s="5" t="s">
        <v>1209</v>
      </c>
      <c r="Y111" s="4">
        <v>1059</v>
      </c>
      <c r="Z111" s="4">
        <v>993</v>
      </c>
      <c r="AA111" s="4">
        <v>1057</v>
      </c>
      <c r="AB111" s="4">
        <v>9</v>
      </c>
      <c r="AC111" s="4">
        <v>9</v>
      </c>
      <c r="AD111" s="4">
        <v>33</v>
      </c>
      <c r="AE111" s="4">
        <v>33</v>
      </c>
      <c r="AF111" s="4">
        <v>13</v>
      </c>
      <c r="AG111" s="4">
        <v>13</v>
      </c>
      <c r="AH111" s="4">
        <v>8</v>
      </c>
      <c r="AI111" s="4">
        <v>8</v>
      </c>
      <c r="AJ111" s="4">
        <v>14</v>
      </c>
      <c r="AK111" s="4">
        <v>14</v>
      </c>
      <c r="AL111" s="4">
        <v>6</v>
      </c>
      <c r="AM111" s="4">
        <v>6</v>
      </c>
      <c r="AN111" s="4">
        <v>0</v>
      </c>
      <c r="AO111" s="4">
        <v>0</v>
      </c>
      <c r="AP111" s="3" t="s">
        <v>58</v>
      </c>
      <c r="AQ111" s="3" t="s">
        <v>58</v>
      </c>
      <c r="AS111" s="6" t="str">
        <f>HYPERLINK("https://creighton-primo.hosted.exlibrisgroup.com/primo-explore/search?tab=default_tab&amp;search_scope=EVERYTHING&amp;vid=01CRU&amp;lang=en_US&amp;offset=0&amp;query=any,contains,991004470909702656","Catalog Record")</f>
        <v>Catalog Record</v>
      </c>
      <c r="AT111" s="6" t="str">
        <f>HYPERLINK("http://www.worldcat.org/oclc/50410222","WorldCat Record")</f>
        <v>WorldCat Record</v>
      </c>
      <c r="AU111" s="3" t="s">
        <v>1210</v>
      </c>
      <c r="AV111" s="3" t="s">
        <v>1211</v>
      </c>
      <c r="AW111" s="3" t="s">
        <v>1212</v>
      </c>
      <c r="AX111" s="3" t="s">
        <v>1212</v>
      </c>
      <c r="AY111" s="3" t="s">
        <v>1213</v>
      </c>
      <c r="AZ111" s="3" t="s">
        <v>73</v>
      </c>
      <c r="BB111" s="3" t="s">
        <v>1214</v>
      </c>
      <c r="BC111" s="3" t="s">
        <v>1215</v>
      </c>
      <c r="BD111" s="3" t="s">
        <v>1216</v>
      </c>
    </row>
    <row r="112" spans="1:56" ht="31.5" customHeight="1" x14ac:dyDescent="0.25">
      <c r="A112" s="7" t="s">
        <v>58</v>
      </c>
      <c r="B112" s="2" t="s">
        <v>1217</v>
      </c>
      <c r="C112" s="2" t="s">
        <v>1218</v>
      </c>
      <c r="D112" s="2" t="s">
        <v>1219</v>
      </c>
      <c r="F112" s="3" t="s">
        <v>58</v>
      </c>
      <c r="G112" s="3" t="s">
        <v>59</v>
      </c>
      <c r="H112" s="3" t="s">
        <v>58</v>
      </c>
      <c r="I112" s="3" t="s">
        <v>58</v>
      </c>
      <c r="J112" s="3" t="s">
        <v>60</v>
      </c>
      <c r="K112" s="2" t="s">
        <v>1220</v>
      </c>
      <c r="L112" s="2" t="s">
        <v>1221</v>
      </c>
      <c r="M112" s="3" t="s">
        <v>1222</v>
      </c>
      <c r="O112" s="3" t="s">
        <v>63</v>
      </c>
      <c r="P112" s="3" t="s">
        <v>360</v>
      </c>
      <c r="R112" s="3" t="s">
        <v>65</v>
      </c>
      <c r="S112" s="4">
        <v>15</v>
      </c>
      <c r="T112" s="4">
        <v>15</v>
      </c>
      <c r="U112" s="5" t="s">
        <v>1223</v>
      </c>
      <c r="V112" s="5" t="s">
        <v>1223</v>
      </c>
      <c r="W112" s="5" t="s">
        <v>893</v>
      </c>
      <c r="X112" s="5" t="s">
        <v>893</v>
      </c>
      <c r="Y112" s="4">
        <v>562</v>
      </c>
      <c r="Z112" s="4">
        <v>508</v>
      </c>
      <c r="AA112" s="4">
        <v>636</v>
      </c>
      <c r="AB112" s="4">
        <v>2</v>
      </c>
      <c r="AC112" s="4">
        <v>2</v>
      </c>
      <c r="AD112" s="4">
        <v>21</v>
      </c>
      <c r="AE112" s="4">
        <v>27</v>
      </c>
      <c r="AF112" s="4">
        <v>5</v>
      </c>
      <c r="AG112" s="4">
        <v>8</v>
      </c>
      <c r="AH112" s="4">
        <v>7</v>
      </c>
      <c r="AI112" s="4">
        <v>9</v>
      </c>
      <c r="AJ112" s="4">
        <v>12</v>
      </c>
      <c r="AK112" s="4">
        <v>15</v>
      </c>
      <c r="AL112" s="4">
        <v>1</v>
      </c>
      <c r="AM112" s="4">
        <v>1</v>
      </c>
      <c r="AN112" s="4">
        <v>0</v>
      </c>
      <c r="AO112" s="4">
        <v>0</v>
      </c>
      <c r="AP112" s="3" t="s">
        <v>58</v>
      </c>
      <c r="AQ112" s="3" t="s">
        <v>68</v>
      </c>
      <c r="AR112" s="6" t="str">
        <f>HYPERLINK("http://catalog.hathitrust.org/Record/007417671","HathiTrust Record")</f>
        <v>HathiTrust Record</v>
      </c>
      <c r="AS112" s="6" t="str">
        <f>HYPERLINK("https://creighton-primo.hosted.exlibrisgroup.com/primo-explore/search?tab=default_tab&amp;search_scope=EVERYTHING&amp;vid=01CRU&amp;lang=en_US&amp;offset=0&amp;query=any,contains,991002929459702656","Catalog Record")</f>
        <v>Catalog Record</v>
      </c>
      <c r="AT112" s="6" t="str">
        <f>HYPERLINK("http://www.worldcat.org/oclc/530422","WorldCat Record")</f>
        <v>WorldCat Record</v>
      </c>
      <c r="AU112" s="3" t="s">
        <v>1224</v>
      </c>
      <c r="AV112" s="3" t="s">
        <v>1225</v>
      </c>
      <c r="AW112" s="3" t="s">
        <v>1226</v>
      </c>
      <c r="AX112" s="3" t="s">
        <v>1226</v>
      </c>
      <c r="AY112" s="3" t="s">
        <v>1227</v>
      </c>
      <c r="AZ112" s="3" t="s">
        <v>73</v>
      </c>
      <c r="BC112" s="3" t="s">
        <v>1228</v>
      </c>
      <c r="BD112" s="3" t="s">
        <v>1229</v>
      </c>
    </row>
    <row r="113" spans="1:56" ht="31.5" customHeight="1" x14ac:dyDescent="0.25">
      <c r="A113" s="7" t="s">
        <v>58</v>
      </c>
      <c r="B113" s="2" t="s">
        <v>1230</v>
      </c>
      <c r="C113" s="2" t="s">
        <v>1231</v>
      </c>
      <c r="D113" s="2" t="s">
        <v>1232</v>
      </c>
      <c r="F113" s="3" t="s">
        <v>58</v>
      </c>
      <c r="G113" s="3" t="s">
        <v>59</v>
      </c>
      <c r="H113" s="3" t="s">
        <v>58</v>
      </c>
      <c r="I113" s="3" t="s">
        <v>58</v>
      </c>
      <c r="J113" s="3" t="s">
        <v>60</v>
      </c>
      <c r="K113" s="2" t="s">
        <v>1233</v>
      </c>
      <c r="L113" s="2" t="s">
        <v>1234</v>
      </c>
      <c r="M113" s="3" t="s">
        <v>1235</v>
      </c>
      <c r="N113" s="2" t="s">
        <v>501</v>
      </c>
      <c r="O113" s="3" t="s">
        <v>63</v>
      </c>
      <c r="P113" s="3" t="s">
        <v>64</v>
      </c>
      <c r="R113" s="3" t="s">
        <v>65</v>
      </c>
      <c r="S113" s="4">
        <v>3</v>
      </c>
      <c r="T113" s="4">
        <v>3</v>
      </c>
      <c r="U113" s="5" t="s">
        <v>1236</v>
      </c>
      <c r="V113" s="5" t="s">
        <v>1236</v>
      </c>
      <c r="W113" s="5" t="s">
        <v>1237</v>
      </c>
      <c r="X113" s="5" t="s">
        <v>1237</v>
      </c>
      <c r="Y113" s="4">
        <v>636</v>
      </c>
      <c r="Z113" s="4">
        <v>594</v>
      </c>
      <c r="AA113" s="4">
        <v>665</v>
      </c>
      <c r="AB113" s="4">
        <v>8</v>
      </c>
      <c r="AC113" s="4">
        <v>10</v>
      </c>
      <c r="AD113" s="4">
        <v>17</v>
      </c>
      <c r="AE113" s="4">
        <v>19</v>
      </c>
      <c r="AF113" s="4">
        <v>6</v>
      </c>
      <c r="AG113" s="4">
        <v>7</v>
      </c>
      <c r="AH113" s="4">
        <v>4</v>
      </c>
      <c r="AI113" s="4">
        <v>4</v>
      </c>
      <c r="AJ113" s="4">
        <v>9</v>
      </c>
      <c r="AK113" s="4">
        <v>9</v>
      </c>
      <c r="AL113" s="4">
        <v>5</v>
      </c>
      <c r="AM113" s="4">
        <v>6</v>
      </c>
      <c r="AN113" s="4">
        <v>0</v>
      </c>
      <c r="AO113" s="4">
        <v>0</v>
      </c>
      <c r="AP113" s="3" t="s">
        <v>58</v>
      </c>
      <c r="AQ113" s="3" t="s">
        <v>58</v>
      </c>
      <c r="AS113" s="6" t="str">
        <f>HYPERLINK("https://creighton-primo.hosted.exlibrisgroup.com/primo-explore/search?tab=default_tab&amp;search_scope=EVERYTHING&amp;vid=01CRU&amp;lang=en_US&amp;offset=0&amp;query=any,contains,991004528109702656","Catalog Record")</f>
        <v>Catalog Record</v>
      </c>
      <c r="AT113" s="6" t="str">
        <f>HYPERLINK("http://www.worldcat.org/oclc/53469663","WorldCat Record")</f>
        <v>WorldCat Record</v>
      </c>
      <c r="AU113" s="3" t="s">
        <v>1238</v>
      </c>
      <c r="AV113" s="3" t="s">
        <v>1239</v>
      </c>
      <c r="AW113" s="3" t="s">
        <v>1240</v>
      </c>
      <c r="AX113" s="3" t="s">
        <v>1240</v>
      </c>
      <c r="AY113" s="3" t="s">
        <v>1241</v>
      </c>
      <c r="AZ113" s="3" t="s">
        <v>73</v>
      </c>
      <c r="BB113" s="3" t="s">
        <v>1242</v>
      </c>
      <c r="BC113" s="3" t="s">
        <v>1243</v>
      </c>
      <c r="BD113" s="3" t="s">
        <v>1244</v>
      </c>
    </row>
    <row r="114" spans="1:56" ht="31.5" customHeight="1" x14ac:dyDescent="0.25">
      <c r="A114" s="7" t="s">
        <v>58</v>
      </c>
      <c r="B114" s="2" t="s">
        <v>1245</v>
      </c>
      <c r="C114" s="2" t="s">
        <v>1246</v>
      </c>
      <c r="D114" s="2" t="s">
        <v>1247</v>
      </c>
      <c r="F114" s="3" t="s">
        <v>58</v>
      </c>
      <c r="G114" s="3" t="s">
        <v>59</v>
      </c>
      <c r="H114" s="3" t="s">
        <v>58</v>
      </c>
      <c r="I114" s="3" t="s">
        <v>58</v>
      </c>
      <c r="J114" s="3" t="s">
        <v>60</v>
      </c>
      <c r="K114" s="2" t="s">
        <v>1248</v>
      </c>
      <c r="L114" s="2" t="s">
        <v>1249</v>
      </c>
      <c r="M114" s="3" t="s">
        <v>944</v>
      </c>
      <c r="O114" s="3" t="s">
        <v>63</v>
      </c>
      <c r="P114" s="3" t="s">
        <v>186</v>
      </c>
      <c r="R114" s="3" t="s">
        <v>65</v>
      </c>
      <c r="S114" s="4">
        <v>12</v>
      </c>
      <c r="T114" s="4">
        <v>12</v>
      </c>
      <c r="U114" s="5" t="s">
        <v>1223</v>
      </c>
      <c r="V114" s="5" t="s">
        <v>1223</v>
      </c>
      <c r="W114" s="5" t="s">
        <v>1250</v>
      </c>
      <c r="X114" s="5" t="s">
        <v>1250</v>
      </c>
      <c r="Y114" s="4">
        <v>519</v>
      </c>
      <c r="Z114" s="4">
        <v>403</v>
      </c>
      <c r="AA114" s="4">
        <v>414</v>
      </c>
      <c r="AB114" s="4">
        <v>2</v>
      </c>
      <c r="AC114" s="4">
        <v>2</v>
      </c>
      <c r="AD114" s="4">
        <v>17</v>
      </c>
      <c r="AE114" s="4">
        <v>17</v>
      </c>
      <c r="AF114" s="4">
        <v>4</v>
      </c>
      <c r="AG114" s="4">
        <v>4</v>
      </c>
      <c r="AH114" s="4">
        <v>7</v>
      </c>
      <c r="AI114" s="4">
        <v>7</v>
      </c>
      <c r="AJ114" s="4">
        <v>10</v>
      </c>
      <c r="AK114" s="4">
        <v>10</v>
      </c>
      <c r="AL114" s="4">
        <v>1</v>
      </c>
      <c r="AM114" s="4">
        <v>1</v>
      </c>
      <c r="AN114" s="4">
        <v>0</v>
      </c>
      <c r="AO114" s="4">
        <v>0</v>
      </c>
      <c r="AP114" s="3" t="s">
        <v>58</v>
      </c>
      <c r="AQ114" s="3" t="s">
        <v>58</v>
      </c>
      <c r="AS114" s="6" t="str">
        <f>HYPERLINK("https://creighton-primo.hosted.exlibrisgroup.com/primo-explore/search?tab=default_tab&amp;search_scope=EVERYTHING&amp;vid=01CRU&amp;lang=en_US&amp;offset=0&amp;query=any,contains,991001653159702656","Catalog Record")</f>
        <v>Catalog Record</v>
      </c>
      <c r="AT114" s="6" t="str">
        <f>HYPERLINK("http://www.worldcat.org/oclc/21116731","WorldCat Record")</f>
        <v>WorldCat Record</v>
      </c>
      <c r="AU114" s="3" t="s">
        <v>1251</v>
      </c>
      <c r="AV114" s="3" t="s">
        <v>1252</v>
      </c>
      <c r="AW114" s="3" t="s">
        <v>1253</v>
      </c>
      <c r="AX114" s="3" t="s">
        <v>1253</v>
      </c>
      <c r="AY114" s="3" t="s">
        <v>1254</v>
      </c>
      <c r="AZ114" s="3" t="s">
        <v>73</v>
      </c>
      <c r="BB114" s="3" t="s">
        <v>1255</v>
      </c>
      <c r="BC114" s="3" t="s">
        <v>1256</v>
      </c>
      <c r="BD114" s="3" t="s">
        <v>1257</v>
      </c>
    </row>
    <row r="115" spans="1:56" ht="31.5" customHeight="1" x14ac:dyDescent="0.25">
      <c r="A115" s="7" t="s">
        <v>58</v>
      </c>
      <c r="B115" s="2" t="s">
        <v>1258</v>
      </c>
      <c r="C115" s="2" t="s">
        <v>1259</v>
      </c>
      <c r="D115" s="2" t="s">
        <v>1260</v>
      </c>
      <c r="F115" s="3" t="s">
        <v>58</v>
      </c>
      <c r="G115" s="3" t="s">
        <v>59</v>
      </c>
      <c r="H115" s="3" t="s">
        <v>58</v>
      </c>
      <c r="I115" s="3" t="s">
        <v>58</v>
      </c>
      <c r="J115" s="3" t="s">
        <v>60</v>
      </c>
      <c r="L115" s="2" t="s">
        <v>1261</v>
      </c>
      <c r="M115" s="3" t="s">
        <v>257</v>
      </c>
      <c r="O115" s="3" t="s">
        <v>63</v>
      </c>
      <c r="P115" s="3" t="s">
        <v>186</v>
      </c>
      <c r="R115" s="3" t="s">
        <v>65</v>
      </c>
      <c r="S115" s="4">
        <v>1</v>
      </c>
      <c r="T115" s="4">
        <v>1</v>
      </c>
      <c r="U115" s="5" t="s">
        <v>1262</v>
      </c>
      <c r="V115" s="5" t="s">
        <v>1262</v>
      </c>
      <c r="W115" s="5" t="s">
        <v>1182</v>
      </c>
      <c r="X115" s="5" t="s">
        <v>1182</v>
      </c>
      <c r="Y115" s="4">
        <v>134</v>
      </c>
      <c r="Z115" s="4">
        <v>98</v>
      </c>
      <c r="AA115" s="4">
        <v>192</v>
      </c>
      <c r="AB115" s="4">
        <v>2</v>
      </c>
      <c r="AC115" s="4">
        <v>4</v>
      </c>
      <c r="AD115" s="4">
        <v>6</v>
      </c>
      <c r="AE115" s="4">
        <v>11</v>
      </c>
      <c r="AF115" s="4">
        <v>0</v>
      </c>
      <c r="AG115" s="4">
        <v>1</v>
      </c>
      <c r="AH115" s="4">
        <v>1</v>
      </c>
      <c r="AI115" s="4">
        <v>4</v>
      </c>
      <c r="AJ115" s="4">
        <v>5</v>
      </c>
      <c r="AK115" s="4">
        <v>6</v>
      </c>
      <c r="AL115" s="4">
        <v>1</v>
      </c>
      <c r="AM115" s="4">
        <v>2</v>
      </c>
      <c r="AN115" s="4">
        <v>0</v>
      </c>
      <c r="AO115" s="4">
        <v>0</v>
      </c>
      <c r="AP115" s="3" t="s">
        <v>58</v>
      </c>
      <c r="AQ115" s="3" t="s">
        <v>58</v>
      </c>
      <c r="AS115" s="6" t="str">
        <f>HYPERLINK("https://creighton-primo.hosted.exlibrisgroup.com/primo-explore/search?tab=default_tab&amp;search_scope=EVERYTHING&amp;vid=01CRU&amp;lang=en_US&amp;offset=0&amp;query=any,contains,991002922889702656","Catalog Record")</f>
        <v>Catalog Record</v>
      </c>
      <c r="AT115" s="6" t="str">
        <f>HYPERLINK("http://www.worldcat.org/oclc/38847561","WorldCat Record")</f>
        <v>WorldCat Record</v>
      </c>
      <c r="AU115" s="3" t="s">
        <v>1263</v>
      </c>
      <c r="AV115" s="3" t="s">
        <v>1264</v>
      </c>
      <c r="AW115" s="3" t="s">
        <v>1265</v>
      </c>
      <c r="AX115" s="3" t="s">
        <v>1265</v>
      </c>
      <c r="AY115" s="3" t="s">
        <v>1266</v>
      </c>
      <c r="AZ115" s="3" t="s">
        <v>73</v>
      </c>
      <c r="BB115" s="3" t="s">
        <v>1267</v>
      </c>
      <c r="BC115" s="3" t="s">
        <v>1268</v>
      </c>
      <c r="BD115" s="3" t="s">
        <v>1269</v>
      </c>
    </row>
    <row r="116" spans="1:56" ht="31.5" customHeight="1" x14ac:dyDescent="0.25">
      <c r="A116" s="7" t="s">
        <v>58</v>
      </c>
      <c r="B116" s="2" t="s">
        <v>1270</v>
      </c>
      <c r="C116" s="2" t="s">
        <v>1271</v>
      </c>
      <c r="D116" s="2" t="s">
        <v>1272</v>
      </c>
      <c r="F116" s="3" t="s">
        <v>58</v>
      </c>
      <c r="G116" s="3" t="s">
        <v>59</v>
      </c>
      <c r="H116" s="3" t="s">
        <v>58</v>
      </c>
      <c r="I116" s="3" t="s">
        <v>58</v>
      </c>
      <c r="J116" s="3" t="s">
        <v>60</v>
      </c>
      <c r="K116" s="2" t="s">
        <v>1273</v>
      </c>
      <c r="L116" s="2" t="s">
        <v>1274</v>
      </c>
      <c r="M116" s="3" t="s">
        <v>537</v>
      </c>
      <c r="O116" s="3" t="s">
        <v>63</v>
      </c>
      <c r="P116" s="3" t="s">
        <v>1275</v>
      </c>
      <c r="R116" s="3" t="s">
        <v>65</v>
      </c>
      <c r="S116" s="4">
        <v>6</v>
      </c>
      <c r="T116" s="4">
        <v>6</v>
      </c>
      <c r="U116" s="5" t="s">
        <v>1262</v>
      </c>
      <c r="V116" s="5" t="s">
        <v>1262</v>
      </c>
      <c r="W116" s="5" t="s">
        <v>1276</v>
      </c>
      <c r="X116" s="5" t="s">
        <v>1276</v>
      </c>
      <c r="Y116" s="4">
        <v>689</v>
      </c>
      <c r="Z116" s="4">
        <v>578</v>
      </c>
      <c r="AA116" s="4">
        <v>590</v>
      </c>
      <c r="AB116" s="4">
        <v>4</v>
      </c>
      <c r="AC116" s="4">
        <v>4</v>
      </c>
      <c r="AD116" s="4">
        <v>25</v>
      </c>
      <c r="AE116" s="4">
        <v>25</v>
      </c>
      <c r="AF116" s="4">
        <v>9</v>
      </c>
      <c r="AG116" s="4">
        <v>9</v>
      </c>
      <c r="AH116" s="4">
        <v>4</v>
      </c>
      <c r="AI116" s="4">
        <v>4</v>
      </c>
      <c r="AJ116" s="4">
        <v>17</v>
      </c>
      <c r="AK116" s="4">
        <v>17</v>
      </c>
      <c r="AL116" s="4">
        <v>3</v>
      </c>
      <c r="AM116" s="4">
        <v>3</v>
      </c>
      <c r="AN116" s="4">
        <v>0</v>
      </c>
      <c r="AO116" s="4">
        <v>0</v>
      </c>
      <c r="AP116" s="3" t="s">
        <v>58</v>
      </c>
      <c r="AQ116" s="3" t="s">
        <v>58</v>
      </c>
      <c r="AS116" s="6" t="str">
        <f>HYPERLINK("https://creighton-primo.hosted.exlibrisgroup.com/primo-explore/search?tab=default_tab&amp;search_scope=EVERYTHING&amp;vid=01CRU&amp;lang=en_US&amp;offset=0&amp;query=any,contains,991001672229702656","Catalog Record")</f>
        <v>Catalog Record</v>
      </c>
      <c r="AT116" s="6" t="str">
        <f>HYPERLINK("http://www.worldcat.org/oclc/21297960","WorldCat Record")</f>
        <v>WorldCat Record</v>
      </c>
      <c r="AU116" s="3" t="s">
        <v>1277</v>
      </c>
      <c r="AV116" s="3" t="s">
        <v>1278</v>
      </c>
      <c r="AW116" s="3" t="s">
        <v>1279</v>
      </c>
      <c r="AX116" s="3" t="s">
        <v>1279</v>
      </c>
      <c r="AY116" s="3" t="s">
        <v>1280</v>
      </c>
      <c r="AZ116" s="3" t="s">
        <v>73</v>
      </c>
      <c r="BB116" s="3" t="s">
        <v>1281</v>
      </c>
      <c r="BC116" s="3" t="s">
        <v>1282</v>
      </c>
      <c r="BD116" s="3" t="s">
        <v>1283</v>
      </c>
    </row>
    <row r="117" spans="1:56" ht="31.5" customHeight="1" x14ac:dyDescent="0.25">
      <c r="A117" s="7" t="s">
        <v>58</v>
      </c>
      <c r="B117" s="2" t="s">
        <v>1284</v>
      </c>
      <c r="C117" s="2" t="s">
        <v>1285</v>
      </c>
      <c r="D117" s="2" t="s">
        <v>1286</v>
      </c>
      <c r="F117" s="3" t="s">
        <v>58</v>
      </c>
      <c r="G117" s="3" t="s">
        <v>59</v>
      </c>
      <c r="H117" s="3" t="s">
        <v>58</v>
      </c>
      <c r="I117" s="3" t="s">
        <v>58</v>
      </c>
      <c r="J117" s="3" t="s">
        <v>60</v>
      </c>
      <c r="K117" s="2" t="s">
        <v>441</v>
      </c>
      <c r="L117" s="2" t="s">
        <v>1287</v>
      </c>
      <c r="M117" s="3" t="s">
        <v>607</v>
      </c>
      <c r="N117" s="2" t="s">
        <v>1288</v>
      </c>
      <c r="O117" s="3" t="s">
        <v>63</v>
      </c>
      <c r="P117" s="3" t="s">
        <v>64</v>
      </c>
      <c r="R117" s="3" t="s">
        <v>65</v>
      </c>
      <c r="S117" s="4">
        <v>7</v>
      </c>
      <c r="T117" s="4">
        <v>7</v>
      </c>
      <c r="U117" s="5" t="s">
        <v>1289</v>
      </c>
      <c r="V117" s="5" t="s">
        <v>1289</v>
      </c>
      <c r="W117" s="5" t="s">
        <v>1290</v>
      </c>
      <c r="X117" s="5" t="s">
        <v>1290</v>
      </c>
      <c r="Y117" s="4">
        <v>655</v>
      </c>
      <c r="Z117" s="4">
        <v>611</v>
      </c>
      <c r="AA117" s="4">
        <v>720</v>
      </c>
      <c r="AB117" s="4">
        <v>7</v>
      </c>
      <c r="AC117" s="4">
        <v>7</v>
      </c>
      <c r="AD117" s="4">
        <v>17</v>
      </c>
      <c r="AE117" s="4">
        <v>19</v>
      </c>
      <c r="AF117" s="4">
        <v>3</v>
      </c>
      <c r="AG117" s="4">
        <v>3</v>
      </c>
      <c r="AH117" s="4">
        <v>4</v>
      </c>
      <c r="AI117" s="4">
        <v>4</v>
      </c>
      <c r="AJ117" s="4">
        <v>9</v>
      </c>
      <c r="AK117" s="4">
        <v>11</v>
      </c>
      <c r="AL117" s="4">
        <v>4</v>
      </c>
      <c r="AM117" s="4">
        <v>4</v>
      </c>
      <c r="AN117" s="4">
        <v>0</v>
      </c>
      <c r="AO117" s="4">
        <v>0</v>
      </c>
      <c r="AP117" s="3" t="s">
        <v>58</v>
      </c>
      <c r="AQ117" s="3" t="s">
        <v>68</v>
      </c>
      <c r="AR117" s="6" t="str">
        <f>HYPERLINK("http://catalog.hathitrust.org/Record/001483793","HathiTrust Record")</f>
        <v>HathiTrust Record</v>
      </c>
      <c r="AS117" s="6" t="str">
        <f>HYPERLINK("https://creighton-primo.hosted.exlibrisgroup.com/primo-explore/search?tab=default_tab&amp;search_scope=EVERYTHING&amp;vid=01CRU&amp;lang=en_US&amp;offset=0&amp;query=any,contains,991003113689702656","Catalog Record")</f>
        <v>Catalog Record</v>
      </c>
      <c r="AT117" s="6" t="str">
        <f>HYPERLINK("http://www.worldcat.org/oclc/658916","WorldCat Record")</f>
        <v>WorldCat Record</v>
      </c>
      <c r="AU117" s="3" t="s">
        <v>1291</v>
      </c>
      <c r="AV117" s="3" t="s">
        <v>1292</v>
      </c>
      <c r="AW117" s="3" t="s">
        <v>1293</v>
      </c>
      <c r="AX117" s="3" t="s">
        <v>1293</v>
      </c>
      <c r="AY117" s="3" t="s">
        <v>1294</v>
      </c>
      <c r="AZ117" s="3" t="s">
        <v>73</v>
      </c>
      <c r="BB117" s="3" t="s">
        <v>1295</v>
      </c>
      <c r="BC117" s="3" t="s">
        <v>1296</v>
      </c>
      <c r="BD117" s="3" t="s">
        <v>1297</v>
      </c>
    </row>
    <row r="118" spans="1:56" ht="31.5" customHeight="1" x14ac:dyDescent="0.25">
      <c r="A118" s="7" t="s">
        <v>58</v>
      </c>
      <c r="B118" s="2" t="s">
        <v>1298</v>
      </c>
      <c r="C118" s="2" t="s">
        <v>1299</v>
      </c>
      <c r="D118" s="2" t="s">
        <v>1300</v>
      </c>
      <c r="F118" s="3" t="s">
        <v>58</v>
      </c>
      <c r="G118" s="3" t="s">
        <v>59</v>
      </c>
      <c r="H118" s="3" t="s">
        <v>58</v>
      </c>
      <c r="I118" s="3" t="s">
        <v>58</v>
      </c>
      <c r="J118" s="3" t="s">
        <v>60</v>
      </c>
      <c r="K118" s="2" t="s">
        <v>1301</v>
      </c>
      <c r="L118" s="2" t="s">
        <v>1302</v>
      </c>
      <c r="M118" s="3" t="s">
        <v>1303</v>
      </c>
      <c r="O118" s="3" t="s">
        <v>63</v>
      </c>
      <c r="P118" s="3" t="s">
        <v>64</v>
      </c>
      <c r="R118" s="3" t="s">
        <v>65</v>
      </c>
      <c r="S118" s="4">
        <v>7</v>
      </c>
      <c r="T118" s="4">
        <v>7</v>
      </c>
      <c r="U118" s="5" t="s">
        <v>1304</v>
      </c>
      <c r="V118" s="5" t="s">
        <v>1304</v>
      </c>
      <c r="W118" s="5" t="s">
        <v>1305</v>
      </c>
      <c r="X118" s="5" t="s">
        <v>1305</v>
      </c>
      <c r="Y118" s="4">
        <v>166</v>
      </c>
      <c r="Z118" s="4">
        <v>153</v>
      </c>
      <c r="AA118" s="4">
        <v>161</v>
      </c>
      <c r="AB118" s="4">
        <v>1</v>
      </c>
      <c r="AC118" s="4">
        <v>1</v>
      </c>
      <c r="AD118" s="4">
        <v>9</v>
      </c>
      <c r="AE118" s="4">
        <v>9</v>
      </c>
      <c r="AF118" s="4">
        <v>3</v>
      </c>
      <c r="AG118" s="4">
        <v>3</v>
      </c>
      <c r="AH118" s="4">
        <v>2</v>
      </c>
      <c r="AI118" s="4">
        <v>2</v>
      </c>
      <c r="AJ118" s="4">
        <v>7</v>
      </c>
      <c r="AK118" s="4">
        <v>7</v>
      </c>
      <c r="AL118" s="4">
        <v>0</v>
      </c>
      <c r="AM118" s="4">
        <v>0</v>
      </c>
      <c r="AN118" s="4">
        <v>0</v>
      </c>
      <c r="AO118" s="4">
        <v>0</v>
      </c>
      <c r="AP118" s="3" t="s">
        <v>68</v>
      </c>
      <c r="AQ118" s="3" t="s">
        <v>58</v>
      </c>
      <c r="AR118" s="6" t="str">
        <f>HYPERLINK("http://catalog.hathitrust.org/Record/001475582","HathiTrust Record")</f>
        <v>HathiTrust Record</v>
      </c>
      <c r="AS118" s="6" t="str">
        <f>HYPERLINK("https://creighton-primo.hosted.exlibrisgroup.com/primo-explore/search?tab=default_tab&amp;search_scope=EVERYTHING&amp;vid=01CRU&amp;lang=en_US&amp;offset=0&amp;query=any,contains,991004071189702656","Catalog Record")</f>
        <v>Catalog Record</v>
      </c>
      <c r="AT118" s="6" t="str">
        <f>HYPERLINK("http://www.worldcat.org/oclc/2301508","WorldCat Record")</f>
        <v>WorldCat Record</v>
      </c>
      <c r="AU118" s="3" t="s">
        <v>1306</v>
      </c>
      <c r="AV118" s="3" t="s">
        <v>1307</v>
      </c>
      <c r="AW118" s="3" t="s">
        <v>1308</v>
      </c>
      <c r="AX118" s="3" t="s">
        <v>1308</v>
      </c>
      <c r="AY118" s="3" t="s">
        <v>1309</v>
      </c>
      <c r="AZ118" s="3" t="s">
        <v>73</v>
      </c>
      <c r="BC118" s="3" t="s">
        <v>1310</v>
      </c>
      <c r="BD118" s="3" t="s">
        <v>1311</v>
      </c>
    </row>
    <row r="119" spans="1:56" ht="31.5" customHeight="1" x14ac:dyDescent="0.25">
      <c r="A119" s="7" t="s">
        <v>58</v>
      </c>
      <c r="B119" s="2" t="s">
        <v>1312</v>
      </c>
      <c r="C119" s="2" t="s">
        <v>1313</v>
      </c>
      <c r="D119" s="2" t="s">
        <v>1314</v>
      </c>
      <c r="F119" s="3" t="s">
        <v>58</v>
      </c>
      <c r="G119" s="3" t="s">
        <v>59</v>
      </c>
      <c r="H119" s="3" t="s">
        <v>58</v>
      </c>
      <c r="I119" s="3" t="s">
        <v>58</v>
      </c>
      <c r="J119" s="3" t="s">
        <v>60</v>
      </c>
      <c r="L119" s="2" t="s">
        <v>1315</v>
      </c>
      <c r="M119" s="3" t="s">
        <v>401</v>
      </c>
      <c r="O119" s="3" t="s">
        <v>63</v>
      </c>
      <c r="P119" s="3" t="s">
        <v>459</v>
      </c>
      <c r="R119" s="3" t="s">
        <v>65</v>
      </c>
      <c r="S119" s="4">
        <v>14</v>
      </c>
      <c r="T119" s="4">
        <v>14</v>
      </c>
      <c r="U119" s="5" t="s">
        <v>1316</v>
      </c>
      <c r="V119" s="5" t="s">
        <v>1316</v>
      </c>
      <c r="W119" s="5" t="s">
        <v>1317</v>
      </c>
      <c r="X119" s="5" t="s">
        <v>1317</v>
      </c>
      <c r="Y119" s="4">
        <v>346</v>
      </c>
      <c r="Z119" s="4">
        <v>236</v>
      </c>
      <c r="AA119" s="4">
        <v>251</v>
      </c>
      <c r="AB119" s="4">
        <v>3</v>
      </c>
      <c r="AC119" s="4">
        <v>3</v>
      </c>
      <c r="AD119" s="4">
        <v>15</v>
      </c>
      <c r="AE119" s="4">
        <v>16</v>
      </c>
      <c r="AF119" s="4">
        <v>2</v>
      </c>
      <c r="AG119" s="4">
        <v>3</v>
      </c>
      <c r="AH119" s="4">
        <v>5</v>
      </c>
      <c r="AI119" s="4">
        <v>5</v>
      </c>
      <c r="AJ119" s="4">
        <v>9</v>
      </c>
      <c r="AK119" s="4">
        <v>10</v>
      </c>
      <c r="AL119" s="4">
        <v>2</v>
      </c>
      <c r="AM119" s="4">
        <v>2</v>
      </c>
      <c r="AN119" s="4">
        <v>0</v>
      </c>
      <c r="AO119" s="4">
        <v>0</v>
      </c>
      <c r="AP119" s="3" t="s">
        <v>58</v>
      </c>
      <c r="AQ119" s="3" t="s">
        <v>58</v>
      </c>
      <c r="AS119" s="6" t="str">
        <f>HYPERLINK("https://creighton-primo.hosted.exlibrisgroup.com/primo-explore/search?tab=default_tab&amp;search_scope=EVERYTHING&amp;vid=01CRU&amp;lang=en_US&amp;offset=0&amp;query=any,contains,991003292549702656","Catalog Record")</f>
        <v>Catalog Record</v>
      </c>
      <c r="AT119" s="6" t="str">
        <f>HYPERLINK("http://www.worldcat.org/oclc/814446","WorldCat Record")</f>
        <v>WorldCat Record</v>
      </c>
      <c r="AU119" s="3" t="s">
        <v>1318</v>
      </c>
      <c r="AV119" s="3" t="s">
        <v>1319</v>
      </c>
      <c r="AW119" s="3" t="s">
        <v>1320</v>
      </c>
      <c r="AX119" s="3" t="s">
        <v>1320</v>
      </c>
      <c r="AY119" s="3" t="s">
        <v>1321</v>
      </c>
      <c r="AZ119" s="3" t="s">
        <v>73</v>
      </c>
      <c r="BB119" s="3" t="s">
        <v>1322</v>
      </c>
      <c r="BC119" s="3" t="s">
        <v>1323</v>
      </c>
      <c r="BD119" s="3" t="s">
        <v>1324</v>
      </c>
    </row>
    <row r="120" spans="1:56" ht="31.5" customHeight="1" x14ac:dyDescent="0.25">
      <c r="A120" s="7" t="s">
        <v>58</v>
      </c>
      <c r="B120" s="2" t="s">
        <v>1325</v>
      </c>
      <c r="C120" s="2" t="s">
        <v>1326</v>
      </c>
      <c r="D120" s="2" t="s">
        <v>1327</v>
      </c>
      <c r="F120" s="3" t="s">
        <v>58</v>
      </c>
      <c r="G120" s="3" t="s">
        <v>59</v>
      </c>
      <c r="H120" s="3" t="s">
        <v>58</v>
      </c>
      <c r="I120" s="3" t="s">
        <v>58</v>
      </c>
      <c r="J120" s="3" t="s">
        <v>60</v>
      </c>
      <c r="K120" s="2" t="s">
        <v>1328</v>
      </c>
      <c r="L120" s="2" t="s">
        <v>1329</v>
      </c>
      <c r="M120" s="3" t="s">
        <v>1029</v>
      </c>
      <c r="O120" s="3" t="s">
        <v>63</v>
      </c>
      <c r="P120" s="3" t="s">
        <v>64</v>
      </c>
      <c r="R120" s="3" t="s">
        <v>65</v>
      </c>
      <c r="S120" s="4">
        <v>10</v>
      </c>
      <c r="T120" s="4">
        <v>10</v>
      </c>
      <c r="U120" s="5" t="s">
        <v>1330</v>
      </c>
      <c r="V120" s="5" t="s">
        <v>1330</v>
      </c>
      <c r="W120" s="5" t="s">
        <v>1331</v>
      </c>
      <c r="X120" s="5" t="s">
        <v>1331</v>
      </c>
      <c r="Y120" s="4">
        <v>393</v>
      </c>
      <c r="Z120" s="4">
        <v>362</v>
      </c>
      <c r="AA120" s="4">
        <v>590</v>
      </c>
      <c r="AB120" s="4">
        <v>2</v>
      </c>
      <c r="AC120" s="4">
        <v>2</v>
      </c>
      <c r="AD120" s="4">
        <v>11</v>
      </c>
      <c r="AE120" s="4">
        <v>26</v>
      </c>
      <c r="AF120" s="4">
        <v>0</v>
      </c>
      <c r="AG120" s="4">
        <v>7</v>
      </c>
      <c r="AH120" s="4">
        <v>4</v>
      </c>
      <c r="AI120" s="4">
        <v>9</v>
      </c>
      <c r="AJ120" s="4">
        <v>8</v>
      </c>
      <c r="AK120" s="4">
        <v>16</v>
      </c>
      <c r="AL120" s="4">
        <v>1</v>
      </c>
      <c r="AM120" s="4">
        <v>1</v>
      </c>
      <c r="AN120" s="4">
        <v>0</v>
      </c>
      <c r="AO120" s="4">
        <v>0</v>
      </c>
      <c r="AP120" s="3" t="s">
        <v>58</v>
      </c>
      <c r="AQ120" s="3" t="s">
        <v>58</v>
      </c>
      <c r="AR120" s="6" t="str">
        <f>HYPERLINK("http://catalog.hathitrust.org/Record/006055502","HathiTrust Record")</f>
        <v>HathiTrust Record</v>
      </c>
      <c r="AS120" s="6" t="str">
        <f>HYPERLINK("https://creighton-primo.hosted.exlibrisgroup.com/primo-explore/search?tab=default_tab&amp;search_scope=EVERYTHING&amp;vid=01CRU&amp;lang=en_US&amp;offset=0&amp;query=any,contains,991002929529702656","Catalog Record")</f>
        <v>Catalog Record</v>
      </c>
      <c r="AT120" s="6" t="str">
        <f>HYPERLINK("http://www.worldcat.org/oclc/530430","WorldCat Record")</f>
        <v>WorldCat Record</v>
      </c>
      <c r="AU120" s="3" t="s">
        <v>1332</v>
      </c>
      <c r="AV120" s="3" t="s">
        <v>1333</v>
      </c>
      <c r="AW120" s="3" t="s">
        <v>1334</v>
      </c>
      <c r="AX120" s="3" t="s">
        <v>1334</v>
      </c>
      <c r="AY120" s="3" t="s">
        <v>1335</v>
      </c>
      <c r="AZ120" s="3" t="s">
        <v>73</v>
      </c>
      <c r="BC120" s="3" t="s">
        <v>1336</v>
      </c>
      <c r="BD120" s="3" t="s">
        <v>1337</v>
      </c>
    </row>
    <row r="121" spans="1:56" ht="31.5" customHeight="1" x14ac:dyDescent="0.25">
      <c r="A121" s="7" t="s">
        <v>58</v>
      </c>
      <c r="B121" s="2" t="s">
        <v>1338</v>
      </c>
      <c r="C121" s="2" t="s">
        <v>1339</v>
      </c>
      <c r="D121" s="2" t="s">
        <v>1340</v>
      </c>
      <c r="F121" s="3" t="s">
        <v>58</v>
      </c>
      <c r="G121" s="3" t="s">
        <v>59</v>
      </c>
      <c r="H121" s="3" t="s">
        <v>58</v>
      </c>
      <c r="I121" s="3" t="s">
        <v>68</v>
      </c>
      <c r="J121" s="3" t="s">
        <v>60</v>
      </c>
      <c r="K121" s="2" t="s">
        <v>1341</v>
      </c>
      <c r="L121" s="2" t="s">
        <v>1342</v>
      </c>
      <c r="M121" s="3" t="s">
        <v>128</v>
      </c>
      <c r="O121" s="3" t="s">
        <v>63</v>
      </c>
      <c r="P121" s="3" t="s">
        <v>1275</v>
      </c>
      <c r="Q121" s="2" t="s">
        <v>1343</v>
      </c>
      <c r="R121" s="3" t="s">
        <v>65</v>
      </c>
      <c r="S121" s="4">
        <v>1</v>
      </c>
      <c r="T121" s="4">
        <v>1</v>
      </c>
      <c r="U121" s="5" t="s">
        <v>1344</v>
      </c>
      <c r="V121" s="5" t="s">
        <v>1344</v>
      </c>
      <c r="W121" s="5" t="s">
        <v>1345</v>
      </c>
      <c r="X121" s="5" t="s">
        <v>1345</v>
      </c>
      <c r="Y121" s="4">
        <v>863</v>
      </c>
      <c r="Z121" s="4">
        <v>702</v>
      </c>
      <c r="AA121" s="4">
        <v>779</v>
      </c>
      <c r="AB121" s="4">
        <v>6</v>
      </c>
      <c r="AC121" s="4">
        <v>6</v>
      </c>
      <c r="AD121" s="4">
        <v>37</v>
      </c>
      <c r="AE121" s="4">
        <v>40</v>
      </c>
      <c r="AF121" s="4">
        <v>12</v>
      </c>
      <c r="AG121" s="4">
        <v>13</v>
      </c>
      <c r="AH121" s="4">
        <v>10</v>
      </c>
      <c r="AI121" s="4">
        <v>12</v>
      </c>
      <c r="AJ121" s="4">
        <v>20</v>
      </c>
      <c r="AK121" s="4">
        <v>22</v>
      </c>
      <c r="AL121" s="4">
        <v>5</v>
      </c>
      <c r="AM121" s="4">
        <v>5</v>
      </c>
      <c r="AN121" s="4">
        <v>0</v>
      </c>
      <c r="AO121" s="4">
        <v>0</v>
      </c>
      <c r="AP121" s="3" t="s">
        <v>58</v>
      </c>
      <c r="AQ121" s="3" t="s">
        <v>58</v>
      </c>
      <c r="AS121" s="6" t="str">
        <f>HYPERLINK("https://creighton-primo.hosted.exlibrisgroup.com/primo-explore/search?tab=default_tab&amp;search_scope=EVERYTHING&amp;vid=01CRU&amp;lang=en_US&amp;offset=0&amp;query=any,contains,991002086909702656","Catalog Record")</f>
        <v>Catalog Record</v>
      </c>
      <c r="AT121" s="6" t="str">
        <f>HYPERLINK("http://www.worldcat.org/oclc/26767743","WorldCat Record")</f>
        <v>WorldCat Record</v>
      </c>
      <c r="AU121" s="3" t="s">
        <v>1346</v>
      </c>
      <c r="AV121" s="3" t="s">
        <v>1347</v>
      </c>
      <c r="AW121" s="3" t="s">
        <v>1348</v>
      </c>
      <c r="AX121" s="3" t="s">
        <v>1348</v>
      </c>
      <c r="AY121" s="3" t="s">
        <v>1349</v>
      </c>
      <c r="AZ121" s="3" t="s">
        <v>73</v>
      </c>
      <c r="BB121" s="3" t="s">
        <v>1350</v>
      </c>
      <c r="BC121" s="3" t="s">
        <v>1351</v>
      </c>
      <c r="BD121" s="3" t="s">
        <v>1352</v>
      </c>
    </row>
    <row r="122" spans="1:56" ht="31.5" customHeight="1" x14ac:dyDescent="0.25">
      <c r="A122" s="7" t="s">
        <v>58</v>
      </c>
      <c r="B122" s="2" t="s">
        <v>1353</v>
      </c>
      <c r="C122" s="2" t="s">
        <v>1354</v>
      </c>
      <c r="D122" s="2" t="s">
        <v>1340</v>
      </c>
      <c r="F122" s="3" t="s">
        <v>58</v>
      </c>
      <c r="G122" s="3" t="s">
        <v>59</v>
      </c>
      <c r="H122" s="3" t="s">
        <v>58</v>
      </c>
      <c r="I122" s="3" t="s">
        <v>68</v>
      </c>
      <c r="J122" s="3" t="s">
        <v>60</v>
      </c>
      <c r="K122" s="2" t="s">
        <v>1341</v>
      </c>
      <c r="L122" s="2" t="s">
        <v>1355</v>
      </c>
      <c r="M122" s="3" t="s">
        <v>344</v>
      </c>
      <c r="N122" s="2" t="s">
        <v>1356</v>
      </c>
      <c r="O122" s="3" t="s">
        <v>63</v>
      </c>
      <c r="P122" s="3" t="s">
        <v>1275</v>
      </c>
      <c r="Q122" s="2" t="s">
        <v>1343</v>
      </c>
      <c r="R122" s="3" t="s">
        <v>65</v>
      </c>
      <c r="S122" s="4">
        <v>3</v>
      </c>
      <c r="T122" s="4">
        <v>3</v>
      </c>
      <c r="U122" s="5" t="s">
        <v>1357</v>
      </c>
      <c r="V122" s="5" t="s">
        <v>1357</v>
      </c>
      <c r="W122" s="5" t="s">
        <v>1358</v>
      </c>
      <c r="X122" s="5" t="s">
        <v>1358</v>
      </c>
      <c r="Y122" s="4">
        <v>96</v>
      </c>
      <c r="Z122" s="4">
        <v>66</v>
      </c>
      <c r="AA122" s="4">
        <v>779</v>
      </c>
      <c r="AB122" s="4">
        <v>1</v>
      </c>
      <c r="AC122" s="4">
        <v>6</v>
      </c>
      <c r="AD122" s="4">
        <v>2</v>
      </c>
      <c r="AE122" s="4">
        <v>40</v>
      </c>
      <c r="AF122" s="4">
        <v>0</v>
      </c>
      <c r="AG122" s="4">
        <v>13</v>
      </c>
      <c r="AH122" s="4">
        <v>1</v>
      </c>
      <c r="AI122" s="4">
        <v>12</v>
      </c>
      <c r="AJ122" s="4">
        <v>2</v>
      </c>
      <c r="AK122" s="4">
        <v>22</v>
      </c>
      <c r="AL122" s="4">
        <v>0</v>
      </c>
      <c r="AM122" s="4">
        <v>5</v>
      </c>
      <c r="AN122" s="4">
        <v>0</v>
      </c>
      <c r="AO122" s="4">
        <v>0</v>
      </c>
      <c r="AP122" s="3" t="s">
        <v>58</v>
      </c>
      <c r="AQ122" s="3" t="s">
        <v>58</v>
      </c>
      <c r="AS122" s="6" t="str">
        <f>HYPERLINK("https://creighton-primo.hosted.exlibrisgroup.com/primo-explore/search?tab=default_tab&amp;search_scope=EVERYTHING&amp;vid=01CRU&amp;lang=en_US&amp;offset=0&amp;query=any,contains,991003490359702656","Catalog Record")</f>
        <v>Catalog Record</v>
      </c>
      <c r="AT122" s="6" t="str">
        <f>HYPERLINK("http://www.worldcat.org/oclc/31847204","WorldCat Record")</f>
        <v>WorldCat Record</v>
      </c>
      <c r="AU122" s="3" t="s">
        <v>1346</v>
      </c>
      <c r="AV122" s="3" t="s">
        <v>1359</v>
      </c>
      <c r="AW122" s="3" t="s">
        <v>1360</v>
      </c>
      <c r="AX122" s="3" t="s">
        <v>1360</v>
      </c>
      <c r="AY122" s="3" t="s">
        <v>1361</v>
      </c>
      <c r="AZ122" s="3" t="s">
        <v>73</v>
      </c>
      <c r="BB122" s="3" t="s">
        <v>1362</v>
      </c>
      <c r="BC122" s="3" t="s">
        <v>1363</v>
      </c>
      <c r="BD122" s="3" t="s">
        <v>1364</v>
      </c>
    </row>
    <row r="123" spans="1:56" ht="31.5" customHeight="1" x14ac:dyDescent="0.25">
      <c r="A123" s="7" t="s">
        <v>58</v>
      </c>
      <c r="B123" s="2" t="s">
        <v>1365</v>
      </c>
      <c r="C123" s="2" t="s">
        <v>1366</v>
      </c>
      <c r="D123" s="2" t="s">
        <v>1367</v>
      </c>
      <c r="F123" s="3" t="s">
        <v>58</v>
      </c>
      <c r="G123" s="3" t="s">
        <v>59</v>
      </c>
      <c r="H123" s="3" t="s">
        <v>58</v>
      </c>
      <c r="I123" s="3" t="s">
        <v>58</v>
      </c>
      <c r="J123" s="3" t="s">
        <v>60</v>
      </c>
      <c r="K123" s="2" t="s">
        <v>1368</v>
      </c>
      <c r="L123" s="2" t="s">
        <v>1369</v>
      </c>
      <c r="M123" s="3" t="s">
        <v>1370</v>
      </c>
      <c r="O123" s="3" t="s">
        <v>63</v>
      </c>
      <c r="P123" s="3" t="s">
        <v>64</v>
      </c>
      <c r="Q123" s="2" t="s">
        <v>1371</v>
      </c>
      <c r="R123" s="3" t="s">
        <v>65</v>
      </c>
      <c r="S123" s="4">
        <v>12</v>
      </c>
      <c r="T123" s="4">
        <v>12</v>
      </c>
      <c r="U123" s="5" t="s">
        <v>1372</v>
      </c>
      <c r="V123" s="5" t="s">
        <v>1372</v>
      </c>
      <c r="W123" s="5" t="s">
        <v>1373</v>
      </c>
      <c r="X123" s="5" t="s">
        <v>1373</v>
      </c>
      <c r="Y123" s="4">
        <v>223</v>
      </c>
      <c r="Z123" s="4">
        <v>189</v>
      </c>
      <c r="AA123" s="4">
        <v>196</v>
      </c>
      <c r="AB123" s="4">
        <v>3</v>
      </c>
      <c r="AC123" s="4">
        <v>3</v>
      </c>
      <c r="AD123" s="4">
        <v>6</v>
      </c>
      <c r="AE123" s="4">
        <v>6</v>
      </c>
      <c r="AF123" s="4">
        <v>1</v>
      </c>
      <c r="AG123" s="4">
        <v>1</v>
      </c>
      <c r="AH123" s="4">
        <v>2</v>
      </c>
      <c r="AI123" s="4">
        <v>2</v>
      </c>
      <c r="AJ123" s="4">
        <v>2</v>
      </c>
      <c r="AK123" s="4">
        <v>2</v>
      </c>
      <c r="AL123" s="4">
        <v>2</v>
      </c>
      <c r="AM123" s="4">
        <v>2</v>
      </c>
      <c r="AN123" s="4">
        <v>0</v>
      </c>
      <c r="AO123" s="4">
        <v>0</v>
      </c>
      <c r="AP123" s="3" t="s">
        <v>58</v>
      </c>
      <c r="AQ123" s="3" t="s">
        <v>58</v>
      </c>
      <c r="AS123" s="6" t="str">
        <f>HYPERLINK("https://creighton-primo.hosted.exlibrisgroup.com/primo-explore/search?tab=default_tab&amp;search_scope=EVERYTHING&amp;vid=01CRU&amp;lang=en_US&amp;offset=0&amp;query=any,contains,991003597189702656","Catalog Record")</f>
        <v>Catalog Record</v>
      </c>
      <c r="AT123" s="6" t="str">
        <f>HYPERLINK("http://www.worldcat.org/oclc/1175930","WorldCat Record")</f>
        <v>WorldCat Record</v>
      </c>
      <c r="AU123" s="3" t="s">
        <v>1374</v>
      </c>
      <c r="AV123" s="3" t="s">
        <v>1375</v>
      </c>
      <c r="AW123" s="3" t="s">
        <v>1376</v>
      </c>
      <c r="AX123" s="3" t="s">
        <v>1376</v>
      </c>
      <c r="AY123" s="3" t="s">
        <v>1377</v>
      </c>
      <c r="AZ123" s="3" t="s">
        <v>73</v>
      </c>
      <c r="BB123" s="3" t="s">
        <v>1378</v>
      </c>
      <c r="BC123" s="3" t="s">
        <v>1379</v>
      </c>
      <c r="BD123" s="3" t="s">
        <v>1380</v>
      </c>
    </row>
    <row r="124" spans="1:56" ht="31.5" customHeight="1" x14ac:dyDescent="0.25">
      <c r="A124" s="7" t="s">
        <v>58</v>
      </c>
      <c r="B124" s="2" t="s">
        <v>1381</v>
      </c>
      <c r="C124" s="2" t="s">
        <v>1382</v>
      </c>
      <c r="D124" s="2" t="s">
        <v>1383</v>
      </c>
      <c r="F124" s="3" t="s">
        <v>58</v>
      </c>
      <c r="G124" s="3" t="s">
        <v>59</v>
      </c>
      <c r="H124" s="3" t="s">
        <v>58</v>
      </c>
      <c r="I124" s="3" t="s">
        <v>68</v>
      </c>
      <c r="J124" s="3" t="s">
        <v>60</v>
      </c>
      <c r="K124" s="2" t="s">
        <v>1384</v>
      </c>
      <c r="L124" s="2" t="s">
        <v>1385</v>
      </c>
      <c r="M124" s="3" t="s">
        <v>565</v>
      </c>
      <c r="N124" s="2" t="s">
        <v>345</v>
      </c>
      <c r="O124" s="3" t="s">
        <v>63</v>
      </c>
      <c r="P124" s="3" t="s">
        <v>64</v>
      </c>
      <c r="Q124" s="2" t="s">
        <v>1386</v>
      </c>
      <c r="R124" s="3" t="s">
        <v>65</v>
      </c>
      <c r="S124" s="4">
        <v>18</v>
      </c>
      <c r="T124" s="4">
        <v>18</v>
      </c>
      <c r="U124" s="5" t="s">
        <v>1316</v>
      </c>
      <c r="V124" s="5" t="s">
        <v>1316</v>
      </c>
      <c r="W124" s="5" t="s">
        <v>1387</v>
      </c>
      <c r="X124" s="5" t="s">
        <v>1387</v>
      </c>
      <c r="Y124" s="4">
        <v>714</v>
      </c>
      <c r="Z124" s="4">
        <v>680</v>
      </c>
      <c r="AA124" s="4">
        <v>1224</v>
      </c>
      <c r="AB124" s="4">
        <v>5</v>
      </c>
      <c r="AC124" s="4">
        <v>8</v>
      </c>
      <c r="AD124" s="4">
        <v>29</v>
      </c>
      <c r="AE124" s="4">
        <v>50</v>
      </c>
      <c r="AF124" s="4">
        <v>13</v>
      </c>
      <c r="AG124" s="4">
        <v>23</v>
      </c>
      <c r="AH124" s="4">
        <v>4</v>
      </c>
      <c r="AI124" s="4">
        <v>9</v>
      </c>
      <c r="AJ124" s="4">
        <v>15</v>
      </c>
      <c r="AK124" s="4">
        <v>23</v>
      </c>
      <c r="AL124" s="4">
        <v>4</v>
      </c>
      <c r="AM124" s="4">
        <v>6</v>
      </c>
      <c r="AN124" s="4">
        <v>0</v>
      </c>
      <c r="AO124" s="4">
        <v>0</v>
      </c>
      <c r="AP124" s="3" t="s">
        <v>58</v>
      </c>
      <c r="AQ124" s="3" t="s">
        <v>58</v>
      </c>
      <c r="AS124" s="6" t="str">
        <f>HYPERLINK("https://creighton-primo.hosted.exlibrisgroup.com/primo-explore/search?tab=default_tab&amp;search_scope=EVERYTHING&amp;vid=01CRU&amp;lang=en_US&amp;offset=0&amp;query=any,contains,991005075509702656","Catalog Record")</f>
        <v>Catalog Record</v>
      </c>
      <c r="AT124" s="6" t="str">
        <f>HYPERLINK("http://www.worldcat.org/oclc/7107840","WorldCat Record")</f>
        <v>WorldCat Record</v>
      </c>
      <c r="AU124" s="3" t="s">
        <v>1388</v>
      </c>
      <c r="AV124" s="3" t="s">
        <v>1389</v>
      </c>
      <c r="AW124" s="3" t="s">
        <v>1390</v>
      </c>
      <c r="AX124" s="3" t="s">
        <v>1390</v>
      </c>
      <c r="AY124" s="3" t="s">
        <v>1391</v>
      </c>
      <c r="AZ124" s="3" t="s">
        <v>73</v>
      </c>
      <c r="BB124" s="3" t="s">
        <v>1392</v>
      </c>
      <c r="BC124" s="3" t="s">
        <v>1393</v>
      </c>
      <c r="BD124" s="3" t="s">
        <v>1394</v>
      </c>
    </row>
    <row r="125" spans="1:56" ht="31.5" customHeight="1" x14ac:dyDescent="0.25">
      <c r="A125" s="7" t="s">
        <v>58</v>
      </c>
      <c r="B125" s="2" t="s">
        <v>1395</v>
      </c>
      <c r="C125" s="2" t="s">
        <v>1396</v>
      </c>
      <c r="D125" s="2" t="s">
        <v>1397</v>
      </c>
      <c r="F125" s="3" t="s">
        <v>58</v>
      </c>
      <c r="G125" s="3" t="s">
        <v>59</v>
      </c>
      <c r="H125" s="3" t="s">
        <v>58</v>
      </c>
      <c r="I125" s="3" t="s">
        <v>68</v>
      </c>
      <c r="J125" s="3" t="s">
        <v>60</v>
      </c>
      <c r="K125" s="2" t="s">
        <v>1384</v>
      </c>
      <c r="L125" s="2" t="s">
        <v>1398</v>
      </c>
      <c r="M125" s="3" t="s">
        <v>944</v>
      </c>
      <c r="O125" s="3" t="s">
        <v>63</v>
      </c>
      <c r="P125" s="3" t="s">
        <v>114</v>
      </c>
      <c r="R125" s="3" t="s">
        <v>65</v>
      </c>
      <c r="S125" s="4">
        <v>24</v>
      </c>
      <c r="T125" s="4">
        <v>24</v>
      </c>
      <c r="U125" s="5" t="s">
        <v>1399</v>
      </c>
      <c r="V125" s="5" t="s">
        <v>1399</v>
      </c>
      <c r="W125" s="5" t="s">
        <v>1400</v>
      </c>
      <c r="X125" s="5" t="s">
        <v>1400</v>
      </c>
      <c r="Y125" s="4">
        <v>711</v>
      </c>
      <c r="Z125" s="4">
        <v>582</v>
      </c>
      <c r="AA125" s="4">
        <v>1224</v>
      </c>
      <c r="AB125" s="4">
        <v>4</v>
      </c>
      <c r="AC125" s="4">
        <v>8</v>
      </c>
      <c r="AD125" s="4">
        <v>34</v>
      </c>
      <c r="AE125" s="4">
        <v>50</v>
      </c>
      <c r="AF125" s="4">
        <v>13</v>
      </c>
      <c r="AG125" s="4">
        <v>23</v>
      </c>
      <c r="AH125" s="4">
        <v>7</v>
      </c>
      <c r="AI125" s="4">
        <v>9</v>
      </c>
      <c r="AJ125" s="4">
        <v>18</v>
      </c>
      <c r="AK125" s="4">
        <v>23</v>
      </c>
      <c r="AL125" s="4">
        <v>2</v>
      </c>
      <c r="AM125" s="4">
        <v>6</v>
      </c>
      <c r="AN125" s="4">
        <v>0</v>
      </c>
      <c r="AO125" s="4">
        <v>0</v>
      </c>
      <c r="AP125" s="3" t="s">
        <v>58</v>
      </c>
      <c r="AQ125" s="3" t="s">
        <v>58</v>
      </c>
      <c r="AS125" s="6" t="str">
        <f>HYPERLINK("https://creighton-primo.hosted.exlibrisgroup.com/primo-explore/search?tab=default_tab&amp;search_scope=EVERYTHING&amp;vid=01CRU&amp;lang=en_US&amp;offset=0&amp;query=any,contains,991001640669702656","Catalog Record")</f>
        <v>Catalog Record</v>
      </c>
      <c r="AT125" s="6" t="str">
        <f>HYPERLINK("http://www.worldcat.org/oclc/26131841","WorldCat Record")</f>
        <v>WorldCat Record</v>
      </c>
      <c r="AU125" s="3" t="s">
        <v>1388</v>
      </c>
      <c r="AV125" s="3" t="s">
        <v>1401</v>
      </c>
      <c r="AW125" s="3" t="s">
        <v>1402</v>
      </c>
      <c r="AX125" s="3" t="s">
        <v>1402</v>
      </c>
      <c r="AY125" s="3" t="s">
        <v>1403</v>
      </c>
      <c r="AZ125" s="3" t="s">
        <v>73</v>
      </c>
      <c r="BB125" s="3" t="s">
        <v>1404</v>
      </c>
      <c r="BC125" s="3" t="s">
        <v>1405</v>
      </c>
      <c r="BD125" s="3" t="s">
        <v>1406</v>
      </c>
    </row>
    <row r="126" spans="1:56" ht="31.5" customHeight="1" x14ac:dyDescent="0.25">
      <c r="A126" s="7" t="s">
        <v>58</v>
      </c>
      <c r="B126" s="2" t="s">
        <v>1407</v>
      </c>
      <c r="C126" s="2" t="s">
        <v>1408</v>
      </c>
      <c r="D126" s="2" t="s">
        <v>1409</v>
      </c>
      <c r="F126" s="3" t="s">
        <v>58</v>
      </c>
      <c r="G126" s="3" t="s">
        <v>59</v>
      </c>
      <c r="H126" s="3" t="s">
        <v>58</v>
      </c>
      <c r="I126" s="3" t="s">
        <v>58</v>
      </c>
      <c r="J126" s="3" t="s">
        <v>60</v>
      </c>
      <c r="K126" s="2" t="s">
        <v>1410</v>
      </c>
      <c r="L126" s="2" t="s">
        <v>1411</v>
      </c>
      <c r="M126" s="3" t="s">
        <v>1412</v>
      </c>
      <c r="O126" s="3" t="s">
        <v>63</v>
      </c>
      <c r="P126" s="3" t="s">
        <v>129</v>
      </c>
      <c r="R126" s="3" t="s">
        <v>65</v>
      </c>
      <c r="S126" s="4">
        <v>16</v>
      </c>
      <c r="T126" s="4">
        <v>16</v>
      </c>
      <c r="U126" s="5" t="s">
        <v>878</v>
      </c>
      <c r="V126" s="5" t="s">
        <v>878</v>
      </c>
      <c r="W126" s="5" t="s">
        <v>1413</v>
      </c>
      <c r="X126" s="5" t="s">
        <v>1413</v>
      </c>
      <c r="Y126" s="4">
        <v>650</v>
      </c>
      <c r="Z126" s="4">
        <v>568</v>
      </c>
      <c r="AA126" s="4">
        <v>569</v>
      </c>
      <c r="AB126" s="4">
        <v>6</v>
      </c>
      <c r="AC126" s="4">
        <v>6</v>
      </c>
      <c r="AD126" s="4">
        <v>21</v>
      </c>
      <c r="AE126" s="4">
        <v>21</v>
      </c>
      <c r="AF126" s="4">
        <v>6</v>
      </c>
      <c r="AG126" s="4">
        <v>6</v>
      </c>
      <c r="AH126" s="4">
        <v>4</v>
      </c>
      <c r="AI126" s="4">
        <v>4</v>
      </c>
      <c r="AJ126" s="4">
        <v>12</v>
      </c>
      <c r="AK126" s="4">
        <v>12</v>
      </c>
      <c r="AL126" s="4">
        <v>4</v>
      </c>
      <c r="AM126" s="4">
        <v>4</v>
      </c>
      <c r="AN126" s="4">
        <v>0</v>
      </c>
      <c r="AO126" s="4">
        <v>0</v>
      </c>
      <c r="AP126" s="3" t="s">
        <v>58</v>
      </c>
      <c r="AQ126" s="3" t="s">
        <v>68</v>
      </c>
      <c r="AR126" s="6" t="str">
        <f>HYPERLINK("http://catalog.hathitrust.org/Record/001475621","HathiTrust Record")</f>
        <v>HathiTrust Record</v>
      </c>
      <c r="AS126" s="6" t="str">
        <f>HYPERLINK("https://creighton-primo.hosted.exlibrisgroup.com/primo-explore/search?tab=default_tab&amp;search_scope=EVERYTHING&amp;vid=01CRU&amp;lang=en_US&amp;offset=0&amp;query=any,contains,991003658639702656","Catalog Record")</f>
        <v>Catalog Record</v>
      </c>
      <c r="AT126" s="6" t="str">
        <f>HYPERLINK("http://www.worldcat.org/oclc/1265080","WorldCat Record")</f>
        <v>WorldCat Record</v>
      </c>
      <c r="AU126" s="3" t="s">
        <v>1414</v>
      </c>
      <c r="AV126" s="3" t="s">
        <v>1415</v>
      </c>
      <c r="AW126" s="3" t="s">
        <v>1416</v>
      </c>
      <c r="AX126" s="3" t="s">
        <v>1416</v>
      </c>
      <c r="AY126" s="3" t="s">
        <v>1417</v>
      </c>
      <c r="AZ126" s="3" t="s">
        <v>73</v>
      </c>
      <c r="BC126" s="3" t="s">
        <v>1418</v>
      </c>
      <c r="BD126" s="3" t="s">
        <v>1419</v>
      </c>
    </row>
    <row r="127" spans="1:56" ht="31.5" customHeight="1" x14ac:dyDescent="0.25">
      <c r="A127" s="7" t="s">
        <v>58</v>
      </c>
      <c r="B127" s="2" t="s">
        <v>1420</v>
      </c>
      <c r="C127" s="2" t="s">
        <v>1421</v>
      </c>
      <c r="D127" s="2" t="s">
        <v>1422</v>
      </c>
      <c r="F127" s="3" t="s">
        <v>58</v>
      </c>
      <c r="G127" s="3" t="s">
        <v>59</v>
      </c>
      <c r="H127" s="3" t="s">
        <v>58</v>
      </c>
      <c r="I127" s="3" t="s">
        <v>58</v>
      </c>
      <c r="J127" s="3" t="s">
        <v>60</v>
      </c>
      <c r="K127" s="2" t="s">
        <v>971</v>
      </c>
      <c r="L127" s="2" t="s">
        <v>1423</v>
      </c>
      <c r="M127" s="3" t="s">
        <v>230</v>
      </c>
      <c r="O127" s="3" t="s">
        <v>63</v>
      </c>
      <c r="P127" s="3" t="s">
        <v>360</v>
      </c>
      <c r="Q127" s="2" t="s">
        <v>1424</v>
      </c>
      <c r="R127" s="3" t="s">
        <v>65</v>
      </c>
      <c r="S127" s="4">
        <v>13</v>
      </c>
      <c r="T127" s="4">
        <v>13</v>
      </c>
      <c r="U127" s="5" t="s">
        <v>1399</v>
      </c>
      <c r="V127" s="5" t="s">
        <v>1399</v>
      </c>
      <c r="W127" s="5" t="s">
        <v>204</v>
      </c>
      <c r="X127" s="5" t="s">
        <v>204</v>
      </c>
      <c r="Y127" s="4">
        <v>375</v>
      </c>
      <c r="Z127" s="4">
        <v>307</v>
      </c>
      <c r="AA127" s="4">
        <v>334</v>
      </c>
      <c r="AB127" s="4">
        <v>3</v>
      </c>
      <c r="AC127" s="4">
        <v>4</v>
      </c>
      <c r="AD127" s="4">
        <v>18</v>
      </c>
      <c r="AE127" s="4">
        <v>20</v>
      </c>
      <c r="AF127" s="4">
        <v>5</v>
      </c>
      <c r="AG127" s="4">
        <v>5</v>
      </c>
      <c r="AH127" s="4">
        <v>4</v>
      </c>
      <c r="AI127" s="4">
        <v>5</v>
      </c>
      <c r="AJ127" s="4">
        <v>14</v>
      </c>
      <c r="AK127" s="4">
        <v>14</v>
      </c>
      <c r="AL127" s="4">
        <v>1</v>
      </c>
      <c r="AM127" s="4">
        <v>2</v>
      </c>
      <c r="AN127" s="4">
        <v>0</v>
      </c>
      <c r="AO127" s="4">
        <v>0</v>
      </c>
      <c r="AP127" s="3" t="s">
        <v>58</v>
      </c>
      <c r="AQ127" s="3" t="s">
        <v>68</v>
      </c>
      <c r="AR127" s="6" t="str">
        <f>HYPERLINK("http://catalog.hathitrust.org/Record/000087409","HathiTrust Record")</f>
        <v>HathiTrust Record</v>
      </c>
      <c r="AS127" s="6" t="str">
        <f>HYPERLINK("https://creighton-primo.hosted.exlibrisgroup.com/primo-explore/search?tab=default_tab&amp;search_scope=EVERYTHING&amp;vid=01CRU&amp;lang=en_US&amp;offset=0&amp;query=any,contains,991004445389702656","Catalog Record")</f>
        <v>Catalog Record</v>
      </c>
      <c r="AT127" s="6" t="str">
        <f>HYPERLINK("http://www.worldcat.org/oclc/3481244","WorldCat Record")</f>
        <v>WorldCat Record</v>
      </c>
      <c r="AU127" s="3" t="s">
        <v>1425</v>
      </c>
      <c r="AV127" s="3" t="s">
        <v>1426</v>
      </c>
      <c r="AW127" s="3" t="s">
        <v>1427</v>
      </c>
      <c r="AX127" s="3" t="s">
        <v>1427</v>
      </c>
      <c r="AY127" s="3" t="s">
        <v>1428</v>
      </c>
      <c r="AZ127" s="3" t="s">
        <v>73</v>
      </c>
      <c r="BB127" s="3" t="s">
        <v>1429</v>
      </c>
      <c r="BC127" s="3" t="s">
        <v>1430</v>
      </c>
      <c r="BD127" s="3" t="s">
        <v>1431</v>
      </c>
    </row>
    <row r="128" spans="1:56" ht="31.5" customHeight="1" x14ac:dyDescent="0.25">
      <c r="A128" s="7" t="s">
        <v>58</v>
      </c>
      <c r="B128" s="2" t="s">
        <v>1432</v>
      </c>
      <c r="C128" s="2" t="s">
        <v>1433</v>
      </c>
      <c r="D128" s="2" t="s">
        <v>1434</v>
      </c>
      <c r="F128" s="3" t="s">
        <v>58</v>
      </c>
      <c r="G128" s="3" t="s">
        <v>59</v>
      </c>
      <c r="H128" s="3" t="s">
        <v>58</v>
      </c>
      <c r="I128" s="3" t="s">
        <v>58</v>
      </c>
      <c r="J128" s="3" t="s">
        <v>60</v>
      </c>
      <c r="K128" s="2" t="s">
        <v>1435</v>
      </c>
      <c r="L128" s="2" t="s">
        <v>1436</v>
      </c>
      <c r="M128" s="3" t="s">
        <v>301</v>
      </c>
      <c r="N128" s="2" t="s">
        <v>345</v>
      </c>
      <c r="O128" s="3" t="s">
        <v>63</v>
      </c>
      <c r="P128" s="3" t="s">
        <v>64</v>
      </c>
      <c r="Q128" s="2" t="s">
        <v>1437</v>
      </c>
      <c r="R128" s="3" t="s">
        <v>65</v>
      </c>
      <c r="S128" s="4">
        <v>11</v>
      </c>
      <c r="T128" s="4">
        <v>11</v>
      </c>
      <c r="U128" s="5" t="s">
        <v>1438</v>
      </c>
      <c r="V128" s="5" t="s">
        <v>1438</v>
      </c>
      <c r="W128" s="5" t="s">
        <v>1439</v>
      </c>
      <c r="X128" s="5" t="s">
        <v>1439</v>
      </c>
      <c r="Y128" s="4">
        <v>475</v>
      </c>
      <c r="Z128" s="4">
        <v>453</v>
      </c>
      <c r="AA128" s="4">
        <v>681</v>
      </c>
      <c r="AB128" s="4">
        <v>3</v>
      </c>
      <c r="AC128" s="4">
        <v>3</v>
      </c>
      <c r="AD128" s="4">
        <v>2</v>
      </c>
      <c r="AE128" s="4">
        <v>3</v>
      </c>
      <c r="AF128" s="4">
        <v>0</v>
      </c>
      <c r="AG128" s="4">
        <v>1</v>
      </c>
      <c r="AH128" s="4">
        <v>0</v>
      </c>
      <c r="AI128" s="4">
        <v>0</v>
      </c>
      <c r="AJ128" s="4">
        <v>1</v>
      </c>
      <c r="AK128" s="4">
        <v>1</v>
      </c>
      <c r="AL128" s="4">
        <v>1</v>
      </c>
      <c r="AM128" s="4">
        <v>1</v>
      </c>
      <c r="AN128" s="4">
        <v>0</v>
      </c>
      <c r="AO128" s="4">
        <v>0</v>
      </c>
      <c r="AP128" s="3" t="s">
        <v>58</v>
      </c>
      <c r="AQ128" s="3" t="s">
        <v>58</v>
      </c>
      <c r="AS128" s="6" t="str">
        <f>HYPERLINK("https://creighton-primo.hosted.exlibrisgroup.com/primo-explore/search?tab=default_tab&amp;search_scope=EVERYTHING&amp;vid=01CRU&amp;lang=en_US&amp;offset=0&amp;query=any,contains,991004544539702656","Catalog Record")</f>
        <v>Catalog Record</v>
      </c>
      <c r="AT128" s="6" t="str">
        <f>HYPERLINK("http://www.worldcat.org/oclc/24287561","WorldCat Record")</f>
        <v>WorldCat Record</v>
      </c>
      <c r="AU128" s="3" t="s">
        <v>1440</v>
      </c>
      <c r="AV128" s="3" t="s">
        <v>1441</v>
      </c>
      <c r="AW128" s="3" t="s">
        <v>1442</v>
      </c>
      <c r="AX128" s="3" t="s">
        <v>1442</v>
      </c>
      <c r="AY128" s="3" t="s">
        <v>1443</v>
      </c>
      <c r="AZ128" s="3" t="s">
        <v>73</v>
      </c>
      <c r="BB128" s="3" t="s">
        <v>1444</v>
      </c>
      <c r="BC128" s="3" t="s">
        <v>1445</v>
      </c>
      <c r="BD128" s="3" t="s">
        <v>1446</v>
      </c>
    </row>
    <row r="129" spans="1:56" ht="31.5" customHeight="1" x14ac:dyDescent="0.25">
      <c r="A129" s="7" t="s">
        <v>58</v>
      </c>
      <c r="B129" s="2" t="s">
        <v>1447</v>
      </c>
      <c r="C129" s="2" t="s">
        <v>1448</v>
      </c>
      <c r="D129" s="2" t="s">
        <v>1449</v>
      </c>
      <c r="F129" s="3" t="s">
        <v>58</v>
      </c>
      <c r="G129" s="3" t="s">
        <v>59</v>
      </c>
      <c r="H129" s="3" t="s">
        <v>58</v>
      </c>
      <c r="I129" s="3" t="s">
        <v>58</v>
      </c>
      <c r="J129" s="3" t="s">
        <v>60</v>
      </c>
      <c r="K129" s="2" t="s">
        <v>1450</v>
      </c>
      <c r="L129" s="2" t="s">
        <v>1451</v>
      </c>
      <c r="M129" s="3" t="s">
        <v>344</v>
      </c>
      <c r="N129" s="2" t="s">
        <v>501</v>
      </c>
      <c r="O129" s="3" t="s">
        <v>63</v>
      </c>
      <c r="P129" s="3" t="s">
        <v>64</v>
      </c>
      <c r="R129" s="3" t="s">
        <v>65</v>
      </c>
      <c r="S129" s="4">
        <v>12</v>
      </c>
      <c r="T129" s="4">
        <v>12</v>
      </c>
      <c r="U129" s="5" t="s">
        <v>1344</v>
      </c>
      <c r="V129" s="5" t="s">
        <v>1344</v>
      </c>
      <c r="W129" s="5" t="s">
        <v>1452</v>
      </c>
      <c r="X129" s="5" t="s">
        <v>1452</v>
      </c>
      <c r="Y129" s="4">
        <v>1278</v>
      </c>
      <c r="Z129" s="4">
        <v>1210</v>
      </c>
      <c r="AA129" s="4">
        <v>1315</v>
      </c>
      <c r="AB129" s="4">
        <v>7</v>
      </c>
      <c r="AC129" s="4">
        <v>7</v>
      </c>
      <c r="AD129" s="4">
        <v>28</v>
      </c>
      <c r="AE129" s="4">
        <v>33</v>
      </c>
      <c r="AF129" s="4">
        <v>9</v>
      </c>
      <c r="AG129" s="4">
        <v>11</v>
      </c>
      <c r="AH129" s="4">
        <v>8</v>
      </c>
      <c r="AI129" s="4">
        <v>9</v>
      </c>
      <c r="AJ129" s="4">
        <v>15</v>
      </c>
      <c r="AK129" s="4">
        <v>17</v>
      </c>
      <c r="AL129" s="4">
        <v>4</v>
      </c>
      <c r="AM129" s="4">
        <v>4</v>
      </c>
      <c r="AN129" s="4">
        <v>0</v>
      </c>
      <c r="AO129" s="4">
        <v>0</v>
      </c>
      <c r="AP129" s="3" t="s">
        <v>58</v>
      </c>
      <c r="AQ129" s="3" t="s">
        <v>68</v>
      </c>
      <c r="AR129" s="6" t="str">
        <f>HYPERLINK("http://catalog.hathitrust.org/Record/002872025","HathiTrust Record")</f>
        <v>HathiTrust Record</v>
      </c>
      <c r="AS129" s="6" t="str">
        <f>HYPERLINK("https://creighton-primo.hosted.exlibrisgroup.com/primo-explore/search?tab=default_tab&amp;search_scope=EVERYTHING&amp;vid=01CRU&amp;lang=en_US&amp;offset=0&amp;query=any,contains,991002237539702656","Catalog Record")</f>
        <v>Catalog Record</v>
      </c>
      <c r="AT129" s="6" t="str">
        <f>HYPERLINK("http://www.worldcat.org/oclc/28853371","WorldCat Record")</f>
        <v>WorldCat Record</v>
      </c>
      <c r="AU129" s="3" t="s">
        <v>1453</v>
      </c>
      <c r="AV129" s="3" t="s">
        <v>1454</v>
      </c>
      <c r="AW129" s="3" t="s">
        <v>1455</v>
      </c>
      <c r="AX129" s="3" t="s">
        <v>1455</v>
      </c>
      <c r="AY129" s="3" t="s">
        <v>1456</v>
      </c>
      <c r="AZ129" s="3" t="s">
        <v>73</v>
      </c>
      <c r="BB129" s="3" t="s">
        <v>1457</v>
      </c>
      <c r="BC129" s="3" t="s">
        <v>1458</v>
      </c>
      <c r="BD129" s="3" t="s">
        <v>1459</v>
      </c>
    </row>
    <row r="130" spans="1:56" ht="31.5" customHeight="1" x14ac:dyDescent="0.25">
      <c r="A130" s="7" t="s">
        <v>58</v>
      </c>
      <c r="B130" s="2" t="s">
        <v>1460</v>
      </c>
      <c r="C130" s="2" t="s">
        <v>1461</v>
      </c>
      <c r="D130" s="2" t="s">
        <v>1462</v>
      </c>
      <c r="F130" s="3" t="s">
        <v>58</v>
      </c>
      <c r="G130" s="3" t="s">
        <v>59</v>
      </c>
      <c r="H130" s="3" t="s">
        <v>58</v>
      </c>
      <c r="I130" s="3" t="s">
        <v>58</v>
      </c>
      <c r="J130" s="3" t="s">
        <v>60</v>
      </c>
      <c r="K130" s="2" t="s">
        <v>1463</v>
      </c>
      <c r="L130" s="2" t="s">
        <v>1464</v>
      </c>
      <c r="M130" s="3" t="s">
        <v>430</v>
      </c>
      <c r="O130" s="3" t="s">
        <v>63</v>
      </c>
      <c r="P130" s="3" t="s">
        <v>1275</v>
      </c>
      <c r="R130" s="3" t="s">
        <v>65</v>
      </c>
      <c r="S130" s="4">
        <v>9</v>
      </c>
      <c r="T130" s="4">
        <v>9</v>
      </c>
      <c r="U130" s="5" t="s">
        <v>1465</v>
      </c>
      <c r="V130" s="5" t="s">
        <v>1465</v>
      </c>
      <c r="W130" s="5" t="s">
        <v>1466</v>
      </c>
      <c r="X130" s="5" t="s">
        <v>1466</v>
      </c>
      <c r="Y130" s="4">
        <v>714</v>
      </c>
      <c r="Z130" s="4">
        <v>581</v>
      </c>
      <c r="AA130" s="4">
        <v>581</v>
      </c>
      <c r="AB130" s="4">
        <v>4</v>
      </c>
      <c r="AC130" s="4">
        <v>4</v>
      </c>
      <c r="AD130" s="4">
        <v>32</v>
      </c>
      <c r="AE130" s="4">
        <v>32</v>
      </c>
      <c r="AF130" s="4">
        <v>10</v>
      </c>
      <c r="AG130" s="4">
        <v>10</v>
      </c>
      <c r="AH130" s="4">
        <v>7</v>
      </c>
      <c r="AI130" s="4">
        <v>7</v>
      </c>
      <c r="AJ130" s="4">
        <v>17</v>
      </c>
      <c r="AK130" s="4">
        <v>17</v>
      </c>
      <c r="AL130" s="4">
        <v>3</v>
      </c>
      <c r="AM130" s="4">
        <v>3</v>
      </c>
      <c r="AN130" s="4">
        <v>0</v>
      </c>
      <c r="AO130" s="4">
        <v>0</v>
      </c>
      <c r="AP130" s="3" t="s">
        <v>58</v>
      </c>
      <c r="AQ130" s="3" t="s">
        <v>58</v>
      </c>
      <c r="AS130" s="6" t="str">
        <f>HYPERLINK("https://creighton-primo.hosted.exlibrisgroup.com/primo-explore/search?tab=default_tab&amp;search_scope=EVERYTHING&amp;vid=01CRU&amp;lang=en_US&amp;offset=0&amp;query=any,contains,991003571579702656","Catalog Record")</f>
        <v>Catalog Record</v>
      </c>
      <c r="AT130" s="6" t="str">
        <f>HYPERLINK("http://www.worldcat.org/oclc/1146689","WorldCat Record")</f>
        <v>WorldCat Record</v>
      </c>
      <c r="AU130" s="3" t="s">
        <v>1467</v>
      </c>
      <c r="AV130" s="3" t="s">
        <v>1468</v>
      </c>
      <c r="AW130" s="3" t="s">
        <v>1469</v>
      </c>
      <c r="AX130" s="3" t="s">
        <v>1469</v>
      </c>
      <c r="AY130" s="3" t="s">
        <v>1470</v>
      </c>
      <c r="AZ130" s="3" t="s">
        <v>73</v>
      </c>
      <c r="BB130" s="3" t="s">
        <v>1471</v>
      </c>
      <c r="BC130" s="3" t="s">
        <v>1472</v>
      </c>
      <c r="BD130" s="3" t="s">
        <v>1473</v>
      </c>
    </row>
    <row r="131" spans="1:56" ht="31.5" customHeight="1" x14ac:dyDescent="0.25">
      <c r="A131" s="7" t="s">
        <v>58</v>
      </c>
      <c r="B131" s="2" t="s">
        <v>1474</v>
      </c>
      <c r="C131" s="2" t="s">
        <v>1475</v>
      </c>
      <c r="D131" s="2" t="s">
        <v>1476</v>
      </c>
      <c r="F131" s="3" t="s">
        <v>58</v>
      </c>
      <c r="G131" s="3" t="s">
        <v>59</v>
      </c>
      <c r="H131" s="3" t="s">
        <v>58</v>
      </c>
      <c r="I131" s="3" t="s">
        <v>58</v>
      </c>
      <c r="J131" s="3" t="s">
        <v>60</v>
      </c>
      <c r="K131" s="2" t="s">
        <v>1477</v>
      </c>
      <c r="L131" s="2" t="s">
        <v>1478</v>
      </c>
      <c r="M131" s="3" t="s">
        <v>344</v>
      </c>
      <c r="O131" s="3" t="s">
        <v>63</v>
      </c>
      <c r="P131" s="3" t="s">
        <v>186</v>
      </c>
      <c r="Q131" s="2" t="s">
        <v>1479</v>
      </c>
      <c r="R131" s="3" t="s">
        <v>65</v>
      </c>
      <c r="S131" s="4">
        <v>6</v>
      </c>
      <c r="T131" s="4">
        <v>6</v>
      </c>
      <c r="U131" s="5" t="s">
        <v>1480</v>
      </c>
      <c r="V131" s="5" t="s">
        <v>1480</v>
      </c>
      <c r="W131" s="5" t="s">
        <v>1481</v>
      </c>
      <c r="X131" s="5" t="s">
        <v>1481</v>
      </c>
      <c r="Y131" s="4">
        <v>362</v>
      </c>
      <c r="Z131" s="4">
        <v>269</v>
      </c>
      <c r="AA131" s="4">
        <v>502</v>
      </c>
      <c r="AB131" s="4">
        <v>2</v>
      </c>
      <c r="AC131" s="4">
        <v>3</v>
      </c>
      <c r="AD131" s="4">
        <v>12</v>
      </c>
      <c r="AE131" s="4">
        <v>23</v>
      </c>
      <c r="AF131" s="4">
        <v>3</v>
      </c>
      <c r="AG131" s="4">
        <v>6</v>
      </c>
      <c r="AH131" s="4">
        <v>5</v>
      </c>
      <c r="AI131" s="4">
        <v>7</v>
      </c>
      <c r="AJ131" s="4">
        <v>6</v>
      </c>
      <c r="AK131" s="4">
        <v>15</v>
      </c>
      <c r="AL131" s="4">
        <v>1</v>
      </c>
      <c r="AM131" s="4">
        <v>2</v>
      </c>
      <c r="AN131" s="4">
        <v>0</v>
      </c>
      <c r="AO131" s="4">
        <v>0</v>
      </c>
      <c r="AP131" s="3" t="s">
        <v>58</v>
      </c>
      <c r="AQ131" s="3" t="s">
        <v>58</v>
      </c>
      <c r="AS131" s="6" t="str">
        <f>HYPERLINK("https://creighton-primo.hosted.exlibrisgroup.com/primo-explore/search?tab=default_tab&amp;search_scope=EVERYTHING&amp;vid=01CRU&amp;lang=en_US&amp;offset=0&amp;query=any,contains,991002207219702656","Catalog Record")</f>
        <v>Catalog Record</v>
      </c>
      <c r="AT131" s="6" t="str">
        <f>HYPERLINK("http://www.worldcat.org/oclc/28379167","WorldCat Record")</f>
        <v>WorldCat Record</v>
      </c>
      <c r="AU131" s="3" t="s">
        <v>1482</v>
      </c>
      <c r="AV131" s="3" t="s">
        <v>1483</v>
      </c>
      <c r="AW131" s="3" t="s">
        <v>1484</v>
      </c>
      <c r="AX131" s="3" t="s">
        <v>1484</v>
      </c>
      <c r="AY131" s="3" t="s">
        <v>1485</v>
      </c>
      <c r="AZ131" s="3" t="s">
        <v>73</v>
      </c>
      <c r="BB131" s="3" t="s">
        <v>1486</v>
      </c>
      <c r="BC131" s="3" t="s">
        <v>1487</v>
      </c>
      <c r="BD131" s="3" t="s">
        <v>1488</v>
      </c>
    </row>
    <row r="132" spans="1:56" ht="31.5" customHeight="1" x14ac:dyDescent="0.25">
      <c r="A132" s="7" t="s">
        <v>58</v>
      </c>
      <c r="B132" s="2" t="s">
        <v>1489</v>
      </c>
      <c r="C132" s="2" t="s">
        <v>1490</v>
      </c>
      <c r="D132" s="2" t="s">
        <v>1491</v>
      </c>
      <c r="F132" s="3" t="s">
        <v>58</v>
      </c>
      <c r="G132" s="3" t="s">
        <v>59</v>
      </c>
      <c r="H132" s="3" t="s">
        <v>58</v>
      </c>
      <c r="I132" s="3" t="s">
        <v>58</v>
      </c>
      <c r="J132" s="3" t="s">
        <v>60</v>
      </c>
      <c r="K132" s="2" t="s">
        <v>1492</v>
      </c>
      <c r="L132" s="2" t="s">
        <v>1493</v>
      </c>
      <c r="M132" s="3" t="s">
        <v>401</v>
      </c>
      <c r="O132" s="3" t="s">
        <v>63</v>
      </c>
      <c r="P132" s="3" t="s">
        <v>64</v>
      </c>
      <c r="R132" s="3" t="s">
        <v>65</v>
      </c>
      <c r="S132" s="4">
        <v>16</v>
      </c>
      <c r="T132" s="4">
        <v>16</v>
      </c>
      <c r="U132" s="5" t="s">
        <v>1316</v>
      </c>
      <c r="V132" s="5" t="s">
        <v>1316</v>
      </c>
      <c r="W132" s="5" t="s">
        <v>1494</v>
      </c>
      <c r="X132" s="5" t="s">
        <v>1494</v>
      </c>
      <c r="Y132" s="4">
        <v>316</v>
      </c>
      <c r="Z132" s="4">
        <v>278</v>
      </c>
      <c r="AA132" s="4">
        <v>456</v>
      </c>
      <c r="AB132" s="4">
        <v>2</v>
      </c>
      <c r="AC132" s="4">
        <v>4</v>
      </c>
      <c r="AD132" s="4">
        <v>17</v>
      </c>
      <c r="AE132" s="4">
        <v>26</v>
      </c>
      <c r="AF132" s="4">
        <v>4</v>
      </c>
      <c r="AG132" s="4">
        <v>6</v>
      </c>
      <c r="AH132" s="4">
        <v>6</v>
      </c>
      <c r="AI132" s="4">
        <v>8</v>
      </c>
      <c r="AJ132" s="4">
        <v>13</v>
      </c>
      <c r="AK132" s="4">
        <v>17</v>
      </c>
      <c r="AL132" s="4">
        <v>1</v>
      </c>
      <c r="AM132" s="4">
        <v>3</v>
      </c>
      <c r="AN132" s="4">
        <v>0</v>
      </c>
      <c r="AO132" s="4">
        <v>0</v>
      </c>
      <c r="AP132" s="3" t="s">
        <v>58</v>
      </c>
      <c r="AQ132" s="3" t="s">
        <v>58</v>
      </c>
      <c r="AS132" s="6" t="str">
        <f>HYPERLINK("https://creighton-primo.hosted.exlibrisgroup.com/primo-explore/search?tab=default_tab&amp;search_scope=EVERYTHING&amp;vid=01CRU&amp;lang=en_US&amp;offset=0&amp;query=any,contains,991003004879702656","Catalog Record")</f>
        <v>Catalog Record</v>
      </c>
      <c r="AT132" s="6" t="str">
        <f>HYPERLINK("http://www.worldcat.org/oclc/572198","WorldCat Record")</f>
        <v>WorldCat Record</v>
      </c>
      <c r="AU132" s="3" t="s">
        <v>1495</v>
      </c>
      <c r="AV132" s="3" t="s">
        <v>1496</v>
      </c>
      <c r="AW132" s="3" t="s">
        <v>1497</v>
      </c>
      <c r="AX132" s="3" t="s">
        <v>1497</v>
      </c>
      <c r="AY132" s="3" t="s">
        <v>1498</v>
      </c>
      <c r="AZ132" s="3" t="s">
        <v>73</v>
      </c>
      <c r="BB132" s="3" t="s">
        <v>1499</v>
      </c>
      <c r="BC132" s="3" t="s">
        <v>1500</v>
      </c>
      <c r="BD132" s="3" t="s">
        <v>1501</v>
      </c>
    </row>
    <row r="133" spans="1:56" ht="31.5" customHeight="1" x14ac:dyDescent="0.25">
      <c r="A133" s="7" t="s">
        <v>58</v>
      </c>
      <c r="B133" s="2" t="s">
        <v>1502</v>
      </c>
      <c r="C133" s="2" t="s">
        <v>1503</v>
      </c>
      <c r="D133" s="2" t="s">
        <v>1504</v>
      </c>
      <c r="F133" s="3" t="s">
        <v>58</v>
      </c>
      <c r="G133" s="3" t="s">
        <v>59</v>
      </c>
      <c r="H133" s="3" t="s">
        <v>58</v>
      </c>
      <c r="I133" s="3" t="s">
        <v>58</v>
      </c>
      <c r="J133" s="3" t="s">
        <v>60</v>
      </c>
      <c r="K133" s="2" t="s">
        <v>1505</v>
      </c>
      <c r="L133" s="2" t="s">
        <v>1506</v>
      </c>
      <c r="M133" s="3" t="s">
        <v>97</v>
      </c>
      <c r="O133" s="3" t="s">
        <v>63</v>
      </c>
      <c r="P133" s="3" t="s">
        <v>674</v>
      </c>
      <c r="Q133" s="2" t="s">
        <v>1507</v>
      </c>
      <c r="R133" s="3" t="s">
        <v>65</v>
      </c>
      <c r="S133" s="4">
        <v>12</v>
      </c>
      <c r="T133" s="4">
        <v>12</v>
      </c>
      <c r="U133" s="5" t="s">
        <v>1508</v>
      </c>
      <c r="V133" s="5" t="s">
        <v>1508</v>
      </c>
      <c r="W133" s="5" t="s">
        <v>1509</v>
      </c>
      <c r="X133" s="5" t="s">
        <v>1509</v>
      </c>
      <c r="Y133" s="4">
        <v>314</v>
      </c>
      <c r="Z133" s="4">
        <v>256</v>
      </c>
      <c r="AA133" s="4">
        <v>257</v>
      </c>
      <c r="AB133" s="4">
        <v>2</v>
      </c>
      <c r="AC133" s="4">
        <v>2</v>
      </c>
      <c r="AD133" s="4">
        <v>18</v>
      </c>
      <c r="AE133" s="4">
        <v>18</v>
      </c>
      <c r="AF133" s="4">
        <v>7</v>
      </c>
      <c r="AG133" s="4">
        <v>7</v>
      </c>
      <c r="AH133" s="4">
        <v>3</v>
      </c>
      <c r="AI133" s="4">
        <v>3</v>
      </c>
      <c r="AJ133" s="4">
        <v>10</v>
      </c>
      <c r="AK133" s="4">
        <v>10</v>
      </c>
      <c r="AL133" s="4">
        <v>1</v>
      </c>
      <c r="AM133" s="4">
        <v>1</v>
      </c>
      <c r="AN133" s="4">
        <v>0</v>
      </c>
      <c r="AO133" s="4">
        <v>0</v>
      </c>
      <c r="AP133" s="3" t="s">
        <v>58</v>
      </c>
      <c r="AQ133" s="3" t="s">
        <v>68</v>
      </c>
      <c r="AR133" s="6" t="str">
        <f>HYPERLINK("http://catalog.hathitrust.org/Record/002635278","HathiTrust Record")</f>
        <v>HathiTrust Record</v>
      </c>
      <c r="AS133" s="6" t="str">
        <f>HYPERLINK("https://creighton-primo.hosted.exlibrisgroup.com/primo-explore/search?tab=default_tab&amp;search_scope=EVERYTHING&amp;vid=01CRU&amp;lang=en_US&amp;offset=0&amp;query=any,contains,991001664839702656","Catalog Record")</f>
        <v>Catalog Record</v>
      </c>
      <c r="AT133" s="6" t="str">
        <f>HYPERLINK("http://www.worldcat.org/oclc/24143553","WorldCat Record")</f>
        <v>WorldCat Record</v>
      </c>
      <c r="AU133" s="3" t="s">
        <v>1510</v>
      </c>
      <c r="AV133" s="3" t="s">
        <v>1511</v>
      </c>
      <c r="AW133" s="3" t="s">
        <v>1512</v>
      </c>
      <c r="AX133" s="3" t="s">
        <v>1512</v>
      </c>
      <c r="AY133" s="3" t="s">
        <v>1513</v>
      </c>
      <c r="AZ133" s="3" t="s">
        <v>73</v>
      </c>
      <c r="BB133" s="3" t="s">
        <v>1514</v>
      </c>
      <c r="BC133" s="3" t="s">
        <v>1515</v>
      </c>
      <c r="BD133" s="3" t="s">
        <v>1516</v>
      </c>
    </row>
    <row r="134" spans="1:56" ht="31.5" customHeight="1" x14ac:dyDescent="0.25">
      <c r="A134" s="7" t="s">
        <v>58</v>
      </c>
      <c r="B134" s="2" t="s">
        <v>1517</v>
      </c>
      <c r="C134" s="2" t="s">
        <v>1518</v>
      </c>
      <c r="D134" s="2" t="s">
        <v>1519</v>
      </c>
      <c r="F134" s="3" t="s">
        <v>58</v>
      </c>
      <c r="G134" s="3" t="s">
        <v>59</v>
      </c>
      <c r="H134" s="3" t="s">
        <v>58</v>
      </c>
      <c r="I134" s="3" t="s">
        <v>58</v>
      </c>
      <c r="J134" s="3" t="s">
        <v>60</v>
      </c>
      <c r="K134" s="2" t="s">
        <v>1520</v>
      </c>
      <c r="L134" s="2" t="s">
        <v>1521</v>
      </c>
      <c r="M134" s="3" t="s">
        <v>1522</v>
      </c>
      <c r="O134" s="3" t="s">
        <v>63</v>
      </c>
      <c r="P134" s="3" t="s">
        <v>186</v>
      </c>
      <c r="R134" s="3" t="s">
        <v>65</v>
      </c>
      <c r="S134" s="4">
        <v>5</v>
      </c>
      <c r="T134" s="4">
        <v>5</v>
      </c>
      <c r="U134" s="5" t="s">
        <v>1523</v>
      </c>
      <c r="V134" s="5" t="s">
        <v>1523</v>
      </c>
      <c r="W134" s="5" t="s">
        <v>1524</v>
      </c>
      <c r="X134" s="5" t="s">
        <v>1524</v>
      </c>
      <c r="Y134" s="4">
        <v>307</v>
      </c>
      <c r="Z134" s="4">
        <v>215</v>
      </c>
      <c r="AA134" s="4">
        <v>426</v>
      </c>
      <c r="AB134" s="4">
        <v>1</v>
      </c>
      <c r="AC134" s="4">
        <v>2</v>
      </c>
      <c r="AD134" s="4">
        <v>6</v>
      </c>
      <c r="AE134" s="4">
        <v>13</v>
      </c>
      <c r="AF134" s="4">
        <v>3</v>
      </c>
      <c r="AG134" s="4">
        <v>5</v>
      </c>
      <c r="AH134" s="4">
        <v>0</v>
      </c>
      <c r="AI134" s="4">
        <v>2</v>
      </c>
      <c r="AJ134" s="4">
        <v>3</v>
      </c>
      <c r="AK134" s="4">
        <v>7</v>
      </c>
      <c r="AL134" s="4">
        <v>0</v>
      </c>
      <c r="AM134" s="4">
        <v>1</v>
      </c>
      <c r="AN134" s="4">
        <v>0</v>
      </c>
      <c r="AO134" s="4">
        <v>0</v>
      </c>
      <c r="AP134" s="3" t="s">
        <v>58</v>
      </c>
      <c r="AQ134" s="3" t="s">
        <v>58</v>
      </c>
      <c r="AS134" s="6" t="str">
        <f>HYPERLINK("https://creighton-primo.hosted.exlibrisgroup.com/primo-explore/search?tab=default_tab&amp;search_scope=EVERYTHING&amp;vid=01CRU&amp;lang=en_US&amp;offset=0&amp;query=any,contains,991002894279702656","Catalog Record")</f>
        <v>Catalog Record</v>
      </c>
      <c r="AT134" s="6" t="str">
        <f>HYPERLINK("http://www.worldcat.org/oclc/513225","WorldCat Record")</f>
        <v>WorldCat Record</v>
      </c>
      <c r="AU134" s="3" t="s">
        <v>1525</v>
      </c>
      <c r="AV134" s="3" t="s">
        <v>1526</v>
      </c>
      <c r="AW134" s="3" t="s">
        <v>1527</v>
      </c>
      <c r="AX134" s="3" t="s">
        <v>1527</v>
      </c>
      <c r="AY134" s="3" t="s">
        <v>1528</v>
      </c>
      <c r="AZ134" s="3" t="s">
        <v>73</v>
      </c>
      <c r="BC134" s="3" t="s">
        <v>1529</v>
      </c>
      <c r="BD134" s="3" t="s">
        <v>1530</v>
      </c>
    </row>
    <row r="135" spans="1:56" ht="31.5" customHeight="1" x14ac:dyDescent="0.25">
      <c r="A135" s="7" t="s">
        <v>58</v>
      </c>
      <c r="B135" s="2" t="s">
        <v>1531</v>
      </c>
      <c r="C135" s="2" t="s">
        <v>1532</v>
      </c>
      <c r="D135" s="2" t="s">
        <v>1533</v>
      </c>
      <c r="F135" s="3" t="s">
        <v>58</v>
      </c>
      <c r="G135" s="3" t="s">
        <v>59</v>
      </c>
      <c r="H135" s="3" t="s">
        <v>58</v>
      </c>
      <c r="I135" s="3" t="s">
        <v>68</v>
      </c>
      <c r="J135" s="3" t="s">
        <v>60</v>
      </c>
      <c r="K135" s="2" t="s">
        <v>1534</v>
      </c>
      <c r="L135" s="2" t="s">
        <v>1535</v>
      </c>
      <c r="M135" s="3" t="s">
        <v>1536</v>
      </c>
      <c r="O135" s="3" t="s">
        <v>63</v>
      </c>
      <c r="P135" s="3" t="s">
        <v>186</v>
      </c>
      <c r="Q135" s="2" t="s">
        <v>1537</v>
      </c>
      <c r="R135" s="3" t="s">
        <v>65</v>
      </c>
      <c r="S135" s="4">
        <v>6</v>
      </c>
      <c r="T135" s="4">
        <v>6</v>
      </c>
      <c r="U135" s="5" t="s">
        <v>1538</v>
      </c>
      <c r="V135" s="5" t="s">
        <v>1538</v>
      </c>
      <c r="W135" s="5" t="s">
        <v>1539</v>
      </c>
      <c r="X135" s="5" t="s">
        <v>1539</v>
      </c>
      <c r="Y135" s="4">
        <v>689</v>
      </c>
      <c r="Z135" s="4">
        <v>574</v>
      </c>
      <c r="AA135" s="4">
        <v>796</v>
      </c>
      <c r="AB135" s="4">
        <v>3</v>
      </c>
      <c r="AC135" s="4">
        <v>5</v>
      </c>
      <c r="AD135" s="4">
        <v>23</v>
      </c>
      <c r="AE135" s="4">
        <v>32</v>
      </c>
      <c r="AF135" s="4">
        <v>4</v>
      </c>
      <c r="AG135" s="4">
        <v>8</v>
      </c>
      <c r="AH135" s="4">
        <v>8</v>
      </c>
      <c r="AI135" s="4">
        <v>10</v>
      </c>
      <c r="AJ135" s="4">
        <v>14</v>
      </c>
      <c r="AK135" s="4">
        <v>20</v>
      </c>
      <c r="AL135" s="4">
        <v>2</v>
      </c>
      <c r="AM135" s="4">
        <v>4</v>
      </c>
      <c r="AN135" s="4">
        <v>0</v>
      </c>
      <c r="AO135" s="4">
        <v>0</v>
      </c>
      <c r="AP135" s="3" t="s">
        <v>58</v>
      </c>
      <c r="AQ135" s="3" t="s">
        <v>58</v>
      </c>
      <c r="AS135" s="6" t="str">
        <f>HYPERLINK("https://creighton-primo.hosted.exlibrisgroup.com/primo-explore/search?tab=default_tab&amp;search_scope=EVERYTHING&amp;vid=01CRU&amp;lang=en_US&amp;offset=0&amp;query=any,contains,991002966319702656","Catalog Record")</f>
        <v>Catalog Record</v>
      </c>
      <c r="AT135" s="6" t="str">
        <f>HYPERLINK("http://www.worldcat.org/oclc/546065","WorldCat Record")</f>
        <v>WorldCat Record</v>
      </c>
      <c r="AU135" s="3" t="s">
        <v>1540</v>
      </c>
      <c r="AV135" s="3" t="s">
        <v>1541</v>
      </c>
      <c r="AW135" s="3" t="s">
        <v>1542</v>
      </c>
      <c r="AX135" s="3" t="s">
        <v>1542</v>
      </c>
      <c r="AY135" s="3" t="s">
        <v>1543</v>
      </c>
      <c r="AZ135" s="3" t="s">
        <v>73</v>
      </c>
      <c r="BC135" s="3" t="s">
        <v>1544</v>
      </c>
      <c r="BD135" s="3" t="s">
        <v>1545</v>
      </c>
    </row>
    <row r="136" spans="1:56" ht="31.5" customHeight="1" x14ac:dyDescent="0.25">
      <c r="A136" s="7" t="s">
        <v>58</v>
      </c>
      <c r="B136" s="2" t="s">
        <v>1546</v>
      </c>
      <c r="C136" s="2" t="s">
        <v>1547</v>
      </c>
      <c r="D136" s="2" t="s">
        <v>1548</v>
      </c>
      <c r="F136" s="3" t="s">
        <v>58</v>
      </c>
      <c r="G136" s="3" t="s">
        <v>59</v>
      </c>
      <c r="H136" s="3" t="s">
        <v>58</v>
      </c>
      <c r="I136" s="3" t="s">
        <v>68</v>
      </c>
      <c r="J136" s="3" t="s">
        <v>60</v>
      </c>
      <c r="K136" s="2" t="s">
        <v>1534</v>
      </c>
      <c r="L136" s="2" t="s">
        <v>1549</v>
      </c>
      <c r="M136" s="3" t="s">
        <v>128</v>
      </c>
      <c r="O136" s="3" t="s">
        <v>63</v>
      </c>
      <c r="P136" s="3" t="s">
        <v>64</v>
      </c>
      <c r="R136" s="3" t="s">
        <v>65</v>
      </c>
      <c r="S136" s="4">
        <v>5</v>
      </c>
      <c r="T136" s="4">
        <v>5</v>
      </c>
      <c r="U136" s="5" t="s">
        <v>259</v>
      </c>
      <c r="V136" s="5" t="s">
        <v>259</v>
      </c>
      <c r="W136" s="5" t="s">
        <v>1550</v>
      </c>
      <c r="X136" s="5" t="s">
        <v>1550</v>
      </c>
      <c r="Y136" s="4">
        <v>230</v>
      </c>
      <c r="Z136" s="4">
        <v>186</v>
      </c>
      <c r="AA136" s="4">
        <v>796</v>
      </c>
      <c r="AB136" s="4">
        <v>2</v>
      </c>
      <c r="AC136" s="4">
        <v>5</v>
      </c>
      <c r="AD136" s="4">
        <v>6</v>
      </c>
      <c r="AE136" s="4">
        <v>32</v>
      </c>
      <c r="AF136" s="4">
        <v>2</v>
      </c>
      <c r="AG136" s="4">
        <v>8</v>
      </c>
      <c r="AH136" s="4">
        <v>0</v>
      </c>
      <c r="AI136" s="4">
        <v>10</v>
      </c>
      <c r="AJ136" s="4">
        <v>5</v>
      </c>
      <c r="AK136" s="4">
        <v>20</v>
      </c>
      <c r="AL136" s="4">
        <v>1</v>
      </c>
      <c r="AM136" s="4">
        <v>4</v>
      </c>
      <c r="AN136" s="4">
        <v>0</v>
      </c>
      <c r="AO136" s="4">
        <v>0</v>
      </c>
      <c r="AP136" s="3" t="s">
        <v>58</v>
      </c>
      <c r="AQ136" s="3" t="s">
        <v>58</v>
      </c>
      <c r="AS136" s="6" t="str">
        <f>HYPERLINK("https://creighton-primo.hosted.exlibrisgroup.com/primo-explore/search?tab=default_tab&amp;search_scope=EVERYTHING&amp;vid=01CRU&amp;lang=en_US&amp;offset=0&amp;query=any,contains,991002200079702656","Catalog Record")</f>
        <v>Catalog Record</v>
      </c>
      <c r="AT136" s="6" t="str">
        <f>HYPERLINK("http://www.worldcat.org/oclc/28293391","WorldCat Record")</f>
        <v>WorldCat Record</v>
      </c>
      <c r="AU136" s="3" t="s">
        <v>1540</v>
      </c>
      <c r="AV136" s="3" t="s">
        <v>1551</v>
      </c>
      <c r="AW136" s="3" t="s">
        <v>1552</v>
      </c>
      <c r="AX136" s="3" t="s">
        <v>1552</v>
      </c>
      <c r="AY136" s="3" t="s">
        <v>1553</v>
      </c>
      <c r="AZ136" s="3" t="s">
        <v>73</v>
      </c>
      <c r="BB136" s="3" t="s">
        <v>1554</v>
      </c>
      <c r="BC136" s="3" t="s">
        <v>1555</v>
      </c>
      <c r="BD136" s="3" t="s">
        <v>1556</v>
      </c>
    </row>
    <row r="137" spans="1:56" ht="31.5" customHeight="1" x14ac:dyDescent="0.25">
      <c r="A137" s="7" t="s">
        <v>58</v>
      </c>
      <c r="B137" s="2" t="s">
        <v>1557</v>
      </c>
      <c r="C137" s="2" t="s">
        <v>1558</v>
      </c>
      <c r="D137" s="2" t="s">
        <v>1559</v>
      </c>
      <c r="F137" s="3" t="s">
        <v>58</v>
      </c>
      <c r="G137" s="3" t="s">
        <v>59</v>
      </c>
      <c r="H137" s="3" t="s">
        <v>58</v>
      </c>
      <c r="I137" s="3" t="s">
        <v>58</v>
      </c>
      <c r="J137" s="3" t="s">
        <v>60</v>
      </c>
      <c r="K137" s="2" t="s">
        <v>1560</v>
      </c>
      <c r="L137" s="2" t="s">
        <v>1561</v>
      </c>
      <c r="M137" s="3" t="s">
        <v>1235</v>
      </c>
      <c r="N137" s="2" t="s">
        <v>501</v>
      </c>
      <c r="O137" s="3" t="s">
        <v>63</v>
      </c>
      <c r="P137" s="3" t="s">
        <v>444</v>
      </c>
      <c r="R137" s="3" t="s">
        <v>65</v>
      </c>
      <c r="S137" s="4">
        <v>1</v>
      </c>
      <c r="T137" s="4">
        <v>1</v>
      </c>
      <c r="U137" s="5" t="s">
        <v>1562</v>
      </c>
      <c r="V137" s="5" t="s">
        <v>1562</v>
      </c>
      <c r="W137" s="5" t="s">
        <v>1562</v>
      </c>
      <c r="X137" s="5" t="s">
        <v>1562</v>
      </c>
      <c r="Y137" s="4">
        <v>1171</v>
      </c>
      <c r="Z137" s="4">
        <v>1086</v>
      </c>
      <c r="AA137" s="4">
        <v>1121</v>
      </c>
      <c r="AB137" s="4">
        <v>9</v>
      </c>
      <c r="AC137" s="4">
        <v>9</v>
      </c>
      <c r="AD137" s="4">
        <v>28</v>
      </c>
      <c r="AE137" s="4">
        <v>28</v>
      </c>
      <c r="AF137" s="4">
        <v>10</v>
      </c>
      <c r="AG137" s="4">
        <v>10</v>
      </c>
      <c r="AH137" s="4">
        <v>8</v>
      </c>
      <c r="AI137" s="4">
        <v>8</v>
      </c>
      <c r="AJ137" s="4">
        <v>14</v>
      </c>
      <c r="AK137" s="4">
        <v>14</v>
      </c>
      <c r="AL137" s="4">
        <v>5</v>
      </c>
      <c r="AM137" s="4">
        <v>5</v>
      </c>
      <c r="AN137" s="4">
        <v>0</v>
      </c>
      <c r="AO137" s="4">
        <v>0</v>
      </c>
      <c r="AP137" s="3" t="s">
        <v>58</v>
      </c>
      <c r="AQ137" s="3" t="s">
        <v>58</v>
      </c>
      <c r="AS137" s="6" t="str">
        <f>HYPERLINK("https://creighton-primo.hosted.exlibrisgroup.com/primo-explore/search?tab=default_tab&amp;search_scope=EVERYTHING&amp;vid=01CRU&amp;lang=en_US&amp;offset=0&amp;query=any,contains,991004287449702656","Catalog Record")</f>
        <v>Catalog Record</v>
      </c>
      <c r="AT137" s="6" t="str">
        <f>HYPERLINK("http://www.worldcat.org/oclc/53796910","WorldCat Record")</f>
        <v>WorldCat Record</v>
      </c>
      <c r="AU137" s="3" t="s">
        <v>1563</v>
      </c>
      <c r="AV137" s="3" t="s">
        <v>1564</v>
      </c>
      <c r="AW137" s="3" t="s">
        <v>1565</v>
      </c>
      <c r="AX137" s="3" t="s">
        <v>1565</v>
      </c>
      <c r="AY137" s="3" t="s">
        <v>1566</v>
      </c>
      <c r="AZ137" s="3" t="s">
        <v>73</v>
      </c>
      <c r="BB137" s="3" t="s">
        <v>1567</v>
      </c>
      <c r="BC137" s="3" t="s">
        <v>1568</v>
      </c>
      <c r="BD137" s="3" t="s">
        <v>1569</v>
      </c>
    </row>
    <row r="138" spans="1:56" ht="31.5" customHeight="1" x14ac:dyDescent="0.25">
      <c r="A138" s="7" t="s">
        <v>58</v>
      </c>
      <c r="B138" s="2" t="s">
        <v>1570</v>
      </c>
      <c r="C138" s="2" t="s">
        <v>1571</v>
      </c>
      <c r="D138" s="2" t="s">
        <v>1572</v>
      </c>
      <c r="F138" s="3" t="s">
        <v>58</v>
      </c>
      <c r="G138" s="3" t="s">
        <v>59</v>
      </c>
      <c r="H138" s="3" t="s">
        <v>58</v>
      </c>
      <c r="I138" s="3" t="s">
        <v>58</v>
      </c>
      <c r="J138" s="3" t="s">
        <v>60</v>
      </c>
      <c r="K138" s="2" t="s">
        <v>1573</v>
      </c>
      <c r="L138" s="2" t="s">
        <v>1574</v>
      </c>
      <c r="M138" s="3" t="s">
        <v>633</v>
      </c>
      <c r="N138" s="2" t="s">
        <v>1180</v>
      </c>
      <c r="O138" s="3" t="s">
        <v>63</v>
      </c>
      <c r="P138" s="3" t="s">
        <v>1575</v>
      </c>
      <c r="R138" s="3" t="s">
        <v>65</v>
      </c>
      <c r="S138" s="4">
        <v>1</v>
      </c>
      <c r="T138" s="4">
        <v>1</v>
      </c>
      <c r="U138" s="5" t="s">
        <v>1576</v>
      </c>
      <c r="V138" s="5" t="s">
        <v>1576</v>
      </c>
      <c r="W138" s="5" t="s">
        <v>1577</v>
      </c>
      <c r="X138" s="5" t="s">
        <v>1577</v>
      </c>
      <c r="Y138" s="4">
        <v>61</v>
      </c>
      <c r="Z138" s="4">
        <v>51</v>
      </c>
      <c r="AA138" s="4">
        <v>53</v>
      </c>
      <c r="AB138" s="4">
        <v>1</v>
      </c>
      <c r="AC138" s="4">
        <v>1</v>
      </c>
      <c r="AD138" s="4">
        <v>0</v>
      </c>
      <c r="AE138" s="4">
        <v>0</v>
      </c>
      <c r="AF138" s="4">
        <v>0</v>
      </c>
      <c r="AG138" s="4">
        <v>0</v>
      </c>
      <c r="AH138" s="4">
        <v>0</v>
      </c>
      <c r="AI138" s="4">
        <v>0</v>
      </c>
      <c r="AJ138" s="4">
        <v>0</v>
      </c>
      <c r="AK138" s="4">
        <v>0</v>
      </c>
      <c r="AL138" s="4">
        <v>0</v>
      </c>
      <c r="AM138" s="4">
        <v>0</v>
      </c>
      <c r="AN138" s="4">
        <v>0</v>
      </c>
      <c r="AO138" s="4">
        <v>0</v>
      </c>
      <c r="AP138" s="3" t="s">
        <v>58</v>
      </c>
      <c r="AQ138" s="3" t="s">
        <v>68</v>
      </c>
      <c r="AR138" s="6" t="str">
        <f>HYPERLINK("http://catalog.hathitrust.org/Record/003255772","HathiTrust Record")</f>
        <v>HathiTrust Record</v>
      </c>
      <c r="AS138" s="6" t="str">
        <f>HYPERLINK("https://creighton-primo.hosted.exlibrisgroup.com/primo-explore/search?tab=default_tab&amp;search_scope=EVERYTHING&amp;vid=01CRU&amp;lang=en_US&amp;offset=0&amp;query=any,contains,991002439489702656","Catalog Record")</f>
        <v>Catalog Record</v>
      </c>
      <c r="AT138" s="6" t="str">
        <f>HYPERLINK("http://www.worldcat.org/oclc/31786087","WorldCat Record")</f>
        <v>WorldCat Record</v>
      </c>
      <c r="AU138" s="3" t="s">
        <v>1578</v>
      </c>
      <c r="AV138" s="3" t="s">
        <v>1579</v>
      </c>
      <c r="AW138" s="3" t="s">
        <v>1580</v>
      </c>
      <c r="AX138" s="3" t="s">
        <v>1580</v>
      </c>
      <c r="AY138" s="3" t="s">
        <v>1581</v>
      </c>
      <c r="AZ138" s="3" t="s">
        <v>73</v>
      </c>
      <c r="BB138" s="3" t="s">
        <v>1582</v>
      </c>
      <c r="BC138" s="3" t="s">
        <v>1583</v>
      </c>
      <c r="BD138" s="3" t="s">
        <v>1584</v>
      </c>
    </row>
    <row r="139" spans="1:56" ht="31.5" customHeight="1" x14ac:dyDescent="0.25">
      <c r="A139" s="7" t="s">
        <v>58</v>
      </c>
      <c r="B139" s="2" t="s">
        <v>1585</v>
      </c>
      <c r="C139" s="2" t="s">
        <v>1586</v>
      </c>
      <c r="D139" s="2" t="s">
        <v>1587</v>
      </c>
      <c r="F139" s="3" t="s">
        <v>58</v>
      </c>
      <c r="G139" s="3" t="s">
        <v>59</v>
      </c>
      <c r="H139" s="3" t="s">
        <v>58</v>
      </c>
      <c r="I139" s="3" t="s">
        <v>58</v>
      </c>
      <c r="J139" s="3" t="s">
        <v>60</v>
      </c>
      <c r="K139" s="2" t="s">
        <v>414</v>
      </c>
      <c r="L139" s="2" t="s">
        <v>1588</v>
      </c>
      <c r="M139" s="3" t="s">
        <v>443</v>
      </c>
      <c r="O139" s="3" t="s">
        <v>63</v>
      </c>
      <c r="P139" s="3" t="s">
        <v>83</v>
      </c>
      <c r="R139" s="3" t="s">
        <v>65</v>
      </c>
      <c r="S139" s="4">
        <v>7</v>
      </c>
      <c r="T139" s="4">
        <v>7</v>
      </c>
      <c r="U139" s="5" t="s">
        <v>1304</v>
      </c>
      <c r="V139" s="5" t="s">
        <v>1304</v>
      </c>
      <c r="W139" s="5" t="s">
        <v>1589</v>
      </c>
      <c r="X139" s="5" t="s">
        <v>1589</v>
      </c>
      <c r="Y139" s="4">
        <v>611</v>
      </c>
      <c r="Z139" s="4">
        <v>498</v>
      </c>
      <c r="AA139" s="4">
        <v>500</v>
      </c>
      <c r="AB139" s="4">
        <v>4</v>
      </c>
      <c r="AC139" s="4">
        <v>4</v>
      </c>
      <c r="AD139" s="4">
        <v>20</v>
      </c>
      <c r="AE139" s="4">
        <v>20</v>
      </c>
      <c r="AF139" s="4">
        <v>4</v>
      </c>
      <c r="AG139" s="4">
        <v>4</v>
      </c>
      <c r="AH139" s="4">
        <v>6</v>
      </c>
      <c r="AI139" s="4">
        <v>6</v>
      </c>
      <c r="AJ139" s="4">
        <v>12</v>
      </c>
      <c r="AK139" s="4">
        <v>12</v>
      </c>
      <c r="AL139" s="4">
        <v>3</v>
      </c>
      <c r="AM139" s="4">
        <v>3</v>
      </c>
      <c r="AN139" s="4">
        <v>0</v>
      </c>
      <c r="AO139" s="4">
        <v>0</v>
      </c>
      <c r="AP139" s="3" t="s">
        <v>58</v>
      </c>
      <c r="AQ139" s="3" t="s">
        <v>68</v>
      </c>
      <c r="AR139" s="6" t="str">
        <f>HYPERLINK("http://catalog.hathitrust.org/Record/000727207","HathiTrust Record")</f>
        <v>HathiTrust Record</v>
      </c>
      <c r="AS139" s="6" t="str">
        <f>HYPERLINK("https://creighton-primo.hosted.exlibrisgroup.com/primo-explore/search?tab=default_tab&amp;search_scope=EVERYTHING&amp;vid=01CRU&amp;lang=en_US&amp;offset=0&amp;query=any,contains,991004270099702656","Catalog Record")</f>
        <v>Catalog Record</v>
      </c>
      <c r="AT139" s="6" t="str">
        <f>HYPERLINK("http://www.worldcat.org/oclc/2875127","WorldCat Record")</f>
        <v>WorldCat Record</v>
      </c>
      <c r="AU139" s="3" t="s">
        <v>1590</v>
      </c>
      <c r="AV139" s="3" t="s">
        <v>1591</v>
      </c>
      <c r="AW139" s="3" t="s">
        <v>1592</v>
      </c>
      <c r="AX139" s="3" t="s">
        <v>1592</v>
      </c>
      <c r="AY139" s="3" t="s">
        <v>1593</v>
      </c>
      <c r="AZ139" s="3" t="s">
        <v>73</v>
      </c>
      <c r="BB139" s="3" t="s">
        <v>1594</v>
      </c>
      <c r="BC139" s="3" t="s">
        <v>1595</v>
      </c>
      <c r="BD139" s="3" t="s">
        <v>1596</v>
      </c>
    </row>
    <row r="140" spans="1:56" ht="31.5" customHeight="1" x14ac:dyDescent="0.25">
      <c r="A140" s="7" t="s">
        <v>58</v>
      </c>
      <c r="B140" s="2" t="s">
        <v>1597</v>
      </c>
      <c r="C140" s="2" t="s">
        <v>1598</v>
      </c>
      <c r="D140" s="2" t="s">
        <v>1599</v>
      </c>
      <c r="F140" s="3" t="s">
        <v>58</v>
      </c>
      <c r="G140" s="3" t="s">
        <v>59</v>
      </c>
      <c r="H140" s="3" t="s">
        <v>58</v>
      </c>
      <c r="I140" s="3" t="s">
        <v>58</v>
      </c>
      <c r="J140" s="3" t="s">
        <v>60</v>
      </c>
      <c r="K140" s="2" t="s">
        <v>1600</v>
      </c>
      <c r="L140" s="2" t="s">
        <v>1601</v>
      </c>
      <c r="M140" s="3" t="s">
        <v>537</v>
      </c>
      <c r="N140" s="2" t="s">
        <v>501</v>
      </c>
      <c r="O140" s="3" t="s">
        <v>63</v>
      </c>
      <c r="P140" s="3" t="s">
        <v>64</v>
      </c>
      <c r="R140" s="3" t="s">
        <v>65</v>
      </c>
      <c r="S140" s="4">
        <v>2</v>
      </c>
      <c r="T140" s="4">
        <v>2</v>
      </c>
      <c r="U140" s="5" t="s">
        <v>1602</v>
      </c>
      <c r="V140" s="5" t="s">
        <v>1602</v>
      </c>
      <c r="W140" s="5" t="s">
        <v>1603</v>
      </c>
      <c r="X140" s="5" t="s">
        <v>1603</v>
      </c>
      <c r="Y140" s="4">
        <v>427</v>
      </c>
      <c r="Z140" s="4">
        <v>373</v>
      </c>
      <c r="AA140" s="4">
        <v>374</v>
      </c>
      <c r="AB140" s="4">
        <v>2</v>
      </c>
      <c r="AC140" s="4">
        <v>2</v>
      </c>
      <c r="AD140" s="4">
        <v>12</v>
      </c>
      <c r="AE140" s="4">
        <v>12</v>
      </c>
      <c r="AF140" s="4">
        <v>4</v>
      </c>
      <c r="AG140" s="4">
        <v>4</v>
      </c>
      <c r="AH140" s="4">
        <v>4</v>
      </c>
      <c r="AI140" s="4">
        <v>4</v>
      </c>
      <c r="AJ140" s="4">
        <v>7</v>
      </c>
      <c r="AK140" s="4">
        <v>7</v>
      </c>
      <c r="AL140" s="4">
        <v>1</v>
      </c>
      <c r="AM140" s="4">
        <v>1</v>
      </c>
      <c r="AN140" s="4">
        <v>0</v>
      </c>
      <c r="AO140" s="4">
        <v>0</v>
      </c>
      <c r="AP140" s="3" t="s">
        <v>58</v>
      </c>
      <c r="AQ140" s="3" t="s">
        <v>58</v>
      </c>
      <c r="AS140" s="6" t="str">
        <f>HYPERLINK("https://creighton-primo.hosted.exlibrisgroup.com/primo-explore/search?tab=default_tab&amp;search_scope=EVERYTHING&amp;vid=01CRU&amp;lang=en_US&amp;offset=0&amp;query=any,contains,991001800119702656","Catalog Record")</f>
        <v>Catalog Record</v>
      </c>
      <c r="AT140" s="6" t="str">
        <f>HYPERLINK("http://www.worldcat.org/oclc/22629613","WorldCat Record")</f>
        <v>WorldCat Record</v>
      </c>
      <c r="AU140" s="3" t="s">
        <v>1604</v>
      </c>
      <c r="AV140" s="3" t="s">
        <v>1605</v>
      </c>
      <c r="AW140" s="3" t="s">
        <v>1606</v>
      </c>
      <c r="AX140" s="3" t="s">
        <v>1606</v>
      </c>
      <c r="AY140" s="3" t="s">
        <v>1607</v>
      </c>
      <c r="AZ140" s="3" t="s">
        <v>73</v>
      </c>
      <c r="BB140" s="3" t="s">
        <v>1608</v>
      </c>
      <c r="BC140" s="3" t="s">
        <v>1609</v>
      </c>
      <c r="BD140" s="3" t="s">
        <v>1610</v>
      </c>
    </row>
    <row r="141" spans="1:56" ht="31.5" customHeight="1" x14ac:dyDescent="0.25">
      <c r="A141" s="7" t="s">
        <v>58</v>
      </c>
      <c r="B141" s="2" t="s">
        <v>1611</v>
      </c>
      <c r="C141" s="2" t="s">
        <v>1612</v>
      </c>
      <c r="D141" s="2" t="s">
        <v>1613</v>
      </c>
      <c r="F141" s="3" t="s">
        <v>58</v>
      </c>
      <c r="G141" s="3" t="s">
        <v>59</v>
      </c>
      <c r="H141" s="3" t="s">
        <v>58</v>
      </c>
      <c r="I141" s="3" t="s">
        <v>58</v>
      </c>
      <c r="J141" s="3" t="s">
        <v>60</v>
      </c>
      <c r="K141" s="2" t="s">
        <v>1614</v>
      </c>
      <c r="L141" s="2" t="s">
        <v>1615</v>
      </c>
      <c r="M141" s="3" t="s">
        <v>401</v>
      </c>
      <c r="N141" s="2" t="s">
        <v>1616</v>
      </c>
      <c r="O141" s="3" t="s">
        <v>63</v>
      </c>
      <c r="P141" s="3" t="s">
        <v>186</v>
      </c>
      <c r="Q141" s="2" t="s">
        <v>1617</v>
      </c>
      <c r="R141" s="3" t="s">
        <v>65</v>
      </c>
      <c r="S141" s="4">
        <v>6</v>
      </c>
      <c r="T141" s="4">
        <v>6</v>
      </c>
      <c r="U141" s="5" t="s">
        <v>1618</v>
      </c>
      <c r="V141" s="5" t="s">
        <v>1618</v>
      </c>
      <c r="W141" s="5" t="s">
        <v>518</v>
      </c>
      <c r="X141" s="5" t="s">
        <v>518</v>
      </c>
      <c r="Y141" s="4">
        <v>432</v>
      </c>
      <c r="Z141" s="4">
        <v>318</v>
      </c>
      <c r="AA141" s="4">
        <v>350</v>
      </c>
      <c r="AB141" s="4">
        <v>2</v>
      </c>
      <c r="AC141" s="4">
        <v>3</v>
      </c>
      <c r="AD141" s="4">
        <v>8</v>
      </c>
      <c r="AE141" s="4">
        <v>11</v>
      </c>
      <c r="AF141" s="4">
        <v>0</v>
      </c>
      <c r="AG141" s="4">
        <v>2</v>
      </c>
      <c r="AH141" s="4">
        <v>2</v>
      </c>
      <c r="AI141" s="4">
        <v>3</v>
      </c>
      <c r="AJ141" s="4">
        <v>5</v>
      </c>
      <c r="AK141" s="4">
        <v>5</v>
      </c>
      <c r="AL141" s="4">
        <v>1</v>
      </c>
      <c r="AM141" s="4">
        <v>2</v>
      </c>
      <c r="AN141" s="4">
        <v>0</v>
      </c>
      <c r="AO141" s="4">
        <v>0</v>
      </c>
      <c r="AP141" s="3" t="s">
        <v>58</v>
      </c>
      <c r="AQ141" s="3" t="s">
        <v>68</v>
      </c>
      <c r="AR141" s="6" t="str">
        <f>HYPERLINK("http://catalog.hathitrust.org/Record/100033733","HathiTrust Record")</f>
        <v>HathiTrust Record</v>
      </c>
      <c r="AS141" s="6" t="str">
        <f>HYPERLINK("https://creighton-primo.hosted.exlibrisgroup.com/primo-explore/search?tab=default_tab&amp;search_scope=EVERYTHING&amp;vid=01CRU&amp;lang=en_US&amp;offset=0&amp;query=any,contains,991003004059702656","Catalog Record")</f>
        <v>Catalog Record</v>
      </c>
      <c r="AT141" s="6" t="str">
        <f>HYPERLINK("http://www.worldcat.org/oclc/571856","WorldCat Record")</f>
        <v>WorldCat Record</v>
      </c>
      <c r="AU141" s="3" t="s">
        <v>1619</v>
      </c>
      <c r="AV141" s="3" t="s">
        <v>1620</v>
      </c>
      <c r="AW141" s="3" t="s">
        <v>1621</v>
      </c>
      <c r="AX141" s="3" t="s">
        <v>1621</v>
      </c>
      <c r="AY141" s="3" t="s">
        <v>1622</v>
      </c>
      <c r="AZ141" s="3" t="s">
        <v>73</v>
      </c>
      <c r="BB141" s="3" t="s">
        <v>1623</v>
      </c>
      <c r="BC141" s="3" t="s">
        <v>1624</v>
      </c>
      <c r="BD141" s="3" t="s">
        <v>1625</v>
      </c>
    </row>
    <row r="142" spans="1:56" ht="31.5" customHeight="1" x14ac:dyDescent="0.25">
      <c r="A142" s="7" t="s">
        <v>58</v>
      </c>
      <c r="B142" s="2" t="s">
        <v>1626</v>
      </c>
      <c r="C142" s="2" t="s">
        <v>1627</v>
      </c>
      <c r="D142" s="2" t="s">
        <v>1628</v>
      </c>
      <c r="F142" s="3" t="s">
        <v>58</v>
      </c>
      <c r="G142" s="3" t="s">
        <v>59</v>
      </c>
      <c r="H142" s="3" t="s">
        <v>58</v>
      </c>
      <c r="I142" s="3" t="s">
        <v>58</v>
      </c>
      <c r="J142" s="3" t="s">
        <v>60</v>
      </c>
      <c r="K142" s="2" t="s">
        <v>1629</v>
      </c>
      <c r="L142" s="2" t="s">
        <v>1630</v>
      </c>
      <c r="M142" s="3" t="s">
        <v>700</v>
      </c>
      <c r="O142" s="3" t="s">
        <v>63</v>
      </c>
      <c r="P142" s="3" t="s">
        <v>1631</v>
      </c>
      <c r="R142" s="3" t="s">
        <v>65</v>
      </c>
      <c r="S142" s="4">
        <v>1</v>
      </c>
      <c r="T142" s="4">
        <v>1</v>
      </c>
      <c r="U142" s="5" t="s">
        <v>1632</v>
      </c>
      <c r="V142" s="5" t="s">
        <v>1632</v>
      </c>
      <c r="W142" s="5" t="s">
        <v>1633</v>
      </c>
      <c r="X142" s="5" t="s">
        <v>1633</v>
      </c>
      <c r="Y142" s="4">
        <v>98</v>
      </c>
      <c r="Z142" s="4">
        <v>87</v>
      </c>
      <c r="AA142" s="4">
        <v>88</v>
      </c>
      <c r="AB142" s="4">
        <v>2</v>
      </c>
      <c r="AC142" s="4">
        <v>2</v>
      </c>
      <c r="AD142" s="4">
        <v>5</v>
      </c>
      <c r="AE142" s="4">
        <v>5</v>
      </c>
      <c r="AF142" s="4">
        <v>1</v>
      </c>
      <c r="AG142" s="4">
        <v>1</v>
      </c>
      <c r="AH142" s="4">
        <v>1</v>
      </c>
      <c r="AI142" s="4">
        <v>1</v>
      </c>
      <c r="AJ142" s="4">
        <v>3</v>
      </c>
      <c r="AK142" s="4">
        <v>3</v>
      </c>
      <c r="AL142" s="4">
        <v>1</v>
      </c>
      <c r="AM142" s="4">
        <v>1</v>
      </c>
      <c r="AN142" s="4">
        <v>0</v>
      </c>
      <c r="AO142" s="4">
        <v>0</v>
      </c>
      <c r="AP142" s="3" t="s">
        <v>58</v>
      </c>
      <c r="AQ142" s="3" t="s">
        <v>68</v>
      </c>
      <c r="AR142" s="6" t="str">
        <f>HYPERLINK("http://catalog.hathitrust.org/Record/004138421","HathiTrust Record")</f>
        <v>HathiTrust Record</v>
      </c>
      <c r="AS142" s="6" t="str">
        <f>HYPERLINK("https://creighton-primo.hosted.exlibrisgroup.com/primo-explore/search?tab=default_tab&amp;search_scope=EVERYTHING&amp;vid=01CRU&amp;lang=en_US&amp;offset=0&amp;query=any,contains,991003771529702656","Catalog Record")</f>
        <v>Catalog Record</v>
      </c>
      <c r="AT142" s="6" t="str">
        <f>HYPERLINK("http://www.worldcat.org/oclc/44168913","WorldCat Record")</f>
        <v>WorldCat Record</v>
      </c>
      <c r="AU142" s="3" t="s">
        <v>1634</v>
      </c>
      <c r="AV142" s="3" t="s">
        <v>1635</v>
      </c>
      <c r="AW142" s="3" t="s">
        <v>1636</v>
      </c>
      <c r="AX142" s="3" t="s">
        <v>1636</v>
      </c>
      <c r="AY142" s="3" t="s">
        <v>1637</v>
      </c>
      <c r="AZ142" s="3" t="s">
        <v>73</v>
      </c>
      <c r="BB142" s="3" t="s">
        <v>1638</v>
      </c>
      <c r="BC142" s="3" t="s">
        <v>1639</v>
      </c>
      <c r="BD142" s="3" t="s">
        <v>1640</v>
      </c>
    </row>
    <row r="143" spans="1:56" ht="31.5" customHeight="1" x14ac:dyDescent="0.25">
      <c r="A143" s="7" t="s">
        <v>58</v>
      </c>
      <c r="B143" s="2" t="s">
        <v>1641</v>
      </c>
      <c r="C143" s="2" t="s">
        <v>1642</v>
      </c>
      <c r="D143" s="2" t="s">
        <v>1643</v>
      </c>
      <c r="F143" s="3" t="s">
        <v>58</v>
      </c>
      <c r="G143" s="3" t="s">
        <v>59</v>
      </c>
      <c r="H143" s="3" t="s">
        <v>58</v>
      </c>
      <c r="I143" s="3" t="s">
        <v>58</v>
      </c>
      <c r="J143" s="3" t="s">
        <v>60</v>
      </c>
      <c r="K143" s="2" t="s">
        <v>1644</v>
      </c>
      <c r="L143" s="2" t="s">
        <v>1645</v>
      </c>
      <c r="M143" s="3" t="s">
        <v>1195</v>
      </c>
      <c r="O143" s="3" t="s">
        <v>63</v>
      </c>
      <c r="P143" s="3" t="s">
        <v>796</v>
      </c>
      <c r="R143" s="3" t="s">
        <v>65</v>
      </c>
      <c r="S143" s="4">
        <v>3</v>
      </c>
      <c r="T143" s="4">
        <v>3</v>
      </c>
      <c r="U143" s="5" t="s">
        <v>1646</v>
      </c>
      <c r="V143" s="5" t="s">
        <v>1646</v>
      </c>
      <c r="W143" s="5" t="s">
        <v>518</v>
      </c>
      <c r="X143" s="5" t="s">
        <v>518</v>
      </c>
      <c r="Y143" s="4">
        <v>232</v>
      </c>
      <c r="Z143" s="4">
        <v>213</v>
      </c>
      <c r="AA143" s="4">
        <v>241</v>
      </c>
      <c r="AB143" s="4">
        <v>7</v>
      </c>
      <c r="AC143" s="4">
        <v>7</v>
      </c>
      <c r="AD143" s="4">
        <v>17</v>
      </c>
      <c r="AE143" s="4">
        <v>17</v>
      </c>
      <c r="AF143" s="4">
        <v>3</v>
      </c>
      <c r="AG143" s="4">
        <v>3</v>
      </c>
      <c r="AH143" s="4">
        <v>3</v>
      </c>
      <c r="AI143" s="4">
        <v>3</v>
      </c>
      <c r="AJ143" s="4">
        <v>8</v>
      </c>
      <c r="AK143" s="4">
        <v>8</v>
      </c>
      <c r="AL143" s="4">
        <v>6</v>
      </c>
      <c r="AM143" s="4">
        <v>6</v>
      </c>
      <c r="AN143" s="4">
        <v>0</v>
      </c>
      <c r="AO143" s="4">
        <v>0</v>
      </c>
      <c r="AP143" s="3" t="s">
        <v>58</v>
      </c>
      <c r="AQ143" s="3" t="s">
        <v>58</v>
      </c>
      <c r="AR143" s="6" t="str">
        <f>HYPERLINK("http://catalog.hathitrust.org/Record/001520608","HathiTrust Record")</f>
        <v>HathiTrust Record</v>
      </c>
      <c r="AS143" s="6" t="str">
        <f>HYPERLINK("https://creighton-primo.hosted.exlibrisgroup.com/primo-explore/search?tab=default_tab&amp;search_scope=EVERYTHING&amp;vid=01CRU&amp;lang=en_US&amp;offset=0&amp;query=any,contains,991002929339702656","Catalog Record")</f>
        <v>Catalog Record</v>
      </c>
      <c r="AT143" s="6" t="str">
        <f>HYPERLINK("http://www.worldcat.org/oclc/530390","WorldCat Record")</f>
        <v>WorldCat Record</v>
      </c>
      <c r="AU143" s="3" t="s">
        <v>1647</v>
      </c>
      <c r="AV143" s="3" t="s">
        <v>1648</v>
      </c>
      <c r="AW143" s="3" t="s">
        <v>1649</v>
      </c>
      <c r="AX143" s="3" t="s">
        <v>1649</v>
      </c>
      <c r="AY143" s="3" t="s">
        <v>1650</v>
      </c>
      <c r="AZ143" s="3" t="s">
        <v>73</v>
      </c>
      <c r="BC143" s="3" t="s">
        <v>1651</v>
      </c>
      <c r="BD143" s="3" t="s">
        <v>1652</v>
      </c>
    </row>
    <row r="144" spans="1:56" ht="31.5" customHeight="1" x14ac:dyDescent="0.25">
      <c r="A144" s="7" t="s">
        <v>58</v>
      </c>
      <c r="B144" s="2" t="s">
        <v>1653</v>
      </c>
      <c r="C144" s="2" t="s">
        <v>1654</v>
      </c>
      <c r="D144" s="2" t="s">
        <v>1655</v>
      </c>
      <c r="F144" s="3" t="s">
        <v>58</v>
      </c>
      <c r="G144" s="3" t="s">
        <v>59</v>
      </c>
      <c r="H144" s="3" t="s">
        <v>58</v>
      </c>
      <c r="I144" s="3" t="s">
        <v>58</v>
      </c>
      <c r="J144" s="3" t="s">
        <v>60</v>
      </c>
      <c r="L144" s="2" t="s">
        <v>1656</v>
      </c>
      <c r="M144" s="3" t="s">
        <v>443</v>
      </c>
      <c r="O144" s="3" t="s">
        <v>63</v>
      </c>
      <c r="P144" s="3" t="s">
        <v>1014</v>
      </c>
      <c r="R144" s="3" t="s">
        <v>65</v>
      </c>
      <c r="S144" s="4">
        <v>2</v>
      </c>
      <c r="T144" s="4">
        <v>2</v>
      </c>
      <c r="U144" s="5" t="s">
        <v>1657</v>
      </c>
      <c r="V144" s="5" t="s">
        <v>1657</v>
      </c>
      <c r="W144" s="5" t="s">
        <v>1658</v>
      </c>
      <c r="X144" s="5" t="s">
        <v>1658</v>
      </c>
      <c r="Y144" s="4">
        <v>312</v>
      </c>
      <c r="Z144" s="4">
        <v>246</v>
      </c>
      <c r="AA144" s="4">
        <v>247</v>
      </c>
      <c r="AB144" s="4">
        <v>1</v>
      </c>
      <c r="AC144" s="4">
        <v>1</v>
      </c>
      <c r="AD144" s="4">
        <v>4</v>
      </c>
      <c r="AE144" s="4">
        <v>4</v>
      </c>
      <c r="AF144" s="4">
        <v>2</v>
      </c>
      <c r="AG144" s="4">
        <v>2</v>
      </c>
      <c r="AH144" s="4">
        <v>3</v>
      </c>
      <c r="AI144" s="4">
        <v>3</v>
      </c>
      <c r="AJ144" s="4">
        <v>0</v>
      </c>
      <c r="AK144" s="4">
        <v>0</v>
      </c>
      <c r="AL144" s="4">
        <v>0</v>
      </c>
      <c r="AM144" s="4">
        <v>0</v>
      </c>
      <c r="AN144" s="4">
        <v>0</v>
      </c>
      <c r="AO144" s="4">
        <v>0</v>
      </c>
      <c r="AP144" s="3" t="s">
        <v>58</v>
      </c>
      <c r="AQ144" s="3" t="s">
        <v>68</v>
      </c>
      <c r="AR144" s="6" t="str">
        <f>HYPERLINK("http://catalog.hathitrust.org/Record/000748611","HathiTrust Record")</f>
        <v>HathiTrust Record</v>
      </c>
      <c r="AS144" s="6" t="str">
        <f>HYPERLINK("https://creighton-primo.hosted.exlibrisgroup.com/primo-explore/search?tab=default_tab&amp;search_scope=EVERYTHING&amp;vid=01CRU&amp;lang=en_US&amp;offset=0&amp;query=any,contains,991004403999702656","Catalog Record")</f>
        <v>Catalog Record</v>
      </c>
      <c r="AT144" s="6" t="str">
        <f>HYPERLINK("http://www.worldcat.org/oclc/3312910","WorldCat Record")</f>
        <v>WorldCat Record</v>
      </c>
      <c r="AU144" s="3" t="s">
        <v>1659</v>
      </c>
      <c r="AV144" s="3" t="s">
        <v>1660</v>
      </c>
      <c r="AW144" s="3" t="s">
        <v>1661</v>
      </c>
      <c r="AX144" s="3" t="s">
        <v>1661</v>
      </c>
      <c r="AY144" s="3" t="s">
        <v>1662</v>
      </c>
      <c r="AZ144" s="3" t="s">
        <v>73</v>
      </c>
      <c r="BB144" s="3" t="s">
        <v>1663</v>
      </c>
      <c r="BC144" s="3" t="s">
        <v>1664</v>
      </c>
      <c r="BD144" s="3" t="s">
        <v>1665</v>
      </c>
    </row>
    <row r="145" spans="1:56" ht="31.5" customHeight="1" x14ac:dyDescent="0.25">
      <c r="A145" s="7" t="s">
        <v>58</v>
      </c>
      <c r="B145" s="2" t="s">
        <v>1666</v>
      </c>
      <c r="C145" s="2" t="s">
        <v>1667</v>
      </c>
      <c r="D145" s="2" t="s">
        <v>1668</v>
      </c>
      <c r="F145" s="3" t="s">
        <v>58</v>
      </c>
      <c r="G145" s="3" t="s">
        <v>59</v>
      </c>
      <c r="H145" s="3" t="s">
        <v>58</v>
      </c>
      <c r="I145" s="3" t="s">
        <v>58</v>
      </c>
      <c r="J145" s="3" t="s">
        <v>60</v>
      </c>
      <c r="K145" s="2" t="s">
        <v>1669</v>
      </c>
      <c r="L145" s="2" t="s">
        <v>1670</v>
      </c>
      <c r="M145" s="3" t="s">
        <v>159</v>
      </c>
      <c r="O145" s="3" t="s">
        <v>63</v>
      </c>
      <c r="P145" s="3" t="s">
        <v>129</v>
      </c>
      <c r="R145" s="3" t="s">
        <v>65</v>
      </c>
      <c r="S145" s="4">
        <v>4</v>
      </c>
      <c r="T145" s="4">
        <v>4</v>
      </c>
      <c r="U145" s="5" t="s">
        <v>1671</v>
      </c>
      <c r="V145" s="5" t="s">
        <v>1671</v>
      </c>
      <c r="W145" s="5" t="s">
        <v>1658</v>
      </c>
      <c r="X145" s="5" t="s">
        <v>1658</v>
      </c>
      <c r="Y145" s="4">
        <v>389</v>
      </c>
      <c r="Z145" s="4">
        <v>318</v>
      </c>
      <c r="AA145" s="4">
        <v>324</v>
      </c>
      <c r="AB145" s="4">
        <v>3</v>
      </c>
      <c r="AC145" s="4">
        <v>3</v>
      </c>
      <c r="AD145" s="4">
        <v>17</v>
      </c>
      <c r="AE145" s="4">
        <v>17</v>
      </c>
      <c r="AF145" s="4">
        <v>5</v>
      </c>
      <c r="AG145" s="4">
        <v>5</v>
      </c>
      <c r="AH145" s="4">
        <v>4</v>
      </c>
      <c r="AI145" s="4">
        <v>4</v>
      </c>
      <c r="AJ145" s="4">
        <v>10</v>
      </c>
      <c r="AK145" s="4">
        <v>10</v>
      </c>
      <c r="AL145" s="4">
        <v>2</v>
      </c>
      <c r="AM145" s="4">
        <v>2</v>
      </c>
      <c r="AN145" s="4">
        <v>0</v>
      </c>
      <c r="AO145" s="4">
        <v>0</v>
      </c>
      <c r="AP145" s="3" t="s">
        <v>58</v>
      </c>
      <c r="AQ145" s="3" t="s">
        <v>58</v>
      </c>
      <c r="AS145" s="6" t="str">
        <f>HYPERLINK("https://creighton-primo.hosted.exlibrisgroup.com/primo-explore/search?tab=default_tab&amp;search_scope=EVERYTHING&amp;vid=01CRU&amp;lang=en_US&amp;offset=0&amp;query=any,contains,991000129879702656","Catalog Record")</f>
        <v>Catalog Record</v>
      </c>
      <c r="AT145" s="6" t="str">
        <f>HYPERLINK("http://www.worldcat.org/oclc/9110674","WorldCat Record")</f>
        <v>WorldCat Record</v>
      </c>
      <c r="AU145" s="3" t="s">
        <v>1672</v>
      </c>
      <c r="AV145" s="3" t="s">
        <v>1673</v>
      </c>
      <c r="AW145" s="3" t="s">
        <v>1674</v>
      </c>
      <c r="AX145" s="3" t="s">
        <v>1674</v>
      </c>
      <c r="AY145" s="3" t="s">
        <v>1675</v>
      </c>
      <c r="AZ145" s="3" t="s">
        <v>73</v>
      </c>
      <c r="BB145" s="3" t="s">
        <v>1676</v>
      </c>
      <c r="BC145" s="3" t="s">
        <v>1677</v>
      </c>
      <c r="BD145" s="3" t="s">
        <v>1678</v>
      </c>
    </row>
    <row r="146" spans="1:56" ht="31.5" customHeight="1" x14ac:dyDescent="0.25">
      <c r="A146" s="7" t="s">
        <v>58</v>
      </c>
      <c r="B146" s="2" t="s">
        <v>1679</v>
      </c>
      <c r="C146" s="2" t="s">
        <v>1680</v>
      </c>
      <c r="D146" s="2" t="s">
        <v>1681</v>
      </c>
      <c r="F146" s="3" t="s">
        <v>58</v>
      </c>
      <c r="G146" s="3" t="s">
        <v>59</v>
      </c>
      <c r="H146" s="3" t="s">
        <v>58</v>
      </c>
      <c r="I146" s="3" t="s">
        <v>58</v>
      </c>
      <c r="J146" s="3" t="s">
        <v>60</v>
      </c>
      <c r="K146" s="2" t="s">
        <v>1682</v>
      </c>
      <c r="L146" s="2" t="s">
        <v>1683</v>
      </c>
      <c r="M146" s="3" t="s">
        <v>1536</v>
      </c>
      <c r="N146" s="2" t="s">
        <v>1684</v>
      </c>
      <c r="O146" s="3" t="s">
        <v>63</v>
      </c>
      <c r="P146" s="3" t="s">
        <v>64</v>
      </c>
      <c r="R146" s="3" t="s">
        <v>65</v>
      </c>
      <c r="S146" s="4">
        <v>9</v>
      </c>
      <c r="T146" s="4">
        <v>9</v>
      </c>
      <c r="U146" s="5" t="s">
        <v>1685</v>
      </c>
      <c r="V146" s="5" t="s">
        <v>1685</v>
      </c>
      <c r="W146" s="5" t="s">
        <v>1373</v>
      </c>
      <c r="X146" s="5" t="s">
        <v>1373</v>
      </c>
      <c r="Y146" s="4">
        <v>842</v>
      </c>
      <c r="Z146" s="4">
        <v>751</v>
      </c>
      <c r="AA146" s="4">
        <v>865</v>
      </c>
      <c r="AB146" s="4">
        <v>5</v>
      </c>
      <c r="AC146" s="4">
        <v>6</v>
      </c>
      <c r="AD146" s="4">
        <v>29</v>
      </c>
      <c r="AE146" s="4">
        <v>41</v>
      </c>
      <c r="AF146" s="4">
        <v>12</v>
      </c>
      <c r="AG146" s="4">
        <v>16</v>
      </c>
      <c r="AH146" s="4">
        <v>5</v>
      </c>
      <c r="AI146" s="4">
        <v>7</v>
      </c>
      <c r="AJ146" s="4">
        <v>15</v>
      </c>
      <c r="AK146" s="4">
        <v>22</v>
      </c>
      <c r="AL146" s="4">
        <v>4</v>
      </c>
      <c r="AM146" s="4">
        <v>5</v>
      </c>
      <c r="AN146" s="4">
        <v>0</v>
      </c>
      <c r="AO146" s="4">
        <v>1</v>
      </c>
      <c r="AP146" s="3" t="s">
        <v>58</v>
      </c>
      <c r="AQ146" s="3" t="s">
        <v>68</v>
      </c>
      <c r="AR146" s="6" t="str">
        <f>HYPERLINK("http://catalog.hathitrust.org/Record/001475714","HathiTrust Record")</f>
        <v>HathiTrust Record</v>
      </c>
      <c r="AS146" s="6" t="str">
        <f>HYPERLINK("https://creighton-primo.hosted.exlibrisgroup.com/primo-explore/search?tab=default_tab&amp;search_scope=EVERYTHING&amp;vid=01CRU&amp;lang=en_US&amp;offset=0&amp;query=any,contains,991003355779702656","Catalog Record")</f>
        <v>Catalog Record</v>
      </c>
      <c r="AT146" s="6" t="str">
        <f>HYPERLINK("http://www.worldcat.org/oclc/889260","WorldCat Record")</f>
        <v>WorldCat Record</v>
      </c>
      <c r="AU146" s="3" t="s">
        <v>1686</v>
      </c>
      <c r="AV146" s="3" t="s">
        <v>1687</v>
      </c>
      <c r="AW146" s="3" t="s">
        <v>1688</v>
      </c>
      <c r="AX146" s="3" t="s">
        <v>1688</v>
      </c>
      <c r="AY146" s="3" t="s">
        <v>1689</v>
      </c>
      <c r="AZ146" s="3" t="s">
        <v>73</v>
      </c>
      <c r="BC146" s="3" t="s">
        <v>1690</v>
      </c>
      <c r="BD146" s="3" t="s">
        <v>1691</v>
      </c>
    </row>
    <row r="147" spans="1:56" ht="31.5" customHeight="1" x14ac:dyDescent="0.25">
      <c r="A147" s="7" t="s">
        <v>58</v>
      </c>
      <c r="B147" s="2" t="s">
        <v>1692</v>
      </c>
      <c r="C147" s="2" t="s">
        <v>1693</v>
      </c>
      <c r="D147" s="2" t="s">
        <v>1694</v>
      </c>
      <c r="F147" s="3" t="s">
        <v>58</v>
      </c>
      <c r="G147" s="3" t="s">
        <v>59</v>
      </c>
      <c r="H147" s="3" t="s">
        <v>58</v>
      </c>
      <c r="I147" s="3" t="s">
        <v>58</v>
      </c>
      <c r="J147" s="3" t="s">
        <v>60</v>
      </c>
      <c r="K147" s="2" t="s">
        <v>1695</v>
      </c>
      <c r="L147" s="2" t="s">
        <v>1696</v>
      </c>
      <c r="M147" s="3" t="s">
        <v>1412</v>
      </c>
      <c r="O147" s="3" t="s">
        <v>63</v>
      </c>
      <c r="P147" s="3" t="s">
        <v>64</v>
      </c>
      <c r="Q147" s="2" t="s">
        <v>1697</v>
      </c>
      <c r="R147" s="3" t="s">
        <v>65</v>
      </c>
      <c r="S147" s="4">
        <v>4</v>
      </c>
      <c r="T147" s="4">
        <v>4</v>
      </c>
      <c r="U147" s="5" t="s">
        <v>1698</v>
      </c>
      <c r="V147" s="5" t="s">
        <v>1698</v>
      </c>
      <c r="W147" s="5" t="s">
        <v>1699</v>
      </c>
      <c r="X147" s="5" t="s">
        <v>1699</v>
      </c>
      <c r="Y147" s="4">
        <v>435</v>
      </c>
      <c r="Z147" s="4">
        <v>335</v>
      </c>
      <c r="AA147" s="4">
        <v>336</v>
      </c>
      <c r="AB147" s="4">
        <v>3</v>
      </c>
      <c r="AC147" s="4">
        <v>3</v>
      </c>
      <c r="AD147" s="4">
        <v>14</v>
      </c>
      <c r="AE147" s="4">
        <v>14</v>
      </c>
      <c r="AF147" s="4">
        <v>2</v>
      </c>
      <c r="AG147" s="4">
        <v>2</v>
      </c>
      <c r="AH147" s="4">
        <v>3</v>
      </c>
      <c r="AI147" s="4">
        <v>3</v>
      </c>
      <c r="AJ147" s="4">
        <v>8</v>
      </c>
      <c r="AK147" s="4">
        <v>8</v>
      </c>
      <c r="AL147" s="4">
        <v>2</v>
      </c>
      <c r="AM147" s="4">
        <v>2</v>
      </c>
      <c r="AN147" s="4">
        <v>0</v>
      </c>
      <c r="AO147" s="4">
        <v>0</v>
      </c>
      <c r="AP147" s="3" t="s">
        <v>58</v>
      </c>
      <c r="AQ147" s="3" t="s">
        <v>58</v>
      </c>
      <c r="AS147" s="6" t="str">
        <f>HYPERLINK("https://creighton-primo.hosted.exlibrisgroup.com/primo-explore/search?tab=default_tab&amp;search_scope=EVERYTHING&amp;vid=01CRU&amp;lang=en_US&amp;offset=0&amp;query=any,contains,991003203549702656","Catalog Record")</f>
        <v>Catalog Record</v>
      </c>
      <c r="AT147" s="6" t="str">
        <f>HYPERLINK("http://www.worldcat.org/oclc/728474","WorldCat Record")</f>
        <v>WorldCat Record</v>
      </c>
      <c r="AU147" s="3" t="s">
        <v>1700</v>
      </c>
      <c r="AV147" s="3" t="s">
        <v>1701</v>
      </c>
      <c r="AW147" s="3" t="s">
        <v>1702</v>
      </c>
      <c r="AX147" s="3" t="s">
        <v>1702</v>
      </c>
      <c r="AY147" s="3" t="s">
        <v>1703</v>
      </c>
      <c r="AZ147" s="3" t="s">
        <v>73</v>
      </c>
      <c r="BC147" s="3" t="s">
        <v>1704</v>
      </c>
      <c r="BD147" s="3" t="s">
        <v>1705</v>
      </c>
    </row>
    <row r="148" spans="1:56" ht="31.5" customHeight="1" x14ac:dyDescent="0.25">
      <c r="A148" s="7" t="s">
        <v>58</v>
      </c>
      <c r="B148" s="2" t="s">
        <v>1706</v>
      </c>
      <c r="C148" s="2" t="s">
        <v>1707</v>
      </c>
      <c r="D148" s="2" t="s">
        <v>1708</v>
      </c>
      <c r="F148" s="3" t="s">
        <v>58</v>
      </c>
      <c r="G148" s="3" t="s">
        <v>59</v>
      </c>
      <c r="H148" s="3" t="s">
        <v>58</v>
      </c>
      <c r="I148" s="3" t="s">
        <v>58</v>
      </c>
      <c r="J148" s="3" t="s">
        <v>60</v>
      </c>
      <c r="K148" s="2" t="s">
        <v>1695</v>
      </c>
      <c r="L148" s="2" t="s">
        <v>1709</v>
      </c>
      <c r="M148" s="3" t="s">
        <v>244</v>
      </c>
      <c r="O148" s="3" t="s">
        <v>63</v>
      </c>
      <c r="P148" s="3" t="s">
        <v>64</v>
      </c>
      <c r="Q148" s="2" t="s">
        <v>1710</v>
      </c>
      <c r="R148" s="3" t="s">
        <v>65</v>
      </c>
      <c r="S148" s="4">
        <v>15</v>
      </c>
      <c r="T148" s="4">
        <v>15</v>
      </c>
      <c r="U148" s="5" t="s">
        <v>1523</v>
      </c>
      <c r="V148" s="5" t="s">
        <v>1523</v>
      </c>
      <c r="W148" s="5" t="s">
        <v>204</v>
      </c>
      <c r="X148" s="5" t="s">
        <v>204</v>
      </c>
      <c r="Y148" s="4">
        <v>170</v>
      </c>
      <c r="Z148" s="4">
        <v>151</v>
      </c>
      <c r="AA148" s="4">
        <v>291</v>
      </c>
      <c r="AB148" s="4">
        <v>2</v>
      </c>
      <c r="AC148" s="4">
        <v>2</v>
      </c>
      <c r="AD148" s="4">
        <v>7</v>
      </c>
      <c r="AE148" s="4">
        <v>11</v>
      </c>
      <c r="AF148" s="4">
        <v>1</v>
      </c>
      <c r="AG148" s="4">
        <v>3</v>
      </c>
      <c r="AH148" s="4">
        <v>1</v>
      </c>
      <c r="AI148" s="4">
        <v>2</v>
      </c>
      <c r="AJ148" s="4">
        <v>5</v>
      </c>
      <c r="AK148" s="4">
        <v>7</v>
      </c>
      <c r="AL148" s="4">
        <v>1</v>
      </c>
      <c r="AM148" s="4">
        <v>1</v>
      </c>
      <c r="AN148" s="4">
        <v>0</v>
      </c>
      <c r="AO148" s="4">
        <v>0</v>
      </c>
      <c r="AP148" s="3" t="s">
        <v>58</v>
      </c>
      <c r="AQ148" s="3" t="s">
        <v>58</v>
      </c>
      <c r="AS148" s="6" t="str">
        <f>HYPERLINK("https://creighton-primo.hosted.exlibrisgroup.com/primo-explore/search?tab=default_tab&amp;search_scope=EVERYTHING&amp;vid=01CRU&amp;lang=en_US&amp;offset=0&amp;query=any,contains,991005164819702656","Catalog Record")</f>
        <v>Catalog Record</v>
      </c>
      <c r="AT148" s="6" t="str">
        <f>HYPERLINK("http://www.worldcat.org/oclc/7818434","WorldCat Record")</f>
        <v>WorldCat Record</v>
      </c>
      <c r="AU148" s="3" t="s">
        <v>1711</v>
      </c>
      <c r="AV148" s="3" t="s">
        <v>1712</v>
      </c>
      <c r="AW148" s="3" t="s">
        <v>1713</v>
      </c>
      <c r="AX148" s="3" t="s">
        <v>1713</v>
      </c>
      <c r="AY148" s="3" t="s">
        <v>1714</v>
      </c>
      <c r="AZ148" s="3" t="s">
        <v>73</v>
      </c>
      <c r="BB148" s="3" t="s">
        <v>1715</v>
      </c>
      <c r="BC148" s="3" t="s">
        <v>1716</v>
      </c>
      <c r="BD148" s="3" t="s">
        <v>1717</v>
      </c>
    </row>
    <row r="149" spans="1:56" ht="31.5" customHeight="1" x14ac:dyDescent="0.25">
      <c r="A149" s="7" t="s">
        <v>58</v>
      </c>
      <c r="B149" s="2" t="s">
        <v>1718</v>
      </c>
      <c r="C149" s="2" t="s">
        <v>1719</v>
      </c>
      <c r="D149" s="2" t="s">
        <v>1720</v>
      </c>
      <c r="F149" s="3" t="s">
        <v>58</v>
      </c>
      <c r="G149" s="3" t="s">
        <v>59</v>
      </c>
      <c r="H149" s="3" t="s">
        <v>58</v>
      </c>
      <c r="I149" s="3" t="s">
        <v>58</v>
      </c>
      <c r="J149" s="3" t="s">
        <v>60</v>
      </c>
      <c r="K149" s="2" t="s">
        <v>1721</v>
      </c>
      <c r="L149" s="2" t="s">
        <v>1722</v>
      </c>
      <c r="M149" s="3" t="s">
        <v>1235</v>
      </c>
      <c r="O149" s="3" t="s">
        <v>63</v>
      </c>
      <c r="P149" s="3" t="s">
        <v>64</v>
      </c>
      <c r="Q149" s="2" t="s">
        <v>1723</v>
      </c>
      <c r="R149" s="3" t="s">
        <v>65</v>
      </c>
      <c r="S149" s="4">
        <v>2</v>
      </c>
      <c r="T149" s="4">
        <v>2</v>
      </c>
      <c r="U149" s="5" t="s">
        <v>1724</v>
      </c>
      <c r="V149" s="5" t="s">
        <v>1724</v>
      </c>
      <c r="W149" s="5" t="s">
        <v>1724</v>
      </c>
      <c r="X149" s="5" t="s">
        <v>1724</v>
      </c>
      <c r="Y149" s="4">
        <v>146</v>
      </c>
      <c r="Z149" s="4">
        <v>123</v>
      </c>
      <c r="AA149" s="4">
        <v>228</v>
      </c>
      <c r="AB149" s="4">
        <v>2</v>
      </c>
      <c r="AC149" s="4">
        <v>3</v>
      </c>
      <c r="AD149" s="4">
        <v>7</v>
      </c>
      <c r="AE149" s="4">
        <v>11</v>
      </c>
      <c r="AF149" s="4">
        <v>0</v>
      </c>
      <c r="AG149" s="4">
        <v>3</v>
      </c>
      <c r="AH149" s="4">
        <v>2</v>
      </c>
      <c r="AI149" s="4">
        <v>2</v>
      </c>
      <c r="AJ149" s="4">
        <v>5</v>
      </c>
      <c r="AK149" s="4">
        <v>6</v>
      </c>
      <c r="AL149" s="4">
        <v>1</v>
      </c>
      <c r="AM149" s="4">
        <v>2</v>
      </c>
      <c r="AN149" s="4">
        <v>0</v>
      </c>
      <c r="AO149" s="4">
        <v>0</v>
      </c>
      <c r="AP149" s="3" t="s">
        <v>58</v>
      </c>
      <c r="AQ149" s="3" t="s">
        <v>68</v>
      </c>
      <c r="AR149" s="6" t="str">
        <f>HYPERLINK("http://catalog.hathitrust.org/Record/004376883","HathiTrust Record")</f>
        <v>HathiTrust Record</v>
      </c>
      <c r="AS149" s="6" t="str">
        <f>HYPERLINK("https://creighton-primo.hosted.exlibrisgroup.com/primo-explore/search?tab=default_tab&amp;search_scope=EVERYTHING&amp;vid=01CRU&amp;lang=en_US&amp;offset=0&amp;query=any,contains,991004398139702656","Catalog Record")</f>
        <v>Catalog Record</v>
      </c>
      <c r="AT149" s="6" t="str">
        <f>HYPERLINK("http://www.worldcat.org/oclc/51931107","WorldCat Record")</f>
        <v>WorldCat Record</v>
      </c>
      <c r="AU149" s="3" t="s">
        <v>1725</v>
      </c>
      <c r="AV149" s="3" t="s">
        <v>1726</v>
      </c>
      <c r="AW149" s="3" t="s">
        <v>1727</v>
      </c>
      <c r="AX149" s="3" t="s">
        <v>1727</v>
      </c>
      <c r="AY149" s="3" t="s">
        <v>1728</v>
      </c>
      <c r="AZ149" s="3" t="s">
        <v>73</v>
      </c>
      <c r="BB149" s="3" t="s">
        <v>1729</v>
      </c>
      <c r="BC149" s="3" t="s">
        <v>1730</v>
      </c>
      <c r="BD149" s="3" t="s">
        <v>1731</v>
      </c>
    </row>
    <row r="150" spans="1:56" ht="31.5" customHeight="1" x14ac:dyDescent="0.25">
      <c r="A150" s="7" t="s">
        <v>58</v>
      </c>
      <c r="B150" s="2" t="s">
        <v>1732</v>
      </c>
      <c r="C150" s="2" t="s">
        <v>1733</v>
      </c>
      <c r="D150" s="2" t="s">
        <v>1734</v>
      </c>
      <c r="F150" s="3" t="s">
        <v>58</v>
      </c>
      <c r="G150" s="3" t="s">
        <v>59</v>
      </c>
      <c r="H150" s="3" t="s">
        <v>58</v>
      </c>
      <c r="I150" s="3" t="s">
        <v>68</v>
      </c>
      <c r="J150" s="3" t="s">
        <v>60</v>
      </c>
      <c r="K150" s="2" t="s">
        <v>1735</v>
      </c>
      <c r="L150" s="2" t="s">
        <v>1736</v>
      </c>
      <c r="M150" s="3" t="s">
        <v>1737</v>
      </c>
      <c r="O150" s="3" t="s">
        <v>63</v>
      </c>
      <c r="P150" s="3" t="s">
        <v>129</v>
      </c>
      <c r="R150" s="3" t="s">
        <v>65</v>
      </c>
      <c r="S150" s="4">
        <v>14</v>
      </c>
      <c r="T150" s="4">
        <v>14</v>
      </c>
      <c r="U150" s="5" t="s">
        <v>1738</v>
      </c>
      <c r="V150" s="5" t="s">
        <v>1738</v>
      </c>
      <c r="W150" s="5" t="s">
        <v>1739</v>
      </c>
      <c r="X150" s="5" t="s">
        <v>1739</v>
      </c>
      <c r="Y150" s="4">
        <v>1364</v>
      </c>
      <c r="Z150" s="4">
        <v>1140</v>
      </c>
      <c r="AA150" s="4">
        <v>1449</v>
      </c>
      <c r="AB150" s="4">
        <v>6</v>
      </c>
      <c r="AC150" s="4">
        <v>10</v>
      </c>
      <c r="AD150" s="4">
        <v>45</v>
      </c>
      <c r="AE150" s="4">
        <v>54</v>
      </c>
      <c r="AF150" s="4">
        <v>19</v>
      </c>
      <c r="AG150" s="4">
        <v>24</v>
      </c>
      <c r="AH150" s="4">
        <v>10</v>
      </c>
      <c r="AI150" s="4">
        <v>11</v>
      </c>
      <c r="AJ150" s="4">
        <v>24</v>
      </c>
      <c r="AK150" s="4">
        <v>26</v>
      </c>
      <c r="AL150" s="4">
        <v>4</v>
      </c>
      <c r="AM150" s="4">
        <v>7</v>
      </c>
      <c r="AN150" s="4">
        <v>0</v>
      </c>
      <c r="AO150" s="4">
        <v>0</v>
      </c>
      <c r="AP150" s="3" t="s">
        <v>58</v>
      </c>
      <c r="AQ150" s="3" t="s">
        <v>68</v>
      </c>
      <c r="AR150" s="6" t="str">
        <f>HYPERLINK("http://catalog.hathitrust.org/Record/001475717","HathiTrust Record")</f>
        <v>HathiTrust Record</v>
      </c>
      <c r="AS150" s="6" t="str">
        <f>HYPERLINK("https://creighton-primo.hosted.exlibrisgroup.com/primo-explore/search?tab=default_tab&amp;search_scope=EVERYTHING&amp;vid=01CRU&amp;lang=en_US&amp;offset=0&amp;query=any,contains,991002942079702656","Catalog Record")</f>
        <v>Catalog Record</v>
      </c>
      <c r="AT150" s="6" t="str">
        <f>HYPERLINK("http://www.worldcat.org/oclc/535467","WorldCat Record")</f>
        <v>WorldCat Record</v>
      </c>
      <c r="AU150" s="3" t="s">
        <v>1740</v>
      </c>
      <c r="AV150" s="3" t="s">
        <v>1741</v>
      </c>
      <c r="AW150" s="3" t="s">
        <v>1742</v>
      </c>
      <c r="AX150" s="3" t="s">
        <v>1742</v>
      </c>
      <c r="AY150" s="3" t="s">
        <v>1743</v>
      </c>
      <c r="AZ150" s="3" t="s">
        <v>73</v>
      </c>
      <c r="BC150" s="3" t="s">
        <v>1744</v>
      </c>
      <c r="BD150" s="3" t="s">
        <v>1745</v>
      </c>
    </row>
    <row r="151" spans="1:56" ht="31.5" customHeight="1" x14ac:dyDescent="0.25">
      <c r="A151" s="7" t="s">
        <v>58</v>
      </c>
      <c r="B151" s="2" t="s">
        <v>1746</v>
      </c>
      <c r="C151" s="2" t="s">
        <v>1747</v>
      </c>
      <c r="D151" s="2" t="s">
        <v>1748</v>
      </c>
      <c r="F151" s="3" t="s">
        <v>58</v>
      </c>
      <c r="G151" s="3" t="s">
        <v>59</v>
      </c>
      <c r="H151" s="3" t="s">
        <v>58</v>
      </c>
      <c r="I151" s="3" t="s">
        <v>58</v>
      </c>
      <c r="J151" s="3" t="s">
        <v>60</v>
      </c>
      <c r="K151" s="2" t="s">
        <v>1384</v>
      </c>
      <c r="L151" s="2" t="s">
        <v>1749</v>
      </c>
      <c r="M151" s="3" t="s">
        <v>159</v>
      </c>
      <c r="O151" s="3" t="s">
        <v>63</v>
      </c>
      <c r="P151" s="3" t="s">
        <v>1275</v>
      </c>
      <c r="R151" s="3" t="s">
        <v>65</v>
      </c>
      <c r="S151" s="4">
        <v>6</v>
      </c>
      <c r="T151" s="4">
        <v>6</v>
      </c>
      <c r="U151" s="5" t="s">
        <v>1750</v>
      </c>
      <c r="V151" s="5" t="s">
        <v>1750</v>
      </c>
      <c r="W151" s="5" t="s">
        <v>1751</v>
      </c>
      <c r="X151" s="5" t="s">
        <v>1751</v>
      </c>
      <c r="Y151" s="4">
        <v>412</v>
      </c>
      <c r="Z151" s="4">
        <v>342</v>
      </c>
      <c r="AA151" s="4">
        <v>347</v>
      </c>
      <c r="AB151" s="4">
        <v>3</v>
      </c>
      <c r="AC151" s="4">
        <v>3</v>
      </c>
      <c r="AD151" s="4">
        <v>18</v>
      </c>
      <c r="AE151" s="4">
        <v>18</v>
      </c>
      <c r="AF151" s="4">
        <v>6</v>
      </c>
      <c r="AG151" s="4">
        <v>6</v>
      </c>
      <c r="AH151" s="4">
        <v>5</v>
      </c>
      <c r="AI151" s="4">
        <v>5</v>
      </c>
      <c r="AJ151" s="4">
        <v>10</v>
      </c>
      <c r="AK151" s="4">
        <v>10</v>
      </c>
      <c r="AL151" s="4">
        <v>2</v>
      </c>
      <c r="AM151" s="4">
        <v>2</v>
      </c>
      <c r="AN151" s="4">
        <v>0</v>
      </c>
      <c r="AO151" s="4">
        <v>0</v>
      </c>
      <c r="AP151" s="3" t="s">
        <v>58</v>
      </c>
      <c r="AQ151" s="3" t="s">
        <v>58</v>
      </c>
      <c r="AS151" s="6" t="str">
        <f>HYPERLINK("https://creighton-primo.hosted.exlibrisgroup.com/primo-explore/search?tab=default_tab&amp;search_scope=EVERYTHING&amp;vid=01CRU&amp;lang=en_US&amp;offset=0&amp;query=any,contains,991000139859702656","Catalog Record")</f>
        <v>Catalog Record</v>
      </c>
      <c r="AT151" s="6" t="str">
        <f>HYPERLINK("http://www.worldcat.org/oclc/9154311","WorldCat Record")</f>
        <v>WorldCat Record</v>
      </c>
      <c r="AU151" s="3" t="s">
        <v>1752</v>
      </c>
      <c r="AV151" s="3" t="s">
        <v>1753</v>
      </c>
      <c r="AW151" s="3" t="s">
        <v>1754</v>
      </c>
      <c r="AX151" s="3" t="s">
        <v>1754</v>
      </c>
      <c r="AY151" s="3" t="s">
        <v>1755</v>
      </c>
      <c r="AZ151" s="3" t="s">
        <v>73</v>
      </c>
      <c r="BB151" s="3" t="s">
        <v>1756</v>
      </c>
      <c r="BC151" s="3" t="s">
        <v>1757</v>
      </c>
      <c r="BD151" s="3" t="s">
        <v>1758</v>
      </c>
    </row>
    <row r="152" spans="1:56" ht="31.5" customHeight="1" x14ac:dyDescent="0.25">
      <c r="A152" s="7" t="s">
        <v>58</v>
      </c>
      <c r="B152" s="2" t="s">
        <v>1759</v>
      </c>
      <c r="C152" s="2" t="s">
        <v>1760</v>
      </c>
      <c r="D152" s="2" t="s">
        <v>1761</v>
      </c>
      <c r="F152" s="3" t="s">
        <v>58</v>
      </c>
      <c r="G152" s="3" t="s">
        <v>59</v>
      </c>
      <c r="H152" s="3" t="s">
        <v>58</v>
      </c>
      <c r="I152" s="3" t="s">
        <v>58</v>
      </c>
      <c r="J152" s="3" t="s">
        <v>60</v>
      </c>
      <c r="K152" s="2" t="s">
        <v>1762</v>
      </c>
      <c r="L152" s="2" t="s">
        <v>1763</v>
      </c>
      <c r="M152" s="3" t="s">
        <v>1412</v>
      </c>
      <c r="O152" s="3" t="s">
        <v>63</v>
      </c>
      <c r="P152" s="3" t="s">
        <v>444</v>
      </c>
      <c r="R152" s="3" t="s">
        <v>65</v>
      </c>
      <c r="S152" s="4">
        <v>9</v>
      </c>
      <c r="T152" s="4">
        <v>9</v>
      </c>
      <c r="U152" s="5" t="s">
        <v>1764</v>
      </c>
      <c r="V152" s="5" t="s">
        <v>1764</v>
      </c>
      <c r="W152" s="5" t="s">
        <v>317</v>
      </c>
      <c r="X152" s="5" t="s">
        <v>317</v>
      </c>
      <c r="Y152" s="4">
        <v>728</v>
      </c>
      <c r="Z152" s="4">
        <v>640</v>
      </c>
      <c r="AA152" s="4">
        <v>642</v>
      </c>
      <c r="AB152" s="4">
        <v>7</v>
      </c>
      <c r="AC152" s="4">
        <v>7</v>
      </c>
      <c r="AD152" s="4">
        <v>33</v>
      </c>
      <c r="AE152" s="4">
        <v>33</v>
      </c>
      <c r="AF152" s="4">
        <v>11</v>
      </c>
      <c r="AG152" s="4">
        <v>11</v>
      </c>
      <c r="AH152" s="4">
        <v>6</v>
      </c>
      <c r="AI152" s="4">
        <v>6</v>
      </c>
      <c r="AJ152" s="4">
        <v>16</v>
      </c>
      <c r="AK152" s="4">
        <v>16</v>
      </c>
      <c r="AL152" s="4">
        <v>6</v>
      </c>
      <c r="AM152" s="4">
        <v>6</v>
      </c>
      <c r="AN152" s="4">
        <v>0</v>
      </c>
      <c r="AO152" s="4">
        <v>0</v>
      </c>
      <c r="AP152" s="3" t="s">
        <v>58</v>
      </c>
      <c r="AQ152" s="3" t="s">
        <v>68</v>
      </c>
      <c r="AR152" s="6" t="str">
        <f>HYPERLINK("http://catalog.hathitrust.org/Record/001475738","HathiTrust Record")</f>
        <v>HathiTrust Record</v>
      </c>
      <c r="AS152" s="6" t="str">
        <f>HYPERLINK("https://creighton-primo.hosted.exlibrisgroup.com/primo-explore/search?tab=default_tab&amp;search_scope=EVERYTHING&amp;vid=01CRU&amp;lang=en_US&amp;offset=0&amp;query=any,contains,991002978359702656","Catalog Record")</f>
        <v>Catalog Record</v>
      </c>
      <c r="AT152" s="6" t="str">
        <f>HYPERLINK("http://www.worldcat.org/oclc/553340","WorldCat Record")</f>
        <v>WorldCat Record</v>
      </c>
      <c r="AU152" s="3" t="s">
        <v>1765</v>
      </c>
      <c r="AV152" s="3" t="s">
        <v>1766</v>
      </c>
      <c r="AW152" s="3" t="s">
        <v>1767</v>
      </c>
      <c r="AX152" s="3" t="s">
        <v>1767</v>
      </c>
      <c r="AY152" s="3" t="s">
        <v>1768</v>
      </c>
      <c r="AZ152" s="3" t="s">
        <v>73</v>
      </c>
      <c r="BC152" s="3" t="s">
        <v>1769</v>
      </c>
      <c r="BD152" s="3" t="s">
        <v>1770</v>
      </c>
    </row>
    <row r="153" spans="1:56" ht="31.5" customHeight="1" x14ac:dyDescent="0.25">
      <c r="A153" s="7" t="s">
        <v>58</v>
      </c>
      <c r="B153" s="2" t="s">
        <v>1771</v>
      </c>
      <c r="C153" s="2" t="s">
        <v>1772</v>
      </c>
      <c r="D153" s="2" t="s">
        <v>1773</v>
      </c>
      <c r="F153" s="3" t="s">
        <v>58</v>
      </c>
      <c r="G153" s="3" t="s">
        <v>59</v>
      </c>
      <c r="H153" s="3" t="s">
        <v>58</v>
      </c>
      <c r="I153" s="3" t="s">
        <v>58</v>
      </c>
      <c r="J153" s="3" t="s">
        <v>60</v>
      </c>
      <c r="K153" s="2" t="s">
        <v>793</v>
      </c>
      <c r="L153" s="2" t="s">
        <v>1774</v>
      </c>
      <c r="M153" s="3" t="s">
        <v>1775</v>
      </c>
      <c r="O153" s="3" t="s">
        <v>63</v>
      </c>
      <c r="P153" s="3" t="s">
        <v>796</v>
      </c>
      <c r="R153" s="3" t="s">
        <v>65</v>
      </c>
      <c r="S153" s="4">
        <v>10</v>
      </c>
      <c r="T153" s="4">
        <v>10</v>
      </c>
      <c r="U153" s="5" t="s">
        <v>797</v>
      </c>
      <c r="V153" s="5" t="s">
        <v>797</v>
      </c>
      <c r="W153" s="5" t="s">
        <v>1776</v>
      </c>
      <c r="X153" s="5" t="s">
        <v>1776</v>
      </c>
      <c r="Y153" s="4">
        <v>171</v>
      </c>
      <c r="Z153" s="4">
        <v>164</v>
      </c>
      <c r="AA153" s="4">
        <v>275</v>
      </c>
      <c r="AB153" s="4">
        <v>2</v>
      </c>
      <c r="AC153" s="4">
        <v>4</v>
      </c>
      <c r="AD153" s="4">
        <v>3</v>
      </c>
      <c r="AE153" s="4">
        <v>11</v>
      </c>
      <c r="AF153" s="4">
        <v>0</v>
      </c>
      <c r="AG153" s="4">
        <v>3</v>
      </c>
      <c r="AH153" s="4">
        <v>1</v>
      </c>
      <c r="AI153" s="4">
        <v>2</v>
      </c>
      <c r="AJ153" s="4">
        <v>1</v>
      </c>
      <c r="AK153" s="4">
        <v>4</v>
      </c>
      <c r="AL153" s="4">
        <v>1</v>
      </c>
      <c r="AM153" s="4">
        <v>3</v>
      </c>
      <c r="AN153" s="4">
        <v>0</v>
      </c>
      <c r="AO153" s="4">
        <v>1</v>
      </c>
      <c r="AP153" s="3" t="s">
        <v>68</v>
      </c>
      <c r="AQ153" s="3" t="s">
        <v>58</v>
      </c>
      <c r="AR153" s="6" t="str">
        <f>HYPERLINK("http://catalog.hathitrust.org/Record/000158149","HathiTrust Record")</f>
        <v>HathiTrust Record</v>
      </c>
      <c r="AS153" s="6" t="str">
        <f>HYPERLINK("https://creighton-primo.hosted.exlibrisgroup.com/primo-explore/search?tab=default_tab&amp;search_scope=EVERYTHING&amp;vid=01CRU&amp;lang=en_US&amp;offset=0&amp;query=any,contains,991004263159702656","Catalog Record")</f>
        <v>Catalog Record</v>
      </c>
      <c r="AT153" s="6" t="str">
        <f>HYPERLINK("http://www.worldcat.org/oclc/2855069","WorldCat Record")</f>
        <v>WorldCat Record</v>
      </c>
      <c r="AU153" s="3" t="s">
        <v>1777</v>
      </c>
      <c r="AV153" s="3" t="s">
        <v>1778</v>
      </c>
      <c r="AW153" s="3" t="s">
        <v>1779</v>
      </c>
      <c r="AX153" s="3" t="s">
        <v>1779</v>
      </c>
      <c r="AY153" s="3" t="s">
        <v>1780</v>
      </c>
      <c r="AZ153" s="3" t="s">
        <v>73</v>
      </c>
      <c r="BC153" s="3" t="s">
        <v>1781</v>
      </c>
      <c r="BD153" s="3" t="s">
        <v>1782</v>
      </c>
    </row>
    <row r="154" spans="1:56" ht="31.5" customHeight="1" x14ac:dyDescent="0.25">
      <c r="A154" s="7" t="s">
        <v>58</v>
      </c>
      <c r="B154" s="2" t="s">
        <v>1783</v>
      </c>
      <c r="C154" s="2" t="s">
        <v>1784</v>
      </c>
      <c r="D154" s="2" t="s">
        <v>1785</v>
      </c>
      <c r="F154" s="3" t="s">
        <v>58</v>
      </c>
      <c r="G154" s="3" t="s">
        <v>59</v>
      </c>
      <c r="H154" s="3" t="s">
        <v>58</v>
      </c>
      <c r="I154" s="3" t="s">
        <v>58</v>
      </c>
      <c r="J154" s="3" t="s">
        <v>60</v>
      </c>
      <c r="K154" s="2" t="s">
        <v>1786</v>
      </c>
      <c r="L154" s="2" t="s">
        <v>1787</v>
      </c>
      <c r="M154" s="3" t="s">
        <v>1788</v>
      </c>
      <c r="O154" s="3" t="s">
        <v>63</v>
      </c>
      <c r="P154" s="3" t="s">
        <v>1789</v>
      </c>
      <c r="Q154" s="2" t="s">
        <v>1790</v>
      </c>
      <c r="R154" s="3" t="s">
        <v>65</v>
      </c>
      <c r="S154" s="4">
        <v>6</v>
      </c>
      <c r="T154" s="4">
        <v>6</v>
      </c>
      <c r="U154" s="5" t="s">
        <v>1791</v>
      </c>
      <c r="V154" s="5" t="s">
        <v>1791</v>
      </c>
      <c r="W154" s="5" t="s">
        <v>1792</v>
      </c>
      <c r="X154" s="5" t="s">
        <v>1792</v>
      </c>
      <c r="Y154" s="4">
        <v>943</v>
      </c>
      <c r="Z154" s="4">
        <v>852</v>
      </c>
      <c r="AA154" s="4">
        <v>865</v>
      </c>
      <c r="AB154" s="4">
        <v>7</v>
      </c>
      <c r="AC154" s="4">
        <v>7</v>
      </c>
      <c r="AD154" s="4">
        <v>23</v>
      </c>
      <c r="AE154" s="4">
        <v>23</v>
      </c>
      <c r="AF154" s="4">
        <v>7</v>
      </c>
      <c r="AG154" s="4">
        <v>7</v>
      </c>
      <c r="AH154" s="4">
        <v>4</v>
      </c>
      <c r="AI154" s="4">
        <v>4</v>
      </c>
      <c r="AJ154" s="4">
        <v>10</v>
      </c>
      <c r="AK154" s="4">
        <v>10</v>
      </c>
      <c r="AL154" s="4">
        <v>5</v>
      </c>
      <c r="AM154" s="4">
        <v>5</v>
      </c>
      <c r="AN154" s="4">
        <v>0</v>
      </c>
      <c r="AO154" s="4">
        <v>0</v>
      </c>
      <c r="AP154" s="3" t="s">
        <v>58</v>
      </c>
      <c r="AQ154" s="3" t="s">
        <v>68</v>
      </c>
      <c r="AR154" s="6" t="str">
        <f>HYPERLINK("http://catalog.hathitrust.org/Record/001476573","HathiTrust Record")</f>
        <v>HathiTrust Record</v>
      </c>
      <c r="AS154" s="6" t="str">
        <f>HYPERLINK("https://creighton-primo.hosted.exlibrisgroup.com/primo-explore/search?tab=default_tab&amp;search_scope=EVERYTHING&amp;vid=01CRU&amp;lang=en_US&amp;offset=0&amp;query=any,contains,991001400139702656","Catalog Record")</f>
        <v>Catalog Record</v>
      </c>
      <c r="AT154" s="6" t="str">
        <f>HYPERLINK("http://www.worldcat.org/oclc/229078","WorldCat Record")</f>
        <v>WorldCat Record</v>
      </c>
      <c r="AU154" s="3" t="s">
        <v>1793</v>
      </c>
      <c r="AV154" s="3" t="s">
        <v>1794</v>
      </c>
      <c r="AW154" s="3" t="s">
        <v>1795</v>
      </c>
      <c r="AX154" s="3" t="s">
        <v>1795</v>
      </c>
      <c r="AY154" s="3" t="s">
        <v>1796</v>
      </c>
      <c r="AZ154" s="3" t="s">
        <v>73</v>
      </c>
      <c r="BC154" s="3" t="s">
        <v>1797</v>
      </c>
      <c r="BD154" s="3" t="s">
        <v>1798</v>
      </c>
    </row>
    <row r="155" spans="1:56" ht="31.5" customHeight="1" x14ac:dyDescent="0.25">
      <c r="A155" s="7" t="s">
        <v>58</v>
      </c>
      <c r="B155" s="2" t="s">
        <v>1799</v>
      </c>
      <c r="C155" s="2" t="s">
        <v>1800</v>
      </c>
      <c r="D155" s="2" t="s">
        <v>1801</v>
      </c>
      <c r="F155" s="3" t="s">
        <v>58</v>
      </c>
      <c r="G155" s="3" t="s">
        <v>59</v>
      </c>
      <c r="H155" s="3" t="s">
        <v>68</v>
      </c>
      <c r="I155" s="3" t="s">
        <v>58</v>
      </c>
      <c r="J155" s="3" t="s">
        <v>60</v>
      </c>
      <c r="K155" s="2" t="s">
        <v>1802</v>
      </c>
      <c r="L155" s="2" t="s">
        <v>1803</v>
      </c>
      <c r="M155" s="3" t="s">
        <v>1804</v>
      </c>
      <c r="O155" s="3" t="s">
        <v>63</v>
      </c>
      <c r="P155" s="3" t="s">
        <v>64</v>
      </c>
      <c r="R155" s="3" t="s">
        <v>65</v>
      </c>
      <c r="S155" s="4">
        <v>10</v>
      </c>
      <c r="T155" s="4">
        <v>20</v>
      </c>
      <c r="U155" s="5" t="s">
        <v>1805</v>
      </c>
      <c r="V155" s="5" t="s">
        <v>1805</v>
      </c>
      <c r="W155" s="5" t="s">
        <v>1806</v>
      </c>
      <c r="X155" s="5" t="s">
        <v>1806</v>
      </c>
      <c r="Y155" s="4">
        <v>222</v>
      </c>
      <c r="Z155" s="4">
        <v>179</v>
      </c>
      <c r="AA155" s="4">
        <v>182</v>
      </c>
      <c r="AB155" s="4">
        <v>1</v>
      </c>
      <c r="AC155" s="4">
        <v>1</v>
      </c>
      <c r="AD155" s="4">
        <v>3</v>
      </c>
      <c r="AE155" s="4">
        <v>3</v>
      </c>
      <c r="AF155" s="4">
        <v>1</v>
      </c>
      <c r="AG155" s="4">
        <v>1</v>
      </c>
      <c r="AH155" s="4">
        <v>1</v>
      </c>
      <c r="AI155" s="4">
        <v>1</v>
      </c>
      <c r="AJ155" s="4">
        <v>2</v>
      </c>
      <c r="AK155" s="4">
        <v>2</v>
      </c>
      <c r="AL155" s="4">
        <v>0</v>
      </c>
      <c r="AM155" s="4">
        <v>0</v>
      </c>
      <c r="AN155" s="4">
        <v>0</v>
      </c>
      <c r="AO155" s="4">
        <v>0</v>
      </c>
      <c r="AP155" s="3" t="s">
        <v>58</v>
      </c>
      <c r="AQ155" s="3" t="s">
        <v>68</v>
      </c>
      <c r="AR155" s="6" t="str">
        <f>HYPERLINK("http://catalog.hathitrust.org/Record/001476576","HathiTrust Record")</f>
        <v>HathiTrust Record</v>
      </c>
      <c r="AS155" s="6" t="str">
        <f>HYPERLINK("https://creighton-primo.hosted.exlibrisgroup.com/primo-explore/search?tab=default_tab&amp;search_scope=EVERYTHING&amp;vid=01CRU&amp;lang=en_US&amp;offset=0&amp;query=any,contains,991002905049702656","Catalog Record")</f>
        <v>Catalog Record</v>
      </c>
      <c r="AT155" s="6" t="str">
        <f>HYPERLINK("http://www.worldcat.org/oclc/519059","WorldCat Record")</f>
        <v>WorldCat Record</v>
      </c>
      <c r="AU155" s="3" t="s">
        <v>1807</v>
      </c>
      <c r="AV155" s="3" t="s">
        <v>1808</v>
      </c>
      <c r="AW155" s="3" t="s">
        <v>1809</v>
      </c>
      <c r="AX155" s="3" t="s">
        <v>1809</v>
      </c>
      <c r="AY155" s="3" t="s">
        <v>1810</v>
      </c>
      <c r="AZ155" s="3" t="s">
        <v>73</v>
      </c>
      <c r="BC155" s="3" t="s">
        <v>1811</v>
      </c>
      <c r="BD155" s="3" t="s">
        <v>1812</v>
      </c>
    </row>
    <row r="156" spans="1:56" ht="31.5" customHeight="1" x14ac:dyDescent="0.25">
      <c r="A156" s="7" t="s">
        <v>58</v>
      </c>
      <c r="B156" s="2" t="s">
        <v>1799</v>
      </c>
      <c r="C156" s="2" t="s">
        <v>1800</v>
      </c>
      <c r="D156" s="2" t="s">
        <v>1801</v>
      </c>
      <c r="F156" s="3" t="s">
        <v>58</v>
      </c>
      <c r="G156" s="3" t="s">
        <v>59</v>
      </c>
      <c r="H156" s="3" t="s">
        <v>68</v>
      </c>
      <c r="I156" s="3" t="s">
        <v>58</v>
      </c>
      <c r="J156" s="3" t="s">
        <v>60</v>
      </c>
      <c r="K156" s="2" t="s">
        <v>1802</v>
      </c>
      <c r="L156" s="2" t="s">
        <v>1803</v>
      </c>
      <c r="M156" s="3" t="s">
        <v>1804</v>
      </c>
      <c r="O156" s="3" t="s">
        <v>63</v>
      </c>
      <c r="P156" s="3" t="s">
        <v>64</v>
      </c>
      <c r="R156" s="3" t="s">
        <v>65</v>
      </c>
      <c r="S156" s="4">
        <v>10</v>
      </c>
      <c r="T156" s="4">
        <v>20</v>
      </c>
      <c r="U156" s="5" t="s">
        <v>1750</v>
      </c>
      <c r="V156" s="5" t="s">
        <v>1805</v>
      </c>
      <c r="W156" s="5" t="s">
        <v>1658</v>
      </c>
      <c r="X156" s="5" t="s">
        <v>1806</v>
      </c>
      <c r="Y156" s="4">
        <v>222</v>
      </c>
      <c r="Z156" s="4">
        <v>179</v>
      </c>
      <c r="AA156" s="4">
        <v>182</v>
      </c>
      <c r="AB156" s="4">
        <v>1</v>
      </c>
      <c r="AC156" s="4">
        <v>1</v>
      </c>
      <c r="AD156" s="4">
        <v>3</v>
      </c>
      <c r="AE156" s="4">
        <v>3</v>
      </c>
      <c r="AF156" s="4">
        <v>1</v>
      </c>
      <c r="AG156" s="4">
        <v>1</v>
      </c>
      <c r="AH156" s="4">
        <v>1</v>
      </c>
      <c r="AI156" s="4">
        <v>1</v>
      </c>
      <c r="AJ156" s="4">
        <v>2</v>
      </c>
      <c r="AK156" s="4">
        <v>2</v>
      </c>
      <c r="AL156" s="4">
        <v>0</v>
      </c>
      <c r="AM156" s="4">
        <v>0</v>
      </c>
      <c r="AN156" s="4">
        <v>0</v>
      </c>
      <c r="AO156" s="4">
        <v>0</v>
      </c>
      <c r="AP156" s="3" t="s">
        <v>58</v>
      </c>
      <c r="AQ156" s="3" t="s">
        <v>68</v>
      </c>
      <c r="AR156" s="6" t="str">
        <f>HYPERLINK("http://catalog.hathitrust.org/Record/001476576","HathiTrust Record")</f>
        <v>HathiTrust Record</v>
      </c>
      <c r="AS156" s="6" t="str">
        <f>HYPERLINK("https://creighton-primo.hosted.exlibrisgroup.com/primo-explore/search?tab=default_tab&amp;search_scope=EVERYTHING&amp;vid=01CRU&amp;lang=en_US&amp;offset=0&amp;query=any,contains,991002905049702656","Catalog Record")</f>
        <v>Catalog Record</v>
      </c>
      <c r="AT156" s="6" t="str">
        <f>HYPERLINK("http://www.worldcat.org/oclc/519059","WorldCat Record")</f>
        <v>WorldCat Record</v>
      </c>
      <c r="AU156" s="3" t="s">
        <v>1807</v>
      </c>
      <c r="AV156" s="3" t="s">
        <v>1808</v>
      </c>
      <c r="AW156" s="3" t="s">
        <v>1809</v>
      </c>
      <c r="AX156" s="3" t="s">
        <v>1809</v>
      </c>
      <c r="AY156" s="3" t="s">
        <v>1810</v>
      </c>
      <c r="AZ156" s="3" t="s">
        <v>73</v>
      </c>
      <c r="BC156" s="3" t="s">
        <v>1813</v>
      </c>
      <c r="BD156" s="3" t="s">
        <v>1814</v>
      </c>
    </row>
    <row r="157" spans="1:56" ht="31.5" customHeight="1" x14ac:dyDescent="0.25">
      <c r="A157" s="7" t="s">
        <v>58</v>
      </c>
      <c r="B157" s="2" t="s">
        <v>1815</v>
      </c>
      <c r="C157" s="2" t="s">
        <v>1816</v>
      </c>
      <c r="D157" s="2" t="s">
        <v>1817</v>
      </c>
      <c r="F157" s="3" t="s">
        <v>58</v>
      </c>
      <c r="G157" s="3" t="s">
        <v>59</v>
      </c>
      <c r="H157" s="3" t="s">
        <v>58</v>
      </c>
      <c r="I157" s="3" t="s">
        <v>58</v>
      </c>
      <c r="J157" s="3" t="s">
        <v>60</v>
      </c>
      <c r="K157" s="2" t="s">
        <v>1818</v>
      </c>
      <c r="L157" s="2" t="s">
        <v>1819</v>
      </c>
      <c r="M157" s="3" t="s">
        <v>1820</v>
      </c>
      <c r="O157" s="3" t="s">
        <v>63</v>
      </c>
      <c r="P157" s="3" t="s">
        <v>186</v>
      </c>
      <c r="R157" s="3" t="s">
        <v>65</v>
      </c>
      <c r="S157" s="4">
        <v>2</v>
      </c>
      <c r="T157" s="4">
        <v>2</v>
      </c>
      <c r="U157" s="5" t="s">
        <v>1805</v>
      </c>
      <c r="V157" s="5" t="s">
        <v>1805</v>
      </c>
      <c r="W157" s="5" t="s">
        <v>1821</v>
      </c>
      <c r="X157" s="5" t="s">
        <v>1821</v>
      </c>
      <c r="Y157" s="4">
        <v>64</v>
      </c>
      <c r="Z157" s="4">
        <v>51</v>
      </c>
      <c r="AA157" s="4">
        <v>64</v>
      </c>
      <c r="AB157" s="4">
        <v>1</v>
      </c>
      <c r="AC157" s="4">
        <v>1</v>
      </c>
      <c r="AD157" s="4">
        <v>0</v>
      </c>
      <c r="AE157" s="4">
        <v>0</v>
      </c>
      <c r="AF157" s="4">
        <v>0</v>
      </c>
      <c r="AG157" s="4">
        <v>0</v>
      </c>
      <c r="AH157" s="4">
        <v>0</v>
      </c>
      <c r="AI157" s="4">
        <v>0</v>
      </c>
      <c r="AJ157" s="4">
        <v>0</v>
      </c>
      <c r="AK157" s="4">
        <v>0</v>
      </c>
      <c r="AL157" s="4">
        <v>0</v>
      </c>
      <c r="AM157" s="4">
        <v>0</v>
      </c>
      <c r="AN157" s="4">
        <v>0</v>
      </c>
      <c r="AO157" s="4">
        <v>0</v>
      </c>
      <c r="AP157" s="3" t="s">
        <v>68</v>
      </c>
      <c r="AQ157" s="3" t="s">
        <v>58</v>
      </c>
      <c r="AR157" s="6" t="str">
        <f>HYPERLINK("http://catalog.hathitrust.org/Record/007156792","HathiTrust Record")</f>
        <v>HathiTrust Record</v>
      </c>
      <c r="AS157" s="6" t="str">
        <f>HYPERLINK("https://creighton-primo.hosted.exlibrisgroup.com/primo-explore/search?tab=default_tab&amp;search_scope=EVERYTHING&amp;vid=01CRU&amp;lang=en_US&amp;offset=0&amp;query=any,contains,991002929059702656","Catalog Record")</f>
        <v>Catalog Record</v>
      </c>
      <c r="AT157" s="6" t="str">
        <f>HYPERLINK("http://www.worldcat.org/oclc/530316","WorldCat Record")</f>
        <v>WorldCat Record</v>
      </c>
      <c r="AU157" s="3" t="s">
        <v>1822</v>
      </c>
      <c r="AV157" s="3" t="s">
        <v>1823</v>
      </c>
      <c r="AW157" s="3" t="s">
        <v>1824</v>
      </c>
      <c r="AX157" s="3" t="s">
        <v>1824</v>
      </c>
      <c r="AY157" s="3" t="s">
        <v>1825</v>
      </c>
      <c r="AZ157" s="3" t="s">
        <v>73</v>
      </c>
      <c r="BC157" s="3" t="s">
        <v>1826</v>
      </c>
      <c r="BD157" s="3" t="s">
        <v>1827</v>
      </c>
    </row>
    <row r="158" spans="1:56" ht="31.5" customHeight="1" x14ac:dyDescent="0.25">
      <c r="A158" s="7" t="s">
        <v>58</v>
      </c>
      <c r="B158" s="2" t="s">
        <v>1828</v>
      </c>
      <c r="C158" s="2" t="s">
        <v>1829</v>
      </c>
      <c r="D158" s="2" t="s">
        <v>1830</v>
      </c>
      <c r="F158" s="3" t="s">
        <v>58</v>
      </c>
      <c r="G158" s="3" t="s">
        <v>59</v>
      </c>
      <c r="H158" s="3" t="s">
        <v>58</v>
      </c>
      <c r="I158" s="3" t="s">
        <v>58</v>
      </c>
      <c r="J158" s="3" t="s">
        <v>60</v>
      </c>
      <c r="K158" s="2" t="s">
        <v>1831</v>
      </c>
      <c r="L158" s="2" t="s">
        <v>1832</v>
      </c>
      <c r="M158" s="3" t="s">
        <v>97</v>
      </c>
      <c r="O158" s="3" t="s">
        <v>63</v>
      </c>
      <c r="P158" s="3" t="s">
        <v>64</v>
      </c>
      <c r="R158" s="3" t="s">
        <v>65</v>
      </c>
      <c r="S158" s="4">
        <v>1</v>
      </c>
      <c r="T158" s="4">
        <v>1</v>
      </c>
      <c r="U158" s="5" t="s">
        <v>1833</v>
      </c>
      <c r="V158" s="5" t="s">
        <v>1833</v>
      </c>
      <c r="W158" s="5" t="s">
        <v>1834</v>
      </c>
      <c r="X158" s="5" t="s">
        <v>1834</v>
      </c>
      <c r="Y158" s="4">
        <v>861</v>
      </c>
      <c r="Z158" s="4">
        <v>768</v>
      </c>
      <c r="AA158" s="4">
        <v>786</v>
      </c>
      <c r="AB158" s="4">
        <v>5</v>
      </c>
      <c r="AC158" s="4">
        <v>5</v>
      </c>
      <c r="AD158" s="4">
        <v>25</v>
      </c>
      <c r="AE158" s="4">
        <v>25</v>
      </c>
      <c r="AF158" s="4">
        <v>8</v>
      </c>
      <c r="AG158" s="4">
        <v>8</v>
      </c>
      <c r="AH158" s="4">
        <v>7</v>
      </c>
      <c r="AI158" s="4">
        <v>7</v>
      </c>
      <c r="AJ158" s="4">
        <v>12</v>
      </c>
      <c r="AK158" s="4">
        <v>12</v>
      </c>
      <c r="AL158" s="4">
        <v>4</v>
      </c>
      <c r="AM158" s="4">
        <v>4</v>
      </c>
      <c r="AN158" s="4">
        <v>0</v>
      </c>
      <c r="AO158" s="4">
        <v>0</v>
      </c>
      <c r="AP158" s="3" t="s">
        <v>58</v>
      </c>
      <c r="AQ158" s="3" t="s">
        <v>68</v>
      </c>
      <c r="AR158" s="6" t="str">
        <f>HYPERLINK("http://catalog.hathitrust.org/Record/001293237","HathiTrust Record")</f>
        <v>HathiTrust Record</v>
      </c>
      <c r="AS158" s="6" t="str">
        <f>HYPERLINK("https://creighton-primo.hosted.exlibrisgroup.com/primo-explore/search?tab=default_tab&amp;search_scope=EVERYTHING&amp;vid=01CRU&amp;lang=en_US&amp;offset=0&amp;query=any,contains,991001387579702656","Catalog Record")</f>
        <v>Catalog Record</v>
      </c>
      <c r="AT158" s="6" t="str">
        <f>HYPERLINK("http://www.worldcat.org/oclc/18739464","WorldCat Record")</f>
        <v>WorldCat Record</v>
      </c>
      <c r="AU158" s="3" t="s">
        <v>1835</v>
      </c>
      <c r="AV158" s="3" t="s">
        <v>1836</v>
      </c>
      <c r="AW158" s="3" t="s">
        <v>1837</v>
      </c>
      <c r="AX158" s="3" t="s">
        <v>1837</v>
      </c>
      <c r="AY158" s="3" t="s">
        <v>1838</v>
      </c>
      <c r="AZ158" s="3" t="s">
        <v>73</v>
      </c>
      <c r="BB158" s="3" t="s">
        <v>1839</v>
      </c>
      <c r="BC158" s="3" t="s">
        <v>1840</v>
      </c>
      <c r="BD158" s="3" t="s">
        <v>1841</v>
      </c>
    </row>
    <row r="159" spans="1:56" ht="31.5" customHeight="1" x14ac:dyDescent="0.25">
      <c r="A159" s="7" t="s">
        <v>58</v>
      </c>
      <c r="B159" s="2" t="s">
        <v>1842</v>
      </c>
      <c r="C159" s="2" t="s">
        <v>1843</v>
      </c>
      <c r="D159" s="2" t="s">
        <v>1844</v>
      </c>
      <c r="F159" s="3" t="s">
        <v>58</v>
      </c>
      <c r="G159" s="3" t="s">
        <v>59</v>
      </c>
      <c r="H159" s="3" t="s">
        <v>58</v>
      </c>
      <c r="I159" s="3" t="s">
        <v>58</v>
      </c>
      <c r="J159" s="3" t="s">
        <v>60</v>
      </c>
      <c r="K159" s="2" t="s">
        <v>1845</v>
      </c>
      <c r="L159" s="2" t="s">
        <v>1846</v>
      </c>
      <c r="M159" s="3" t="s">
        <v>113</v>
      </c>
      <c r="O159" s="3" t="s">
        <v>63</v>
      </c>
      <c r="P159" s="3" t="s">
        <v>64</v>
      </c>
      <c r="Q159" s="2" t="s">
        <v>1847</v>
      </c>
      <c r="R159" s="3" t="s">
        <v>65</v>
      </c>
      <c r="S159" s="4">
        <v>8</v>
      </c>
      <c r="T159" s="4">
        <v>8</v>
      </c>
      <c r="U159" s="5" t="s">
        <v>1848</v>
      </c>
      <c r="V159" s="5" t="s">
        <v>1848</v>
      </c>
      <c r="W159" s="5" t="s">
        <v>1849</v>
      </c>
      <c r="X159" s="5" t="s">
        <v>1849</v>
      </c>
      <c r="Y159" s="4">
        <v>428</v>
      </c>
      <c r="Z159" s="4">
        <v>363</v>
      </c>
      <c r="AA159" s="4">
        <v>1216</v>
      </c>
      <c r="AB159" s="4">
        <v>2</v>
      </c>
      <c r="AC159" s="4">
        <v>26</v>
      </c>
      <c r="AD159" s="4">
        <v>0</v>
      </c>
      <c r="AE159" s="4">
        <v>25</v>
      </c>
      <c r="AF159" s="4">
        <v>0</v>
      </c>
      <c r="AG159" s="4">
        <v>7</v>
      </c>
      <c r="AH159" s="4">
        <v>0</v>
      </c>
      <c r="AI159" s="4">
        <v>4</v>
      </c>
      <c r="AJ159" s="4">
        <v>0</v>
      </c>
      <c r="AK159" s="4">
        <v>6</v>
      </c>
      <c r="AL159" s="4">
        <v>0</v>
      </c>
      <c r="AM159" s="4">
        <v>12</v>
      </c>
      <c r="AN159" s="4">
        <v>0</v>
      </c>
      <c r="AO159" s="4">
        <v>0</v>
      </c>
      <c r="AP159" s="3" t="s">
        <v>58</v>
      </c>
      <c r="AQ159" s="3" t="s">
        <v>58</v>
      </c>
      <c r="AS159" s="6" t="str">
        <f>HYPERLINK("https://creighton-primo.hosted.exlibrisgroup.com/primo-explore/search?tab=default_tab&amp;search_scope=EVERYTHING&amp;vid=01CRU&amp;lang=en_US&amp;offset=0&amp;query=any,contains,991003907419702656","Catalog Record")</f>
        <v>Catalog Record</v>
      </c>
      <c r="AT159" s="6" t="str">
        <f>HYPERLINK("http://www.worldcat.org/oclc/50545002","WorldCat Record")</f>
        <v>WorldCat Record</v>
      </c>
      <c r="AU159" s="3" t="s">
        <v>1850</v>
      </c>
      <c r="AV159" s="3" t="s">
        <v>1851</v>
      </c>
      <c r="AW159" s="3" t="s">
        <v>1852</v>
      </c>
      <c r="AX159" s="3" t="s">
        <v>1852</v>
      </c>
      <c r="AY159" s="3" t="s">
        <v>1853</v>
      </c>
      <c r="AZ159" s="3" t="s">
        <v>73</v>
      </c>
      <c r="BB159" s="3" t="s">
        <v>1854</v>
      </c>
      <c r="BC159" s="3" t="s">
        <v>1855</v>
      </c>
      <c r="BD159" s="3" t="s">
        <v>1856</v>
      </c>
    </row>
    <row r="160" spans="1:56" ht="31.5" customHeight="1" x14ac:dyDescent="0.25">
      <c r="A160" s="7" t="s">
        <v>58</v>
      </c>
      <c r="B160" s="2" t="s">
        <v>1857</v>
      </c>
      <c r="C160" s="2" t="s">
        <v>1858</v>
      </c>
      <c r="D160" s="2" t="s">
        <v>1859</v>
      </c>
      <c r="F160" s="3" t="s">
        <v>58</v>
      </c>
      <c r="G160" s="3" t="s">
        <v>59</v>
      </c>
      <c r="H160" s="3" t="s">
        <v>58</v>
      </c>
      <c r="I160" s="3" t="s">
        <v>58</v>
      </c>
      <c r="J160" s="3" t="s">
        <v>60</v>
      </c>
      <c r="K160" s="2" t="s">
        <v>1860</v>
      </c>
      <c r="L160" s="2" t="s">
        <v>1861</v>
      </c>
      <c r="M160" s="3" t="s">
        <v>244</v>
      </c>
      <c r="O160" s="3" t="s">
        <v>63</v>
      </c>
      <c r="P160" s="3" t="s">
        <v>64</v>
      </c>
      <c r="R160" s="3" t="s">
        <v>65</v>
      </c>
      <c r="S160" s="4">
        <v>2</v>
      </c>
      <c r="T160" s="4">
        <v>2</v>
      </c>
      <c r="U160" s="5" t="s">
        <v>231</v>
      </c>
      <c r="V160" s="5" t="s">
        <v>231</v>
      </c>
      <c r="W160" s="5" t="s">
        <v>204</v>
      </c>
      <c r="X160" s="5" t="s">
        <v>204</v>
      </c>
      <c r="Y160" s="4">
        <v>524</v>
      </c>
      <c r="Z160" s="4">
        <v>471</v>
      </c>
      <c r="AA160" s="4">
        <v>578</v>
      </c>
      <c r="AB160" s="4">
        <v>3</v>
      </c>
      <c r="AC160" s="4">
        <v>3</v>
      </c>
      <c r="AD160" s="4">
        <v>12</v>
      </c>
      <c r="AE160" s="4">
        <v>14</v>
      </c>
      <c r="AF160" s="4">
        <v>3</v>
      </c>
      <c r="AG160" s="4">
        <v>4</v>
      </c>
      <c r="AH160" s="4">
        <v>4</v>
      </c>
      <c r="AI160" s="4">
        <v>4</v>
      </c>
      <c r="AJ160" s="4">
        <v>5</v>
      </c>
      <c r="AK160" s="4">
        <v>6</v>
      </c>
      <c r="AL160" s="4">
        <v>2</v>
      </c>
      <c r="AM160" s="4">
        <v>2</v>
      </c>
      <c r="AN160" s="4">
        <v>0</v>
      </c>
      <c r="AO160" s="4">
        <v>0</v>
      </c>
      <c r="AP160" s="3" t="s">
        <v>58</v>
      </c>
      <c r="AQ160" s="3" t="s">
        <v>68</v>
      </c>
      <c r="AR160" s="6" t="str">
        <f>HYPERLINK("http://catalog.hathitrust.org/Record/000181217","HathiTrust Record")</f>
        <v>HathiTrust Record</v>
      </c>
      <c r="AS160" s="6" t="str">
        <f>HYPERLINK("https://creighton-primo.hosted.exlibrisgroup.com/primo-explore/search?tab=default_tab&amp;search_scope=EVERYTHING&amp;vid=01CRU&amp;lang=en_US&amp;offset=0&amp;query=any,contains,991005098599702656","Catalog Record")</f>
        <v>Catalog Record</v>
      </c>
      <c r="AT160" s="6" t="str">
        <f>HYPERLINK("http://www.worldcat.org/oclc/7278089","WorldCat Record")</f>
        <v>WorldCat Record</v>
      </c>
      <c r="AU160" s="3" t="s">
        <v>1862</v>
      </c>
      <c r="AV160" s="3" t="s">
        <v>1863</v>
      </c>
      <c r="AW160" s="3" t="s">
        <v>1864</v>
      </c>
      <c r="AX160" s="3" t="s">
        <v>1864</v>
      </c>
      <c r="AY160" s="3" t="s">
        <v>1865</v>
      </c>
      <c r="AZ160" s="3" t="s">
        <v>73</v>
      </c>
      <c r="BB160" s="3" t="s">
        <v>1866</v>
      </c>
      <c r="BC160" s="3" t="s">
        <v>1867</v>
      </c>
      <c r="BD160" s="3" t="s">
        <v>1868</v>
      </c>
    </row>
    <row r="161" spans="1:56" ht="31.5" customHeight="1" x14ac:dyDescent="0.25">
      <c r="A161" s="7" t="s">
        <v>58</v>
      </c>
      <c r="B161" s="2" t="s">
        <v>1869</v>
      </c>
      <c r="C161" s="2" t="s">
        <v>1870</v>
      </c>
      <c r="D161" s="2" t="s">
        <v>1871</v>
      </c>
      <c r="F161" s="3" t="s">
        <v>58</v>
      </c>
      <c r="G161" s="3" t="s">
        <v>59</v>
      </c>
      <c r="H161" s="3" t="s">
        <v>58</v>
      </c>
      <c r="I161" s="3" t="s">
        <v>58</v>
      </c>
      <c r="J161" s="3" t="s">
        <v>60</v>
      </c>
      <c r="K161" s="2" t="s">
        <v>441</v>
      </c>
      <c r="L161" s="2" t="s">
        <v>1872</v>
      </c>
      <c r="M161" s="3" t="s">
        <v>565</v>
      </c>
      <c r="O161" s="3" t="s">
        <v>63</v>
      </c>
      <c r="P161" s="3" t="s">
        <v>444</v>
      </c>
      <c r="R161" s="3" t="s">
        <v>65</v>
      </c>
      <c r="S161" s="4">
        <v>7</v>
      </c>
      <c r="T161" s="4">
        <v>7</v>
      </c>
      <c r="U161" s="5" t="s">
        <v>1873</v>
      </c>
      <c r="V161" s="5" t="s">
        <v>1873</v>
      </c>
      <c r="W161" s="5" t="s">
        <v>204</v>
      </c>
      <c r="X161" s="5" t="s">
        <v>204</v>
      </c>
      <c r="Y161" s="4">
        <v>485</v>
      </c>
      <c r="Z161" s="4">
        <v>352</v>
      </c>
      <c r="AA161" s="4">
        <v>354</v>
      </c>
      <c r="AB161" s="4">
        <v>1</v>
      </c>
      <c r="AC161" s="4">
        <v>1</v>
      </c>
      <c r="AD161" s="4">
        <v>10</v>
      </c>
      <c r="AE161" s="4">
        <v>10</v>
      </c>
      <c r="AF161" s="4">
        <v>4</v>
      </c>
      <c r="AG161" s="4">
        <v>4</v>
      </c>
      <c r="AH161" s="4">
        <v>3</v>
      </c>
      <c r="AI161" s="4">
        <v>3</v>
      </c>
      <c r="AJ161" s="4">
        <v>7</v>
      </c>
      <c r="AK161" s="4">
        <v>7</v>
      </c>
      <c r="AL161" s="4">
        <v>0</v>
      </c>
      <c r="AM161" s="4">
        <v>0</v>
      </c>
      <c r="AN161" s="4">
        <v>0</v>
      </c>
      <c r="AO161" s="4">
        <v>0</v>
      </c>
      <c r="AP161" s="3" t="s">
        <v>58</v>
      </c>
      <c r="AQ161" s="3" t="s">
        <v>58</v>
      </c>
      <c r="AS161" s="6" t="str">
        <f>HYPERLINK("https://creighton-primo.hosted.exlibrisgroup.com/primo-explore/search?tab=default_tab&amp;search_scope=EVERYTHING&amp;vid=01CRU&amp;lang=en_US&amp;offset=0&amp;query=any,contains,991004925859702656","Catalog Record")</f>
        <v>Catalog Record</v>
      </c>
      <c r="AT161" s="6" t="str">
        <f>HYPERLINK("http://www.worldcat.org/oclc/6085857","WorldCat Record")</f>
        <v>WorldCat Record</v>
      </c>
      <c r="AU161" s="3" t="s">
        <v>1874</v>
      </c>
      <c r="AV161" s="3" t="s">
        <v>1875</v>
      </c>
      <c r="AW161" s="3" t="s">
        <v>1876</v>
      </c>
      <c r="AX161" s="3" t="s">
        <v>1876</v>
      </c>
      <c r="AY161" s="3" t="s">
        <v>1877</v>
      </c>
      <c r="AZ161" s="3" t="s">
        <v>73</v>
      </c>
      <c r="BB161" s="3" t="s">
        <v>1878</v>
      </c>
      <c r="BC161" s="3" t="s">
        <v>1879</v>
      </c>
      <c r="BD161" s="3" t="s">
        <v>1880</v>
      </c>
    </row>
    <row r="162" spans="1:56" ht="31.5" customHeight="1" x14ac:dyDescent="0.25">
      <c r="A162" s="7" t="s">
        <v>58</v>
      </c>
      <c r="B162" s="2" t="s">
        <v>1881</v>
      </c>
      <c r="C162" s="2" t="s">
        <v>1882</v>
      </c>
      <c r="D162" s="2" t="s">
        <v>1883</v>
      </c>
      <c r="F162" s="3" t="s">
        <v>58</v>
      </c>
      <c r="G162" s="3" t="s">
        <v>59</v>
      </c>
      <c r="H162" s="3" t="s">
        <v>58</v>
      </c>
      <c r="I162" s="3" t="s">
        <v>58</v>
      </c>
      <c r="J162" s="3" t="s">
        <v>60</v>
      </c>
      <c r="K162" s="2" t="s">
        <v>1884</v>
      </c>
      <c r="L162" s="2" t="s">
        <v>243</v>
      </c>
      <c r="M162" s="3" t="s">
        <v>244</v>
      </c>
      <c r="O162" s="3" t="s">
        <v>63</v>
      </c>
      <c r="P162" s="3" t="s">
        <v>64</v>
      </c>
      <c r="R162" s="3" t="s">
        <v>65</v>
      </c>
      <c r="S162" s="4">
        <v>4</v>
      </c>
      <c r="T162" s="4">
        <v>4</v>
      </c>
      <c r="U162" s="5" t="s">
        <v>1885</v>
      </c>
      <c r="V162" s="5" t="s">
        <v>1885</v>
      </c>
      <c r="W162" s="5" t="s">
        <v>204</v>
      </c>
      <c r="X162" s="5" t="s">
        <v>204</v>
      </c>
      <c r="Y162" s="4">
        <v>143</v>
      </c>
      <c r="Z162" s="4">
        <v>104</v>
      </c>
      <c r="AA162" s="4">
        <v>249</v>
      </c>
      <c r="AB162" s="4">
        <v>1</v>
      </c>
      <c r="AC162" s="4">
        <v>2</v>
      </c>
      <c r="AD162" s="4">
        <v>1</v>
      </c>
      <c r="AE162" s="4">
        <v>6</v>
      </c>
      <c r="AF162" s="4">
        <v>1</v>
      </c>
      <c r="AG162" s="4">
        <v>2</v>
      </c>
      <c r="AH162" s="4">
        <v>0</v>
      </c>
      <c r="AI162" s="4">
        <v>2</v>
      </c>
      <c r="AJ162" s="4">
        <v>0</v>
      </c>
      <c r="AK162" s="4">
        <v>3</v>
      </c>
      <c r="AL162" s="4">
        <v>0</v>
      </c>
      <c r="AM162" s="4">
        <v>1</v>
      </c>
      <c r="AN162" s="4">
        <v>0</v>
      </c>
      <c r="AO162" s="4">
        <v>0</v>
      </c>
      <c r="AP162" s="3" t="s">
        <v>58</v>
      </c>
      <c r="AQ162" s="3" t="s">
        <v>68</v>
      </c>
      <c r="AR162" s="6" t="str">
        <f>HYPERLINK("http://catalog.hathitrust.org/Record/000180744","HathiTrust Record")</f>
        <v>HathiTrust Record</v>
      </c>
      <c r="AS162" s="6" t="str">
        <f>HYPERLINK("https://creighton-primo.hosted.exlibrisgroup.com/primo-explore/search?tab=default_tab&amp;search_scope=EVERYTHING&amp;vid=01CRU&amp;lang=en_US&amp;offset=0&amp;query=any,contains,991005036529702656","Catalog Record")</f>
        <v>Catalog Record</v>
      </c>
      <c r="AT162" s="6" t="str">
        <f>HYPERLINK("http://www.worldcat.org/oclc/6762067","WorldCat Record")</f>
        <v>WorldCat Record</v>
      </c>
      <c r="AU162" s="3" t="s">
        <v>1886</v>
      </c>
      <c r="AV162" s="3" t="s">
        <v>1887</v>
      </c>
      <c r="AW162" s="3" t="s">
        <v>1888</v>
      </c>
      <c r="AX162" s="3" t="s">
        <v>1888</v>
      </c>
      <c r="AY162" s="3" t="s">
        <v>1889</v>
      </c>
      <c r="AZ162" s="3" t="s">
        <v>73</v>
      </c>
      <c r="BB162" s="3" t="s">
        <v>1890</v>
      </c>
      <c r="BC162" s="3" t="s">
        <v>1891</v>
      </c>
      <c r="BD162" s="3" t="s">
        <v>1892</v>
      </c>
    </row>
    <row r="163" spans="1:56" ht="31.5" customHeight="1" x14ac:dyDescent="0.25">
      <c r="A163" s="7" t="s">
        <v>58</v>
      </c>
      <c r="B163" s="2" t="s">
        <v>1893</v>
      </c>
      <c r="C163" s="2" t="s">
        <v>1894</v>
      </c>
      <c r="D163" s="2" t="s">
        <v>1895</v>
      </c>
      <c r="F163" s="3" t="s">
        <v>58</v>
      </c>
      <c r="G163" s="3" t="s">
        <v>59</v>
      </c>
      <c r="H163" s="3" t="s">
        <v>58</v>
      </c>
      <c r="I163" s="3" t="s">
        <v>58</v>
      </c>
      <c r="J163" s="3" t="s">
        <v>60</v>
      </c>
      <c r="K163" s="2" t="s">
        <v>1896</v>
      </c>
      <c r="L163" s="2" t="s">
        <v>1897</v>
      </c>
      <c r="M163" s="3" t="s">
        <v>633</v>
      </c>
      <c r="O163" s="3" t="s">
        <v>63</v>
      </c>
      <c r="P163" s="3" t="s">
        <v>186</v>
      </c>
      <c r="Q163" s="2" t="s">
        <v>1898</v>
      </c>
      <c r="R163" s="3" t="s">
        <v>65</v>
      </c>
      <c r="S163" s="4">
        <v>1</v>
      </c>
      <c r="T163" s="4">
        <v>1</v>
      </c>
      <c r="U163" s="5" t="s">
        <v>1899</v>
      </c>
      <c r="V163" s="5" t="s">
        <v>1899</v>
      </c>
      <c r="W163" s="5" t="s">
        <v>1899</v>
      </c>
      <c r="X163" s="5" t="s">
        <v>1899</v>
      </c>
      <c r="Y163" s="4">
        <v>286</v>
      </c>
      <c r="Z163" s="4">
        <v>206</v>
      </c>
      <c r="AA163" s="4">
        <v>304</v>
      </c>
      <c r="AB163" s="4">
        <v>2</v>
      </c>
      <c r="AC163" s="4">
        <v>3</v>
      </c>
      <c r="AD163" s="4">
        <v>5</v>
      </c>
      <c r="AE163" s="4">
        <v>11</v>
      </c>
      <c r="AF163" s="4">
        <v>0</v>
      </c>
      <c r="AG163" s="4">
        <v>3</v>
      </c>
      <c r="AH163" s="4">
        <v>1</v>
      </c>
      <c r="AI163" s="4">
        <v>2</v>
      </c>
      <c r="AJ163" s="4">
        <v>4</v>
      </c>
      <c r="AK163" s="4">
        <v>8</v>
      </c>
      <c r="AL163" s="4">
        <v>1</v>
      </c>
      <c r="AM163" s="4">
        <v>2</v>
      </c>
      <c r="AN163" s="4">
        <v>0</v>
      </c>
      <c r="AO163" s="4">
        <v>0</v>
      </c>
      <c r="AP163" s="3" t="s">
        <v>58</v>
      </c>
      <c r="AQ163" s="3" t="s">
        <v>68</v>
      </c>
      <c r="AR163" s="6" t="str">
        <f>HYPERLINK("http://catalog.hathitrust.org/Record/003039818","HathiTrust Record")</f>
        <v>HathiTrust Record</v>
      </c>
      <c r="AS163" s="6" t="str">
        <f>HYPERLINK("https://creighton-primo.hosted.exlibrisgroup.com/primo-explore/search?tab=default_tab&amp;search_scope=EVERYTHING&amp;vid=01CRU&amp;lang=en_US&amp;offset=0&amp;query=any,contains,991005289939702656","Catalog Record")</f>
        <v>Catalog Record</v>
      </c>
      <c r="AT163" s="6" t="str">
        <f>HYPERLINK("http://www.worldcat.org/oclc/32201546","WorldCat Record")</f>
        <v>WorldCat Record</v>
      </c>
      <c r="AU163" s="3" t="s">
        <v>1900</v>
      </c>
      <c r="AV163" s="3" t="s">
        <v>1901</v>
      </c>
      <c r="AW163" s="3" t="s">
        <v>1902</v>
      </c>
      <c r="AX163" s="3" t="s">
        <v>1902</v>
      </c>
      <c r="AY163" s="3" t="s">
        <v>1903</v>
      </c>
      <c r="AZ163" s="3" t="s">
        <v>73</v>
      </c>
      <c r="BB163" s="3" t="s">
        <v>1904</v>
      </c>
      <c r="BC163" s="3" t="s">
        <v>1905</v>
      </c>
      <c r="BD163" s="3" t="s">
        <v>1906</v>
      </c>
    </row>
    <row r="164" spans="1:56" ht="31.5" customHeight="1" x14ac:dyDescent="0.25">
      <c r="A164" s="7" t="s">
        <v>58</v>
      </c>
      <c r="B164" s="2" t="s">
        <v>1907</v>
      </c>
      <c r="C164" s="2" t="s">
        <v>1908</v>
      </c>
      <c r="D164" s="2" t="s">
        <v>1909</v>
      </c>
      <c r="F164" s="3" t="s">
        <v>58</v>
      </c>
      <c r="G164" s="3" t="s">
        <v>59</v>
      </c>
      <c r="H164" s="3" t="s">
        <v>58</v>
      </c>
      <c r="I164" s="3" t="s">
        <v>58</v>
      </c>
      <c r="J164" s="3" t="s">
        <v>60</v>
      </c>
      <c r="K164" s="2" t="s">
        <v>1910</v>
      </c>
      <c r="L164" s="2" t="s">
        <v>1911</v>
      </c>
      <c r="M164" s="3" t="s">
        <v>1912</v>
      </c>
      <c r="O164" s="3" t="s">
        <v>63</v>
      </c>
      <c r="P164" s="3" t="s">
        <v>186</v>
      </c>
      <c r="Q164" s="2" t="s">
        <v>1913</v>
      </c>
      <c r="R164" s="3" t="s">
        <v>65</v>
      </c>
      <c r="S164" s="4">
        <v>1</v>
      </c>
      <c r="T164" s="4">
        <v>1</v>
      </c>
      <c r="U164" s="5" t="s">
        <v>1805</v>
      </c>
      <c r="V164" s="5" t="s">
        <v>1805</v>
      </c>
      <c r="W164" s="5" t="s">
        <v>204</v>
      </c>
      <c r="X164" s="5" t="s">
        <v>204</v>
      </c>
      <c r="Y164" s="4">
        <v>257</v>
      </c>
      <c r="Z164" s="4">
        <v>217</v>
      </c>
      <c r="AA164" s="4">
        <v>223</v>
      </c>
      <c r="AB164" s="4">
        <v>2</v>
      </c>
      <c r="AC164" s="4">
        <v>2</v>
      </c>
      <c r="AD164" s="4">
        <v>4</v>
      </c>
      <c r="AE164" s="4">
        <v>4</v>
      </c>
      <c r="AF164" s="4">
        <v>1</v>
      </c>
      <c r="AG164" s="4">
        <v>1</v>
      </c>
      <c r="AH164" s="4">
        <v>1</v>
      </c>
      <c r="AI164" s="4">
        <v>1</v>
      </c>
      <c r="AJ164" s="4">
        <v>3</v>
      </c>
      <c r="AK164" s="4">
        <v>3</v>
      </c>
      <c r="AL164" s="4">
        <v>1</v>
      </c>
      <c r="AM164" s="4">
        <v>1</v>
      </c>
      <c r="AN164" s="4">
        <v>0</v>
      </c>
      <c r="AO164" s="4">
        <v>0</v>
      </c>
      <c r="AP164" s="3" t="s">
        <v>58</v>
      </c>
      <c r="AQ164" s="3" t="s">
        <v>68</v>
      </c>
      <c r="AR164" s="6" t="str">
        <f>HYPERLINK("http://catalog.hathitrust.org/Record/000478516","HathiTrust Record")</f>
        <v>HathiTrust Record</v>
      </c>
      <c r="AS164" s="6" t="str">
        <f>HYPERLINK("https://creighton-primo.hosted.exlibrisgroup.com/primo-explore/search?tab=default_tab&amp;search_scope=EVERYTHING&amp;vid=01CRU&amp;lang=en_US&amp;offset=0&amp;query=any,contains,991000668949702656","Catalog Record")</f>
        <v>Catalog Record</v>
      </c>
      <c r="AT164" s="6" t="str">
        <f>HYPERLINK("http://www.worldcat.org/oclc/12312518","WorldCat Record")</f>
        <v>WorldCat Record</v>
      </c>
      <c r="AU164" s="3" t="s">
        <v>1914</v>
      </c>
      <c r="AV164" s="3" t="s">
        <v>1915</v>
      </c>
      <c r="AW164" s="3" t="s">
        <v>1916</v>
      </c>
      <c r="AX164" s="3" t="s">
        <v>1916</v>
      </c>
      <c r="AY164" s="3" t="s">
        <v>1917</v>
      </c>
      <c r="AZ164" s="3" t="s">
        <v>73</v>
      </c>
      <c r="BB164" s="3" t="s">
        <v>1918</v>
      </c>
      <c r="BC164" s="3" t="s">
        <v>1919</v>
      </c>
      <c r="BD164" s="3" t="s">
        <v>1920</v>
      </c>
    </row>
    <row r="165" spans="1:56" ht="31.5" customHeight="1" x14ac:dyDescent="0.25">
      <c r="A165" s="7" t="s">
        <v>58</v>
      </c>
      <c r="B165" s="2" t="s">
        <v>1921</v>
      </c>
      <c r="C165" s="2" t="s">
        <v>1922</v>
      </c>
      <c r="D165" s="2" t="s">
        <v>1923</v>
      </c>
      <c r="F165" s="3" t="s">
        <v>58</v>
      </c>
      <c r="G165" s="3" t="s">
        <v>59</v>
      </c>
      <c r="H165" s="3" t="s">
        <v>58</v>
      </c>
      <c r="I165" s="3" t="s">
        <v>58</v>
      </c>
      <c r="J165" s="3" t="s">
        <v>60</v>
      </c>
      <c r="K165" s="2" t="s">
        <v>1924</v>
      </c>
      <c r="L165" s="2" t="s">
        <v>1925</v>
      </c>
      <c r="M165" s="3" t="s">
        <v>62</v>
      </c>
      <c r="O165" s="3" t="s">
        <v>63</v>
      </c>
      <c r="P165" s="3" t="s">
        <v>186</v>
      </c>
      <c r="R165" s="3" t="s">
        <v>65</v>
      </c>
      <c r="S165" s="4">
        <v>2</v>
      </c>
      <c r="T165" s="4">
        <v>2</v>
      </c>
      <c r="U165" s="5" t="s">
        <v>1926</v>
      </c>
      <c r="V165" s="5" t="s">
        <v>1926</v>
      </c>
      <c r="W165" s="5" t="s">
        <v>1927</v>
      </c>
      <c r="X165" s="5" t="s">
        <v>1927</v>
      </c>
      <c r="Y165" s="4">
        <v>797</v>
      </c>
      <c r="Z165" s="4">
        <v>692</v>
      </c>
      <c r="AA165" s="4">
        <v>707</v>
      </c>
      <c r="AB165" s="4">
        <v>3</v>
      </c>
      <c r="AC165" s="4">
        <v>3</v>
      </c>
      <c r="AD165" s="4">
        <v>25</v>
      </c>
      <c r="AE165" s="4">
        <v>25</v>
      </c>
      <c r="AF165" s="4">
        <v>10</v>
      </c>
      <c r="AG165" s="4">
        <v>10</v>
      </c>
      <c r="AH165" s="4">
        <v>7</v>
      </c>
      <c r="AI165" s="4">
        <v>7</v>
      </c>
      <c r="AJ165" s="4">
        <v>12</v>
      </c>
      <c r="AK165" s="4">
        <v>12</v>
      </c>
      <c r="AL165" s="4">
        <v>2</v>
      </c>
      <c r="AM165" s="4">
        <v>2</v>
      </c>
      <c r="AN165" s="4">
        <v>0</v>
      </c>
      <c r="AO165" s="4">
        <v>0</v>
      </c>
      <c r="AP165" s="3" t="s">
        <v>58</v>
      </c>
      <c r="AQ165" s="3" t="s">
        <v>58</v>
      </c>
      <c r="AS165" s="6" t="str">
        <f>HYPERLINK("https://creighton-primo.hosted.exlibrisgroup.com/primo-explore/search?tab=default_tab&amp;search_scope=EVERYTHING&amp;vid=01CRU&amp;lang=en_US&amp;offset=0&amp;query=any,contains,991003199649702656","Catalog Record")</f>
        <v>Catalog Record</v>
      </c>
      <c r="AT165" s="6" t="str">
        <f>HYPERLINK("http://www.worldcat.org/oclc/40668303","WorldCat Record")</f>
        <v>WorldCat Record</v>
      </c>
      <c r="AU165" s="3" t="s">
        <v>1928</v>
      </c>
      <c r="AV165" s="3" t="s">
        <v>1929</v>
      </c>
      <c r="AW165" s="3" t="s">
        <v>1930</v>
      </c>
      <c r="AX165" s="3" t="s">
        <v>1930</v>
      </c>
      <c r="AY165" s="3" t="s">
        <v>1931</v>
      </c>
      <c r="AZ165" s="3" t="s">
        <v>73</v>
      </c>
      <c r="BB165" s="3" t="s">
        <v>1932</v>
      </c>
      <c r="BC165" s="3" t="s">
        <v>1933</v>
      </c>
      <c r="BD165" s="3" t="s">
        <v>1934</v>
      </c>
    </row>
    <row r="166" spans="1:56" ht="31.5" customHeight="1" x14ac:dyDescent="0.25">
      <c r="A166" s="7" t="s">
        <v>58</v>
      </c>
      <c r="B166" s="2" t="s">
        <v>1935</v>
      </c>
      <c r="C166" s="2" t="s">
        <v>1936</v>
      </c>
      <c r="D166" s="2" t="s">
        <v>1937</v>
      </c>
      <c r="F166" s="3" t="s">
        <v>58</v>
      </c>
      <c r="G166" s="3" t="s">
        <v>59</v>
      </c>
      <c r="H166" s="3" t="s">
        <v>58</v>
      </c>
      <c r="I166" s="3" t="s">
        <v>58</v>
      </c>
      <c r="J166" s="3" t="s">
        <v>60</v>
      </c>
      <c r="K166" s="2" t="s">
        <v>535</v>
      </c>
      <c r="L166" s="2" t="s">
        <v>1938</v>
      </c>
      <c r="M166" s="3" t="s">
        <v>1939</v>
      </c>
      <c r="O166" s="3" t="s">
        <v>63</v>
      </c>
      <c r="P166" s="3" t="s">
        <v>64</v>
      </c>
      <c r="R166" s="3" t="s">
        <v>65</v>
      </c>
      <c r="S166" s="4">
        <v>5</v>
      </c>
      <c r="T166" s="4">
        <v>5</v>
      </c>
      <c r="U166" s="5" t="s">
        <v>1940</v>
      </c>
      <c r="V166" s="5" t="s">
        <v>1940</v>
      </c>
      <c r="W166" s="5" t="s">
        <v>1941</v>
      </c>
      <c r="X166" s="5" t="s">
        <v>1941</v>
      </c>
      <c r="Y166" s="4">
        <v>859</v>
      </c>
      <c r="Z166" s="4">
        <v>788</v>
      </c>
      <c r="AA166" s="4">
        <v>850</v>
      </c>
      <c r="AB166" s="4">
        <v>7</v>
      </c>
      <c r="AC166" s="4">
        <v>7</v>
      </c>
      <c r="AD166" s="4">
        <v>28</v>
      </c>
      <c r="AE166" s="4">
        <v>28</v>
      </c>
      <c r="AF166" s="4">
        <v>10</v>
      </c>
      <c r="AG166" s="4">
        <v>10</v>
      </c>
      <c r="AH166" s="4">
        <v>5</v>
      </c>
      <c r="AI166" s="4">
        <v>5</v>
      </c>
      <c r="AJ166" s="4">
        <v>15</v>
      </c>
      <c r="AK166" s="4">
        <v>15</v>
      </c>
      <c r="AL166" s="4">
        <v>5</v>
      </c>
      <c r="AM166" s="4">
        <v>5</v>
      </c>
      <c r="AN166" s="4">
        <v>0</v>
      </c>
      <c r="AO166" s="4">
        <v>0</v>
      </c>
      <c r="AP166" s="3" t="s">
        <v>58</v>
      </c>
      <c r="AQ166" s="3" t="s">
        <v>68</v>
      </c>
      <c r="AR166" s="6" t="str">
        <f>HYPERLINK("http://catalog.hathitrust.org/Record/003057358","HathiTrust Record")</f>
        <v>HathiTrust Record</v>
      </c>
      <c r="AS166" s="6" t="str">
        <f>HYPERLINK("https://creighton-primo.hosted.exlibrisgroup.com/primo-explore/search?tab=default_tab&amp;search_scope=EVERYTHING&amp;vid=01CRU&amp;lang=en_US&amp;offset=0&amp;query=any,contains,991002608079702656","Catalog Record")</f>
        <v>Catalog Record</v>
      </c>
      <c r="AT166" s="6" t="str">
        <f>HYPERLINK("http://www.worldcat.org/oclc/34151612","WorldCat Record")</f>
        <v>WorldCat Record</v>
      </c>
      <c r="AU166" s="3" t="s">
        <v>1942</v>
      </c>
      <c r="AV166" s="3" t="s">
        <v>1943</v>
      </c>
      <c r="AW166" s="3" t="s">
        <v>1944</v>
      </c>
      <c r="AX166" s="3" t="s">
        <v>1944</v>
      </c>
      <c r="AY166" s="3" t="s">
        <v>1945</v>
      </c>
      <c r="AZ166" s="3" t="s">
        <v>73</v>
      </c>
      <c r="BB166" s="3" t="s">
        <v>1946</v>
      </c>
      <c r="BC166" s="3" t="s">
        <v>1947</v>
      </c>
      <c r="BD166" s="3" t="s">
        <v>1948</v>
      </c>
    </row>
    <row r="167" spans="1:56" ht="31.5" customHeight="1" x14ac:dyDescent="0.25">
      <c r="A167" s="7" t="s">
        <v>58</v>
      </c>
      <c r="B167" s="2" t="s">
        <v>1949</v>
      </c>
      <c r="C167" s="2" t="s">
        <v>1950</v>
      </c>
      <c r="D167" s="2" t="s">
        <v>1951</v>
      </c>
      <c r="F167" s="3" t="s">
        <v>58</v>
      </c>
      <c r="G167" s="3" t="s">
        <v>59</v>
      </c>
      <c r="H167" s="3" t="s">
        <v>58</v>
      </c>
      <c r="I167" s="3" t="s">
        <v>58</v>
      </c>
      <c r="J167" s="3" t="s">
        <v>60</v>
      </c>
      <c r="K167" s="2" t="s">
        <v>1952</v>
      </c>
      <c r="L167" s="2" t="s">
        <v>1953</v>
      </c>
      <c r="M167" s="3" t="s">
        <v>144</v>
      </c>
      <c r="O167" s="3" t="s">
        <v>63</v>
      </c>
      <c r="P167" s="3" t="s">
        <v>444</v>
      </c>
      <c r="Q167" s="2" t="s">
        <v>1954</v>
      </c>
      <c r="R167" s="3" t="s">
        <v>65</v>
      </c>
      <c r="S167" s="4">
        <v>3</v>
      </c>
      <c r="T167" s="4">
        <v>3</v>
      </c>
      <c r="U167" s="5" t="s">
        <v>1955</v>
      </c>
      <c r="V167" s="5" t="s">
        <v>1955</v>
      </c>
      <c r="W167" s="5" t="s">
        <v>204</v>
      </c>
      <c r="X167" s="5" t="s">
        <v>204</v>
      </c>
      <c r="Y167" s="4">
        <v>623</v>
      </c>
      <c r="Z167" s="4">
        <v>456</v>
      </c>
      <c r="AA167" s="4">
        <v>463</v>
      </c>
      <c r="AB167" s="4">
        <v>1</v>
      </c>
      <c r="AC167" s="4">
        <v>1</v>
      </c>
      <c r="AD167" s="4">
        <v>16</v>
      </c>
      <c r="AE167" s="4">
        <v>16</v>
      </c>
      <c r="AF167" s="4">
        <v>7</v>
      </c>
      <c r="AG167" s="4">
        <v>7</v>
      </c>
      <c r="AH167" s="4">
        <v>3</v>
      </c>
      <c r="AI167" s="4">
        <v>3</v>
      </c>
      <c r="AJ167" s="4">
        <v>11</v>
      </c>
      <c r="AK167" s="4">
        <v>11</v>
      </c>
      <c r="AL167" s="4">
        <v>0</v>
      </c>
      <c r="AM167" s="4">
        <v>0</v>
      </c>
      <c r="AN167" s="4">
        <v>0</v>
      </c>
      <c r="AO167" s="4">
        <v>0</v>
      </c>
      <c r="AP167" s="3" t="s">
        <v>58</v>
      </c>
      <c r="AQ167" s="3" t="s">
        <v>68</v>
      </c>
      <c r="AR167" s="6" t="str">
        <f>HYPERLINK("http://catalog.hathitrust.org/Record/000187957","HathiTrust Record")</f>
        <v>HathiTrust Record</v>
      </c>
      <c r="AS167" s="6" t="str">
        <f>HYPERLINK("https://creighton-primo.hosted.exlibrisgroup.com/primo-explore/search?tab=default_tab&amp;search_scope=EVERYTHING&amp;vid=01CRU&amp;lang=en_US&amp;offset=0&amp;query=any,contains,991000074709702656","Catalog Record")</f>
        <v>Catalog Record</v>
      </c>
      <c r="AT167" s="6" t="str">
        <f>HYPERLINK("http://www.worldcat.org/oclc/8805302","WorldCat Record")</f>
        <v>WorldCat Record</v>
      </c>
      <c r="AU167" s="3" t="s">
        <v>1956</v>
      </c>
      <c r="AV167" s="3" t="s">
        <v>1957</v>
      </c>
      <c r="AW167" s="3" t="s">
        <v>1958</v>
      </c>
      <c r="AX167" s="3" t="s">
        <v>1958</v>
      </c>
      <c r="AY167" s="3" t="s">
        <v>1959</v>
      </c>
      <c r="AZ167" s="3" t="s">
        <v>73</v>
      </c>
      <c r="BB167" s="3" t="s">
        <v>1960</v>
      </c>
      <c r="BC167" s="3" t="s">
        <v>1961</v>
      </c>
      <c r="BD167" s="3" t="s">
        <v>1962</v>
      </c>
    </row>
    <row r="168" spans="1:56" ht="31.5" customHeight="1" x14ac:dyDescent="0.25">
      <c r="A168" s="7" t="s">
        <v>58</v>
      </c>
      <c r="B168" s="2" t="s">
        <v>1963</v>
      </c>
      <c r="C168" s="2" t="s">
        <v>1964</v>
      </c>
      <c r="D168" s="2" t="s">
        <v>1965</v>
      </c>
      <c r="F168" s="3" t="s">
        <v>58</v>
      </c>
      <c r="G168" s="3" t="s">
        <v>59</v>
      </c>
      <c r="H168" s="3" t="s">
        <v>58</v>
      </c>
      <c r="I168" s="3" t="s">
        <v>58</v>
      </c>
      <c r="J168" s="3" t="s">
        <v>60</v>
      </c>
      <c r="K168" s="2" t="s">
        <v>1966</v>
      </c>
      <c r="L168" s="2" t="s">
        <v>1967</v>
      </c>
      <c r="M168" s="3" t="s">
        <v>537</v>
      </c>
      <c r="N168" s="2" t="s">
        <v>1968</v>
      </c>
      <c r="O168" s="3" t="s">
        <v>63</v>
      </c>
      <c r="P168" s="3" t="s">
        <v>98</v>
      </c>
      <c r="R168" s="3" t="s">
        <v>65</v>
      </c>
      <c r="S168" s="4">
        <v>4</v>
      </c>
      <c r="T168" s="4">
        <v>4</v>
      </c>
      <c r="U168" s="5" t="s">
        <v>1969</v>
      </c>
      <c r="V168" s="5" t="s">
        <v>1969</v>
      </c>
      <c r="W168" s="5" t="s">
        <v>1970</v>
      </c>
      <c r="X168" s="5" t="s">
        <v>1970</v>
      </c>
      <c r="Y168" s="4">
        <v>258</v>
      </c>
      <c r="Z168" s="4">
        <v>181</v>
      </c>
      <c r="AA168" s="4">
        <v>613</v>
      </c>
      <c r="AB168" s="4">
        <v>2</v>
      </c>
      <c r="AC168" s="4">
        <v>4</v>
      </c>
      <c r="AD168" s="4">
        <v>6</v>
      </c>
      <c r="AE168" s="4">
        <v>27</v>
      </c>
      <c r="AF168" s="4">
        <v>2</v>
      </c>
      <c r="AG168" s="4">
        <v>9</v>
      </c>
      <c r="AH168" s="4">
        <v>1</v>
      </c>
      <c r="AI168" s="4">
        <v>5</v>
      </c>
      <c r="AJ168" s="4">
        <v>4</v>
      </c>
      <c r="AK168" s="4">
        <v>17</v>
      </c>
      <c r="AL168" s="4">
        <v>1</v>
      </c>
      <c r="AM168" s="4">
        <v>3</v>
      </c>
      <c r="AN168" s="4">
        <v>0</v>
      </c>
      <c r="AO168" s="4">
        <v>0</v>
      </c>
      <c r="AP168" s="3" t="s">
        <v>58</v>
      </c>
      <c r="AQ168" s="3" t="s">
        <v>68</v>
      </c>
      <c r="AR168" s="6" t="str">
        <f>HYPERLINK("http://catalog.hathitrust.org/Record/002511091","HathiTrust Record")</f>
        <v>HathiTrust Record</v>
      </c>
      <c r="AS168" s="6" t="str">
        <f>HYPERLINK("https://creighton-primo.hosted.exlibrisgroup.com/primo-explore/search?tab=default_tab&amp;search_scope=EVERYTHING&amp;vid=01CRU&amp;lang=en_US&amp;offset=0&amp;query=any,contains,991001915629702656","Catalog Record")</f>
        <v>Catalog Record</v>
      </c>
      <c r="AT168" s="6" t="str">
        <f>HYPERLINK("http://www.worldcat.org/oclc/24175016","WorldCat Record")</f>
        <v>WorldCat Record</v>
      </c>
      <c r="AU168" s="3" t="s">
        <v>1971</v>
      </c>
      <c r="AV168" s="3" t="s">
        <v>1972</v>
      </c>
      <c r="AW168" s="3" t="s">
        <v>1973</v>
      </c>
      <c r="AX168" s="3" t="s">
        <v>1973</v>
      </c>
      <c r="AY168" s="3" t="s">
        <v>1974</v>
      </c>
      <c r="AZ168" s="3" t="s">
        <v>73</v>
      </c>
      <c r="BB168" s="3" t="s">
        <v>1975</v>
      </c>
      <c r="BC168" s="3" t="s">
        <v>1976</v>
      </c>
      <c r="BD168" s="3" t="s">
        <v>1977</v>
      </c>
    </row>
    <row r="169" spans="1:56" ht="31.5" customHeight="1" x14ac:dyDescent="0.25">
      <c r="A169" s="7" t="s">
        <v>58</v>
      </c>
      <c r="B169" s="2" t="s">
        <v>1978</v>
      </c>
      <c r="C169" s="2" t="s">
        <v>1979</v>
      </c>
      <c r="D169" s="2" t="s">
        <v>1980</v>
      </c>
      <c r="F169" s="3" t="s">
        <v>58</v>
      </c>
      <c r="G169" s="3" t="s">
        <v>59</v>
      </c>
      <c r="H169" s="3" t="s">
        <v>58</v>
      </c>
      <c r="I169" s="3" t="s">
        <v>58</v>
      </c>
      <c r="J169" s="3" t="s">
        <v>60</v>
      </c>
      <c r="K169" s="2" t="s">
        <v>1981</v>
      </c>
      <c r="L169" s="2" t="s">
        <v>1982</v>
      </c>
      <c r="M169" s="3" t="s">
        <v>1939</v>
      </c>
      <c r="O169" s="3" t="s">
        <v>63</v>
      </c>
      <c r="P169" s="3" t="s">
        <v>186</v>
      </c>
      <c r="R169" s="3" t="s">
        <v>65</v>
      </c>
      <c r="S169" s="4">
        <v>1</v>
      </c>
      <c r="T169" s="4">
        <v>1</v>
      </c>
      <c r="U169" s="5" t="s">
        <v>1983</v>
      </c>
      <c r="V169" s="5" t="s">
        <v>1983</v>
      </c>
      <c r="W169" s="5" t="s">
        <v>1984</v>
      </c>
      <c r="X169" s="5" t="s">
        <v>1984</v>
      </c>
      <c r="Y169" s="4">
        <v>151</v>
      </c>
      <c r="Z169" s="4">
        <v>94</v>
      </c>
      <c r="AA169" s="4">
        <v>116</v>
      </c>
      <c r="AB169" s="4">
        <v>1</v>
      </c>
      <c r="AC169" s="4">
        <v>1</v>
      </c>
      <c r="AD169" s="4">
        <v>4</v>
      </c>
      <c r="AE169" s="4">
        <v>4</v>
      </c>
      <c r="AF169" s="4">
        <v>0</v>
      </c>
      <c r="AG169" s="4">
        <v>0</v>
      </c>
      <c r="AH169" s="4">
        <v>1</v>
      </c>
      <c r="AI169" s="4">
        <v>1</v>
      </c>
      <c r="AJ169" s="4">
        <v>4</v>
      </c>
      <c r="AK169" s="4">
        <v>4</v>
      </c>
      <c r="AL169" s="4">
        <v>0</v>
      </c>
      <c r="AM169" s="4">
        <v>0</v>
      </c>
      <c r="AN169" s="4">
        <v>0</v>
      </c>
      <c r="AO169" s="4">
        <v>0</v>
      </c>
      <c r="AP169" s="3" t="s">
        <v>58</v>
      </c>
      <c r="AQ169" s="3" t="s">
        <v>58</v>
      </c>
      <c r="AS169" s="6" t="str">
        <f>HYPERLINK("https://creighton-primo.hosted.exlibrisgroup.com/primo-explore/search?tab=default_tab&amp;search_scope=EVERYTHING&amp;vid=01CRU&amp;lang=en_US&amp;offset=0&amp;query=any,contains,991002633739702656","Catalog Record")</f>
        <v>Catalog Record</v>
      </c>
      <c r="AT169" s="6" t="str">
        <f>HYPERLINK("http://www.worldcat.org/oclc/34515156","WorldCat Record")</f>
        <v>WorldCat Record</v>
      </c>
      <c r="AU169" s="3" t="s">
        <v>1985</v>
      </c>
      <c r="AV169" s="3" t="s">
        <v>1986</v>
      </c>
      <c r="AW169" s="3" t="s">
        <v>1987</v>
      </c>
      <c r="AX169" s="3" t="s">
        <v>1987</v>
      </c>
      <c r="AY169" s="3" t="s">
        <v>1988</v>
      </c>
      <c r="AZ169" s="3" t="s">
        <v>73</v>
      </c>
      <c r="BB169" s="3" t="s">
        <v>1989</v>
      </c>
      <c r="BC169" s="3" t="s">
        <v>1990</v>
      </c>
      <c r="BD169" s="3" t="s">
        <v>1991</v>
      </c>
    </row>
    <row r="170" spans="1:56" ht="31.5" customHeight="1" x14ac:dyDescent="0.25">
      <c r="A170" s="7" t="s">
        <v>58</v>
      </c>
      <c r="B170" s="2" t="s">
        <v>1992</v>
      </c>
      <c r="C170" s="2" t="s">
        <v>1993</v>
      </c>
      <c r="D170" s="2" t="s">
        <v>1994</v>
      </c>
      <c r="F170" s="3" t="s">
        <v>58</v>
      </c>
      <c r="G170" s="3" t="s">
        <v>59</v>
      </c>
      <c r="H170" s="3" t="s">
        <v>58</v>
      </c>
      <c r="I170" s="3" t="s">
        <v>58</v>
      </c>
      <c r="J170" s="3" t="s">
        <v>60</v>
      </c>
      <c r="K170" s="2" t="s">
        <v>1995</v>
      </c>
      <c r="L170" s="2" t="s">
        <v>1996</v>
      </c>
      <c r="M170" s="3" t="s">
        <v>159</v>
      </c>
      <c r="O170" s="3" t="s">
        <v>63</v>
      </c>
      <c r="P170" s="3" t="s">
        <v>64</v>
      </c>
      <c r="R170" s="3" t="s">
        <v>65</v>
      </c>
      <c r="S170" s="4">
        <v>12</v>
      </c>
      <c r="T170" s="4">
        <v>12</v>
      </c>
      <c r="U170" s="5" t="s">
        <v>1997</v>
      </c>
      <c r="V170" s="5" t="s">
        <v>1997</v>
      </c>
      <c r="W170" s="5" t="s">
        <v>1998</v>
      </c>
      <c r="X170" s="5" t="s">
        <v>1998</v>
      </c>
      <c r="Y170" s="4">
        <v>194</v>
      </c>
      <c r="Z170" s="4">
        <v>156</v>
      </c>
      <c r="AA170" s="4">
        <v>215</v>
      </c>
      <c r="AB170" s="4">
        <v>1</v>
      </c>
      <c r="AC170" s="4">
        <v>2</v>
      </c>
      <c r="AD170" s="4">
        <v>3</v>
      </c>
      <c r="AE170" s="4">
        <v>5</v>
      </c>
      <c r="AF170" s="4">
        <v>1</v>
      </c>
      <c r="AG170" s="4">
        <v>1</v>
      </c>
      <c r="AH170" s="4">
        <v>2</v>
      </c>
      <c r="AI170" s="4">
        <v>3</v>
      </c>
      <c r="AJ170" s="4">
        <v>1</v>
      </c>
      <c r="AK170" s="4">
        <v>2</v>
      </c>
      <c r="AL170" s="4">
        <v>0</v>
      </c>
      <c r="AM170" s="4">
        <v>1</v>
      </c>
      <c r="AN170" s="4">
        <v>0</v>
      </c>
      <c r="AO170" s="4">
        <v>0</v>
      </c>
      <c r="AP170" s="3" t="s">
        <v>58</v>
      </c>
      <c r="AQ170" s="3" t="s">
        <v>68</v>
      </c>
      <c r="AR170" s="6" t="str">
        <f>HYPERLINK("http://catalog.hathitrust.org/Record/000238689","HathiTrust Record")</f>
        <v>HathiTrust Record</v>
      </c>
      <c r="AS170" s="6" t="str">
        <f>HYPERLINK("https://creighton-primo.hosted.exlibrisgroup.com/primo-explore/search?tab=default_tab&amp;search_scope=EVERYTHING&amp;vid=01CRU&amp;lang=en_US&amp;offset=0&amp;query=any,contains,991000127679702656","Catalog Record")</f>
        <v>Catalog Record</v>
      </c>
      <c r="AT170" s="6" t="str">
        <f>HYPERLINK("http://www.worldcat.org/oclc/9084680","WorldCat Record")</f>
        <v>WorldCat Record</v>
      </c>
      <c r="AU170" s="3" t="s">
        <v>1999</v>
      </c>
      <c r="AV170" s="3" t="s">
        <v>2000</v>
      </c>
      <c r="AW170" s="3" t="s">
        <v>2001</v>
      </c>
      <c r="AX170" s="3" t="s">
        <v>2001</v>
      </c>
      <c r="AY170" s="3" t="s">
        <v>2002</v>
      </c>
      <c r="AZ170" s="3" t="s">
        <v>73</v>
      </c>
      <c r="BB170" s="3" t="s">
        <v>2003</v>
      </c>
      <c r="BC170" s="3" t="s">
        <v>2004</v>
      </c>
      <c r="BD170" s="3" t="s">
        <v>2005</v>
      </c>
    </row>
    <row r="171" spans="1:56" ht="31.5" customHeight="1" x14ac:dyDescent="0.25">
      <c r="A171" s="7" t="s">
        <v>58</v>
      </c>
      <c r="B171" s="2" t="s">
        <v>2006</v>
      </c>
      <c r="C171" s="2" t="s">
        <v>2007</v>
      </c>
      <c r="D171" s="2" t="s">
        <v>2008</v>
      </c>
      <c r="F171" s="3" t="s">
        <v>58</v>
      </c>
      <c r="G171" s="3" t="s">
        <v>59</v>
      </c>
      <c r="H171" s="3" t="s">
        <v>58</v>
      </c>
      <c r="I171" s="3" t="s">
        <v>58</v>
      </c>
      <c r="J171" s="3" t="s">
        <v>60</v>
      </c>
      <c r="K171" s="2" t="s">
        <v>2009</v>
      </c>
      <c r="L171" s="2" t="s">
        <v>2010</v>
      </c>
      <c r="M171" s="3" t="s">
        <v>443</v>
      </c>
      <c r="O171" s="3" t="s">
        <v>63</v>
      </c>
      <c r="P171" s="3" t="s">
        <v>64</v>
      </c>
      <c r="R171" s="3" t="s">
        <v>65</v>
      </c>
      <c r="S171" s="4">
        <v>6</v>
      </c>
      <c r="T171" s="4">
        <v>6</v>
      </c>
      <c r="U171" s="5" t="s">
        <v>2011</v>
      </c>
      <c r="V171" s="5" t="s">
        <v>2011</v>
      </c>
      <c r="W171" s="5" t="s">
        <v>2012</v>
      </c>
      <c r="X171" s="5" t="s">
        <v>2012</v>
      </c>
      <c r="Y171" s="4">
        <v>155</v>
      </c>
      <c r="Z171" s="4">
        <v>113</v>
      </c>
      <c r="AA171" s="4">
        <v>123</v>
      </c>
      <c r="AB171" s="4">
        <v>2</v>
      </c>
      <c r="AC171" s="4">
        <v>2</v>
      </c>
      <c r="AD171" s="4">
        <v>3</v>
      </c>
      <c r="AE171" s="4">
        <v>3</v>
      </c>
      <c r="AF171" s="4">
        <v>1</v>
      </c>
      <c r="AG171" s="4">
        <v>1</v>
      </c>
      <c r="AH171" s="4">
        <v>1</v>
      </c>
      <c r="AI171" s="4">
        <v>1</v>
      </c>
      <c r="AJ171" s="4">
        <v>1</v>
      </c>
      <c r="AK171" s="4">
        <v>1</v>
      </c>
      <c r="AL171" s="4">
        <v>1</v>
      </c>
      <c r="AM171" s="4">
        <v>1</v>
      </c>
      <c r="AN171" s="4">
        <v>0</v>
      </c>
      <c r="AO171" s="4">
        <v>0</v>
      </c>
      <c r="AP171" s="3" t="s">
        <v>58</v>
      </c>
      <c r="AQ171" s="3" t="s">
        <v>68</v>
      </c>
      <c r="AR171" s="6" t="str">
        <f>HYPERLINK("http://catalog.hathitrust.org/Record/000251716","HathiTrust Record")</f>
        <v>HathiTrust Record</v>
      </c>
      <c r="AS171" s="6" t="str">
        <f>HYPERLINK("https://creighton-primo.hosted.exlibrisgroup.com/primo-explore/search?tab=default_tab&amp;search_scope=EVERYTHING&amp;vid=01CRU&amp;lang=en_US&amp;offset=0&amp;query=any,contains,991004318899702656","Catalog Record")</f>
        <v>Catalog Record</v>
      </c>
      <c r="AT171" s="6" t="str">
        <f>HYPERLINK("http://www.worldcat.org/oclc/3015956","WorldCat Record")</f>
        <v>WorldCat Record</v>
      </c>
      <c r="AU171" s="3" t="s">
        <v>2013</v>
      </c>
      <c r="AV171" s="3" t="s">
        <v>2014</v>
      </c>
      <c r="AW171" s="3" t="s">
        <v>2015</v>
      </c>
      <c r="AX171" s="3" t="s">
        <v>2015</v>
      </c>
      <c r="AY171" s="3" t="s">
        <v>2016</v>
      </c>
      <c r="AZ171" s="3" t="s">
        <v>73</v>
      </c>
      <c r="BB171" s="3" t="s">
        <v>2017</v>
      </c>
      <c r="BC171" s="3" t="s">
        <v>2018</v>
      </c>
      <c r="BD171" s="3" t="s">
        <v>2019</v>
      </c>
    </row>
    <row r="172" spans="1:56" ht="31.5" customHeight="1" x14ac:dyDescent="0.25">
      <c r="A172" s="7" t="s">
        <v>58</v>
      </c>
      <c r="B172" s="2" t="s">
        <v>2020</v>
      </c>
      <c r="C172" s="2" t="s">
        <v>2021</v>
      </c>
      <c r="D172" s="2" t="s">
        <v>2022</v>
      </c>
      <c r="F172" s="3" t="s">
        <v>58</v>
      </c>
      <c r="G172" s="3" t="s">
        <v>59</v>
      </c>
      <c r="H172" s="3" t="s">
        <v>58</v>
      </c>
      <c r="I172" s="3" t="s">
        <v>58</v>
      </c>
      <c r="J172" s="3" t="s">
        <v>60</v>
      </c>
      <c r="K172" s="2" t="s">
        <v>2023</v>
      </c>
      <c r="L172" s="2" t="s">
        <v>2024</v>
      </c>
      <c r="M172" s="3" t="s">
        <v>1737</v>
      </c>
      <c r="O172" s="3" t="s">
        <v>63</v>
      </c>
      <c r="P172" s="3" t="s">
        <v>1789</v>
      </c>
      <c r="Q172" s="2" t="s">
        <v>1790</v>
      </c>
      <c r="R172" s="3" t="s">
        <v>65</v>
      </c>
      <c r="S172" s="4">
        <v>2</v>
      </c>
      <c r="T172" s="4">
        <v>2</v>
      </c>
      <c r="U172" s="5" t="s">
        <v>2025</v>
      </c>
      <c r="V172" s="5" t="s">
        <v>2025</v>
      </c>
      <c r="W172" s="5" t="s">
        <v>2026</v>
      </c>
      <c r="X172" s="5" t="s">
        <v>2026</v>
      </c>
      <c r="Y172" s="4">
        <v>470</v>
      </c>
      <c r="Z172" s="4">
        <v>431</v>
      </c>
      <c r="AA172" s="4">
        <v>442</v>
      </c>
      <c r="AB172" s="4">
        <v>2</v>
      </c>
      <c r="AC172" s="4">
        <v>2</v>
      </c>
      <c r="AD172" s="4">
        <v>8</v>
      </c>
      <c r="AE172" s="4">
        <v>8</v>
      </c>
      <c r="AF172" s="4">
        <v>3</v>
      </c>
      <c r="AG172" s="4">
        <v>3</v>
      </c>
      <c r="AH172" s="4">
        <v>1</v>
      </c>
      <c r="AI172" s="4">
        <v>1</v>
      </c>
      <c r="AJ172" s="4">
        <v>4</v>
      </c>
      <c r="AK172" s="4">
        <v>4</v>
      </c>
      <c r="AL172" s="4">
        <v>1</v>
      </c>
      <c r="AM172" s="4">
        <v>1</v>
      </c>
      <c r="AN172" s="4">
        <v>0</v>
      </c>
      <c r="AO172" s="4">
        <v>0</v>
      </c>
      <c r="AP172" s="3" t="s">
        <v>58</v>
      </c>
      <c r="AQ172" s="3" t="s">
        <v>68</v>
      </c>
      <c r="AR172" s="6" t="str">
        <f>HYPERLINK("http://catalog.hathitrust.org/Record/001475870","HathiTrust Record")</f>
        <v>HathiTrust Record</v>
      </c>
      <c r="AS172" s="6" t="str">
        <f>HYPERLINK("https://creighton-primo.hosted.exlibrisgroup.com/primo-explore/search?tab=default_tab&amp;search_scope=EVERYTHING&amp;vid=01CRU&amp;lang=en_US&amp;offset=0&amp;query=any,contains,991002930799702656","Catalog Record")</f>
        <v>Catalog Record</v>
      </c>
      <c r="AT172" s="6" t="str">
        <f>HYPERLINK("http://www.worldcat.org/oclc/530849","WorldCat Record")</f>
        <v>WorldCat Record</v>
      </c>
      <c r="AU172" s="3" t="s">
        <v>2027</v>
      </c>
      <c r="AV172" s="3" t="s">
        <v>2028</v>
      </c>
      <c r="AW172" s="3" t="s">
        <v>2029</v>
      </c>
      <c r="AX172" s="3" t="s">
        <v>2029</v>
      </c>
      <c r="AY172" s="3" t="s">
        <v>2030</v>
      </c>
      <c r="AZ172" s="3" t="s">
        <v>73</v>
      </c>
      <c r="BC172" s="3" t="s">
        <v>2031</v>
      </c>
      <c r="BD172" s="3" t="s">
        <v>2032</v>
      </c>
    </row>
    <row r="173" spans="1:56" ht="31.5" customHeight="1" x14ac:dyDescent="0.25">
      <c r="A173" s="7" t="s">
        <v>58</v>
      </c>
      <c r="B173" s="2" t="s">
        <v>2033</v>
      </c>
      <c r="C173" s="2" t="s">
        <v>2034</v>
      </c>
      <c r="D173" s="2" t="s">
        <v>2035</v>
      </c>
      <c r="F173" s="3" t="s">
        <v>58</v>
      </c>
      <c r="G173" s="3" t="s">
        <v>59</v>
      </c>
      <c r="H173" s="3" t="s">
        <v>58</v>
      </c>
      <c r="I173" s="3" t="s">
        <v>58</v>
      </c>
      <c r="J173" s="3" t="s">
        <v>60</v>
      </c>
      <c r="K173" s="2" t="s">
        <v>314</v>
      </c>
      <c r="L173" s="2" t="s">
        <v>2036</v>
      </c>
      <c r="M173" s="3" t="s">
        <v>891</v>
      </c>
      <c r="O173" s="3" t="s">
        <v>63</v>
      </c>
      <c r="P173" s="3" t="s">
        <v>64</v>
      </c>
      <c r="Q173" s="2" t="s">
        <v>2037</v>
      </c>
      <c r="R173" s="3" t="s">
        <v>65</v>
      </c>
      <c r="S173" s="4">
        <v>1</v>
      </c>
      <c r="T173" s="4">
        <v>1</v>
      </c>
      <c r="U173" s="5" t="s">
        <v>2038</v>
      </c>
      <c r="V173" s="5" t="s">
        <v>2038</v>
      </c>
      <c r="W173" s="5" t="s">
        <v>2026</v>
      </c>
      <c r="X173" s="5" t="s">
        <v>2026</v>
      </c>
      <c r="Y173" s="4">
        <v>227</v>
      </c>
      <c r="Z173" s="4">
        <v>224</v>
      </c>
      <c r="AA173" s="4">
        <v>427</v>
      </c>
      <c r="AB173" s="4">
        <v>1</v>
      </c>
      <c r="AC173" s="4">
        <v>4</v>
      </c>
      <c r="AD173" s="4">
        <v>4</v>
      </c>
      <c r="AE173" s="4">
        <v>11</v>
      </c>
      <c r="AF173" s="4">
        <v>0</v>
      </c>
      <c r="AG173" s="4">
        <v>3</v>
      </c>
      <c r="AH173" s="4">
        <v>0</v>
      </c>
      <c r="AI173" s="4">
        <v>2</v>
      </c>
      <c r="AJ173" s="4">
        <v>4</v>
      </c>
      <c r="AK173" s="4">
        <v>7</v>
      </c>
      <c r="AL173" s="4">
        <v>0</v>
      </c>
      <c r="AM173" s="4">
        <v>2</v>
      </c>
      <c r="AN173" s="4">
        <v>0</v>
      </c>
      <c r="AO173" s="4">
        <v>0</v>
      </c>
      <c r="AP173" s="3" t="s">
        <v>58</v>
      </c>
      <c r="AQ173" s="3" t="s">
        <v>58</v>
      </c>
      <c r="AS173" s="6" t="str">
        <f>HYPERLINK("https://creighton-primo.hosted.exlibrisgroup.com/primo-explore/search?tab=default_tab&amp;search_scope=EVERYTHING&amp;vid=01CRU&amp;lang=en_US&amp;offset=0&amp;query=any,contains,991001299159702656","Catalog Record")</f>
        <v>Catalog Record</v>
      </c>
      <c r="AT173" s="6" t="str">
        <f>HYPERLINK("http://www.worldcat.org/oclc/220379","WorldCat Record")</f>
        <v>WorldCat Record</v>
      </c>
      <c r="AU173" s="3" t="s">
        <v>2039</v>
      </c>
      <c r="AV173" s="3" t="s">
        <v>2040</v>
      </c>
      <c r="AW173" s="3" t="s">
        <v>2041</v>
      </c>
      <c r="AX173" s="3" t="s">
        <v>2041</v>
      </c>
      <c r="AY173" s="3" t="s">
        <v>2042</v>
      </c>
      <c r="AZ173" s="3" t="s">
        <v>73</v>
      </c>
      <c r="BC173" s="3" t="s">
        <v>2043</v>
      </c>
      <c r="BD173" s="3" t="s">
        <v>2044</v>
      </c>
    </row>
    <row r="174" spans="1:56" ht="31.5" customHeight="1" x14ac:dyDescent="0.25">
      <c r="A174" s="7" t="s">
        <v>58</v>
      </c>
      <c r="B174" s="2" t="s">
        <v>2045</v>
      </c>
      <c r="C174" s="2" t="s">
        <v>2046</v>
      </c>
      <c r="D174" s="2" t="s">
        <v>2047</v>
      </c>
      <c r="F174" s="3" t="s">
        <v>58</v>
      </c>
      <c r="G174" s="3" t="s">
        <v>59</v>
      </c>
      <c r="H174" s="3" t="s">
        <v>58</v>
      </c>
      <c r="I174" s="3" t="s">
        <v>58</v>
      </c>
      <c r="J174" s="3" t="s">
        <v>60</v>
      </c>
      <c r="K174" s="2" t="s">
        <v>2048</v>
      </c>
      <c r="L174" s="2" t="s">
        <v>2049</v>
      </c>
      <c r="M174" s="3" t="s">
        <v>2050</v>
      </c>
      <c r="N174" s="2" t="s">
        <v>2051</v>
      </c>
      <c r="O174" s="3" t="s">
        <v>63</v>
      </c>
      <c r="P174" s="3" t="s">
        <v>64</v>
      </c>
      <c r="Q174" s="2" t="s">
        <v>2052</v>
      </c>
      <c r="R174" s="3" t="s">
        <v>65</v>
      </c>
      <c r="S174" s="4">
        <v>4</v>
      </c>
      <c r="T174" s="4">
        <v>4</v>
      </c>
      <c r="U174" s="5" t="s">
        <v>2053</v>
      </c>
      <c r="V174" s="5" t="s">
        <v>2053</v>
      </c>
      <c r="W174" s="5" t="s">
        <v>2054</v>
      </c>
      <c r="X174" s="5" t="s">
        <v>2054</v>
      </c>
      <c r="Y174" s="4">
        <v>544</v>
      </c>
      <c r="Z174" s="4">
        <v>525</v>
      </c>
      <c r="AA174" s="4">
        <v>547</v>
      </c>
      <c r="AB174" s="4">
        <v>8</v>
      </c>
      <c r="AC174" s="4">
        <v>8</v>
      </c>
      <c r="AD174" s="4">
        <v>12</v>
      </c>
      <c r="AE174" s="4">
        <v>12</v>
      </c>
      <c r="AF174" s="4">
        <v>3</v>
      </c>
      <c r="AG174" s="4">
        <v>3</v>
      </c>
      <c r="AH174" s="4">
        <v>0</v>
      </c>
      <c r="AI174" s="4">
        <v>0</v>
      </c>
      <c r="AJ174" s="4">
        <v>5</v>
      </c>
      <c r="AK174" s="4">
        <v>5</v>
      </c>
      <c r="AL174" s="4">
        <v>4</v>
      </c>
      <c r="AM174" s="4">
        <v>4</v>
      </c>
      <c r="AN174" s="4">
        <v>0</v>
      </c>
      <c r="AO174" s="4">
        <v>0</v>
      </c>
      <c r="AP174" s="3" t="s">
        <v>58</v>
      </c>
      <c r="AQ174" s="3" t="s">
        <v>68</v>
      </c>
      <c r="AR174" s="6" t="str">
        <f>HYPERLINK("http://catalog.hathitrust.org/Record/000007268","HathiTrust Record")</f>
        <v>HathiTrust Record</v>
      </c>
      <c r="AS174" s="6" t="str">
        <f>HYPERLINK("https://creighton-primo.hosted.exlibrisgroup.com/primo-explore/search?tab=default_tab&amp;search_scope=EVERYTHING&amp;vid=01CRU&amp;lang=en_US&amp;offset=0&amp;query=any,contains,991002944679702656","Catalog Record")</f>
        <v>Catalog Record</v>
      </c>
      <c r="AT174" s="6" t="str">
        <f>HYPERLINK("http://www.worldcat.org/oclc/536567","WorldCat Record")</f>
        <v>WorldCat Record</v>
      </c>
      <c r="AU174" s="3" t="s">
        <v>2055</v>
      </c>
      <c r="AV174" s="3" t="s">
        <v>2056</v>
      </c>
      <c r="AW174" s="3" t="s">
        <v>2057</v>
      </c>
      <c r="AX174" s="3" t="s">
        <v>2057</v>
      </c>
      <c r="AY174" s="3" t="s">
        <v>2058</v>
      </c>
      <c r="AZ174" s="3" t="s">
        <v>73</v>
      </c>
      <c r="BC174" s="3" t="s">
        <v>2059</v>
      </c>
      <c r="BD174" s="3" t="s">
        <v>2060</v>
      </c>
    </row>
    <row r="175" spans="1:56" ht="31.5" customHeight="1" x14ac:dyDescent="0.25">
      <c r="A175" s="7" t="s">
        <v>58</v>
      </c>
      <c r="B175" s="2" t="s">
        <v>2061</v>
      </c>
      <c r="C175" s="2" t="s">
        <v>2062</v>
      </c>
      <c r="D175" s="2" t="s">
        <v>2063</v>
      </c>
      <c r="F175" s="3" t="s">
        <v>58</v>
      </c>
      <c r="G175" s="3" t="s">
        <v>59</v>
      </c>
      <c r="H175" s="3" t="s">
        <v>58</v>
      </c>
      <c r="I175" s="3" t="s">
        <v>58</v>
      </c>
      <c r="J175" s="3" t="s">
        <v>60</v>
      </c>
      <c r="K175" s="2" t="s">
        <v>2064</v>
      </c>
      <c r="L175" s="2" t="s">
        <v>2065</v>
      </c>
      <c r="M175" s="3" t="s">
        <v>850</v>
      </c>
      <c r="N175" s="2" t="s">
        <v>1616</v>
      </c>
      <c r="O175" s="3" t="s">
        <v>63</v>
      </c>
      <c r="P175" s="3" t="s">
        <v>796</v>
      </c>
      <c r="R175" s="3" t="s">
        <v>65</v>
      </c>
      <c r="S175" s="4">
        <v>3</v>
      </c>
      <c r="T175" s="4">
        <v>3</v>
      </c>
      <c r="U175" s="5" t="s">
        <v>2025</v>
      </c>
      <c r="V175" s="5" t="s">
        <v>2025</v>
      </c>
      <c r="W175" s="5" t="s">
        <v>204</v>
      </c>
      <c r="X175" s="5" t="s">
        <v>204</v>
      </c>
      <c r="Y175" s="4">
        <v>411</v>
      </c>
      <c r="Z175" s="4">
        <v>380</v>
      </c>
      <c r="AA175" s="4">
        <v>390</v>
      </c>
      <c r="AB175" s="4">
        <v>6</v>
      </c>
      <c r="AC175" s="4">
        <v>6</v>
      </c>
      <c r="AD175" s="4">
        <v>14</v>
      </c>
      <c r="AE175" s="4">
        <v>14</v>
      </c>
      <c r="AF175" s="4">
        <v>4</v>
      </c>
      <c r="AG175" s="4">
        <v>4</v>
      </c>
      <c r="AH175" s="4">
        <v>2</v>
      </c>
      <c r="AI175" s="4">
        <v>2</v>
      </c>
      <c r="AJ175" s="4">
        <v>7</v>
      </c>
      <c r="AK175" s="4">
        <v>7</v>
      </c>
      <c r="AL175" s="4">
        <v>4</v>
      </c>
      <c r="AM175" s="4">
        <v>4</v>
      </c>
      <c r="AN175" s="4">
        <v>0</v>
      </c>
      <c r="AO175" s="4">
        <v>0</v>
      </c>
      <c r="AP175" s="3" t="s">
        <v>68</v>
      </c>
      <c r="AQ175" s="3" t="s">
        <v>58</v>
      </c>
      <c r="AR175" s="6" t="str">
        <f>HYPERLINK("http://catalog.hathitrust.org/Record/001475898","HathiTrust Record")</f>
        <v>HathiTrust Record</v>
      </c>
      <c r="AS175" s="6" t="str">
        <f>HYPERLINK("https://creighton-primo.hosted.exlibrisgroup.com/primo-explore/search?tab=default_tab&amp;search_scope=EVERYTHING&amp;vid=01CRU&amp;lang=en_US&amp;offset=0&amp;query=any,contains,991003457199702656","Catalog Record")</f>
        <v>Catalog Record</v>
      </c>
      <c r="AT175" s="6" t="str">
        <f>HYPERLINK("http://www.worldcat.org/oclc/997380","WorldCat Record")</f>
        <v>WorldCat Record</v>
      </c>
      <c r="AU175" s="3" t="s">
        <v>2066</v>
      </c>
      <c r="AV175" s="3" t="s">
        <v>2067</v>
      </c>
      <c r="AW175" s="3" t="s">
        <v>2068</v>
      </c>
      <c r="AX175" s="3" t="s">
        <v>2068</v>
      </c>
      <c r="AY175" s="3" t="s">
        <v>2069</v>
      </c>
      <c r="AZ175" s="3" t="s">
        <v>73</v>
      </c>
      <c r="BC175" s="3" t="s">
        <v>2070</v>
      </c>
      <c r="BD175" s="3" t="s">
        <v>2071</v>
      </c>
    </row>
    <row r="176" spans="1:56" ht="31.5" customHeight="1" x14ac:dyDescent="0.25">
      <c r="A176" s="7" t="s">
        <v>58</v>
      </c>
      <c r="B176" s="2" t="s">
        <v>2072</v>
      </c>
      <c r="C176" s="2" t="s">
        <v>2073</v>
      </c>
      <c r="D176" s="2" t="s">
        <v>2074</v>
      </c>
      <c r="F176" s="3" t="s">
        <v>58</v>
      </c>
      <c r="G176" s="3" t="s">
        <v>59</v>
      </c>
      <c r="H176" s="3" t="s">
        <v>58</v>
      </c>
      <c r="I176" s="3" t="s">
        <v>58</v>
      </c>
      <c r="J176" s="3" t="s">
        <v>60</v>
      </c>
      <c r="K176" s="2" t="s">
        <v>2075</v>
      </c>
      <c r="L176" s="2" t="s">
        <v>2076</v>
      </c>
      <c r="M176" s="3" t="s">
        <v>537</v>
      </c>
      <c r="N176" s="2" t="s">
        <v>501</v>
      </c>
      <c r="O176" s="3" t="s">
        <v>63</v>
      </c>
      <c r="P176" s="3" t="s">
        <v>64</v>
      </c>
      <c r="R176" s="3" t="s">
        <v>65</v>
      </c>
      <c r="S176" s="4">
        <v>3</v>
      </c>
      <c r="T176" s="4">
        <v>3</v>
      </c>
      <c r="U176" s="5" t="s">
        <v>2077</v>
      </c>
      <c r="V176" s="5" t="s">
        <v>2077</v>
      </c>
      <c r="W176" s="5" t="s">
        <v>2078</v>
      </c>
      <c r="X176" s="5" t="s">
        <v>2078</v>
      </c>
      <c r="Y176" s="4">
        <v>955</v>
      </c>
      <c r="Z176" s="4">
        <v>907</v>
      </c>
      <c r="AA176" s="4">
        <v>931</v>
      </c>
      <c r="AB176" s="4">
        <v>4</v>
      </c>
      <c r="AC176" s="4">
        <v>4</v>
      </c>
      <c r="AD176" s="4">
        <v>10</v>
      </c>
      <c r="AE176" s="4">
        <v>10</v>
      </c>
      <c r="AF176" s="4">
        <v>1</v>
      </c>
      <c r="AG176" s="4">
        <v>1</v>
      </c>
      <c r="AH176" s="4">
        <v>4</v>
      </c>
      <c r="AI176" s="4">
        <v>4</v>
      </c>
      <c r="AJ176" s="4">
        <v>7</v>
      </c>
      <c r="AK176" s="4">
        <v>7</v>
      </c>
      <c r="AL176" s="4">
        <v>0</v>
      </c>
      <c r="AM176" s="4">
        <v>0</v>
      </c>
      <c r="AN176" s="4">
        <v>0</v>
      </c>
      <c r="AO176" s="4">
        <v>0</v>
      </c>
      <c r="AP176" s="3" t="s">
        <v>58</v>
      </c>
      <c r="AQ176" s="3" t="s">
        <v>58</v>
      </c>
      <c r="AS176" s="6" t="str">
        <f>HYPERLINK("https://creighton-primo.hosted.exlibrisgroup.com/primo-explore/search?tab=default_tab&amp;search_scope=EVERYTHING&amp;vid=01CRU&amp;lang=en_US&amp;offset=0&amp;query=any,contains,991001784539702656","Catalog Record")</f>
        <v>Catalog Record</v>
      </c>
      <c r="AT176" s="6" t="str">
        <f>HYPERLINK("http://www.worldcat.org/oclc/22493115","WorldCat Record")</f>
        <v>WorldCat Record</v>
      </c>
      <c r="AU176" s="3" t="s">
        <v>2079</v>
      </c>
      <c r="AV176" s="3" t="s">
        <v>2080</v>
      </c>
      <c r="AW176" s="3" t="s">
        <v>2081</v>
      </c>
      <c r="AX176" s="3" t="s">
        <v>2081</v>
      </c>
      <c r="AY176" s="3" t="s">
        <v>2082</v>
      </c>
      <c r="AZ176" s="3" t="s">
        <v>73</v>
      </c>
      <c r="BB176" s="3" t="s">
        <v>2083</v>
      </c>
      <c r="BC176" s="3" t="s">
        <v>2084</v>
      </c>
      <c r="BD176" s="3" t="s">
        <v>2085</v>
      </c>
    </row>
    <row r="177" spans="1:56" ht="31.5" customHeight="1" x14ac:dyDescent="0.25">
      <c r="A177" s="7" t="s">
        <v>58</v>
      </c>
      <c r="B177" s="2" t="s">
        <v>2086</v>
      </c>
      <c r="C177" s="2" t="s">
        <v>2087</v>
      </c>
      <c r="D177" s="2" t="s">
        <v>2088</v>
      </c>
      <c r="F177" s="3" t="s">
        <v>58</v>
      </c>
      <c r="G177" s="3" t="s">
        <v>59</v>
      </c>
      <c r="H177" s="3" t="s">
        <v>58</v>
      </c>
      <c r="I177" s="3" t="s">
        <v>58</v>
      </c>
      <c r="J177" s="3" t="s">
        <v>60</v>
      </c>
      <c r="K177" s="2" t="s">
        <v>2075</v>
      </c>
      <c r="L177" s="2" t="s">
        <v>2089</v>
      </c>
      <c r="M177" s="3" t="s">
        <v>877</v>
      </c>
      <c r="O177" s="3" t="s">
        <v>63</v>
      </c>
      <c r="P177" s="3" t="s">
        <v>64</v>
      </c>
      <c r="R177" s="3" t="s">
        <v>65</v>
      </c>
      <c r="S177" s="4">
        <v>2</v>
      </c>
      <c r="T177" s="4">
        <v>2</v>
      </c>
      <c r="U177" s="5" t="s">
        <v>2090</v>
      </c>
      <c r="V177" s="5" t="s">
        <v>2090</v>
      </c>
      <c r="W177" s="5" t="s">
        <v>2091</v>
      </c>
      <c r="X177" s="5" t="s">
        <v>2091</v>
      </c>
      <c r="Y177" s="4">
        <v>667</v>
      </c>
      <c r="Z177" s="4">
        <v>638</v>
      </c>
      <c r="AA177" s="4">
        <v>653</v>
      </c>
      <c r="AB177" s="4">
        <v>4</v>
      </c>
      <c r="AC177" s="4">
        <v>4</v>
      </c>
      <c r="AD177" s="4">
        <v>14</v>
      </c>
      <c r="AE177" s="4">
        <v>14</v>
      </c>
      <c r="AF177" s="4">
        <v>6</v>
      </c>
      <c r="AG177" s="4">
        <v>6</v>
      </c>
      <c r="AH177" s="4">
        <v>2</v>
      </c>
      <c r="AI177" s="4">
        <v>2</v>
      </c>
      <c r="AJ177" s="4">
        <v>7</v>
      </c>
      <c r="AK177" s="4">
        <v>7</v>
      </c>
      <c r="AL177" s="4">
        <v>2</v>
      </c>
      <c r="AM177" s="4">
        <v>2</v>
      </c>
      <c r="AN177" s="4">
        <v>0</v>
      </c>
      <c r="AO177" s="4">
        <v>0</v>
      </c>
      <c r="AP177" s="3" t="s">
        <v>58</v>
      </c>
      <c r="AQ177" s="3" t="s">
        <v>58</v>
      </c>
      <c r="AS177" s="6" t="str">
        <f>HYPERLINK("https://creighton-primo.hosted.exlibrisgroup.com/primo-explore/search?tab=default_tab&amp;search_scope=EVERYTHING&amp;vid=01CRU&amp;lang=en_US&amp;offset=0&amp;query=any,contains,991000673999702656","Catalog Record")</f>
        <v>Catalog Record</v>
      </c>
      <c r="AT177" s="6" t="str">
        <f>HYPERLINK("http://www.worldcat.org/oclc/12342598","WorldCat Record")</f>
        <v>WorldCat Record</v>
      </c>
      <c r="AU177" s="3" t="s">
        <v>2092</v>
      </c>
      <c r="AV177" s="3" t="s">
        <v>2093</v>
      </c>
      <c r="AW177" s="3" t="s">
        <v>2094</v>
      </c>
      <c r="AX177" s="3" t="s">
        <v>2094</v>
      </c>
      <c r="AY177" s="3" t="s">
        <v>2095</v>
      </c>
      <c r="AZ177" s="3" t="s">
        <v>73</v>
      </c>
      <c r="BB177" s="3" t="s">
        <v>2096</v>
      </c>
      <c r="BC177" s="3" t="s">
        <v>2097</v>
      </c>
      <c r="BD177" s="3" t="s">
        <v>2098</v>
      </c>
    </row>
    <row r="178" spans="1:56" ht="31.5" customHeight="1" x14ac:dyDescent="0.25">
      <c r="A178" s="7" t="s">
        <v>58</v>
      </c>
      <c r="B178" s="2" t="s">
        <v>2099</v>
      </c>
      <c r="C178" s="2" t="s">
        <v>2100</v>
      </c>
      <c r="D178" s="2" t="s">
        <v>2101</v>
      </c>
      <c r="F178" s="3" t="s">
        <v>58</v>
      </c>
      <c r="G178" s="3" t="s">
        <v>59</v>
      </c>
      <c r="H178" s="3" t="s">
        <v>58</v>
      </c>
      <c r="I178" s="3" t="s">
        <v>58</v>
      </c>
      <c r="J178" s="3" t="s">
        <v>60</v>
      </c>
      <c r="K178" s="2" t="s">
        <v>2102</v>
      </c>
      <c r="L178" s="2" t="s">
        <v>2103</v>
      </c>
      <c r="M178" s="3" t="s">
        <v>244</v>
      </c>
      <c r="O178" s="3" t="s">
        <v>63</v>
      </c>
      <c r="P178" s="3" t="s">
        <v>64</v>
      </c>
      <c r="R178" s="3" t="s">
        <v>65</v>
      </c>
      <c r="S178" s="4">
        <v>2</v>
      </c>
      <c r="T178" s="4">
        <v>2</v>
      </c>
      <c r="U178" s="5" t="s">
        <v>2104</v>
      </c>
      <c r="V178" s="5" t="s">
        <v>2104</v>
      </c>
      <c r="W178" s="5" t="s">
        <v>204</v>
      </c>
      <c r="X178" s="5" t="s">
        <v>204</v>
      </c>
      <c r="Y178" s="4">
        <v>993</v>
      </c>
      <c r="Z178" s="4">
        <v>938</v>
      </c>
      <c r="AA178" s="4">
        <v>1020</v>
      </c>
      <c r="AB178" s="4">
        <v>4</v>
      </c>
      <c r="AC178" s="4">
        <v>4</v>
      </c>
      <c r="AD178" s="4">
        <v>23</v>
      </c>
      <c r="AE178" s="4">
        <v>24</v>
      </c>
      <c r="AF178" s="4">
        <v>11</v>
      </c>
      <c r="AG178" s="4">
        <v>11</v>
      </c>
      <c r="AH178" s="4">
        <v>3</v>
      </c>
      <c r="AI178" s="4">
        <v>4</v>
      </c>
      <c r="AJ178" s="4">
        <v>12</v>
      </c>
      <c r="AK178" s="4">
        <v>12</v>
      </c>
      <c r="AL178" s="4">
        <v>3</v>
      </c>
      <c r="AM178" s="4">
        <v>3</v>
      </c>
      <c r="AN178" s="4">
        <v>0</v>
      </c>
      <c r="AO178" s="4">
        <v>0</v>
      </c>
      <c r="AP178" s="3" t="s">
        <v>58</v>
      </c>
      <c r="AQ178" s="3" t="s">
        <v>68</v>
      </c>
      <c r="AR178" s="6" t="str">
        <f>HYPERLINK("http://catalog.hathitrust.org/Record/000141020","HathiTrust Record")</f>
        <v>HathiTrust Record</v>
      </c>
      <c r="AS178" s="6" t="str">
        <f>HYPERLINK("https://creighton-primo.hosted.exlibrisgroup.com/primo-explore/search?tab=default_tab&amp;search_scope=EVERYTHING&amp;vid=01CRU&amp;lang=en_US&amp;offset=0&amp;query=any,contains,991005047919702656","Catalog Record")</f>
        <v>Catalog Record</v>
      </c>
      <c r="AT178" s="6" t="str">
        <f>HYPERLINK("http://www.worldcat.org/oclc/6861550","WorldCat Record")</f>
        <v>WorldCat Record</v>
      </c>
      <c r="AU178" s="3" t="s">
        <v>2105</v>
      </c>
      <c r="AV178" s="3" t="s">
        <v>2106</v>
      </c>
      <c r="AW178" s="3" t="s">
        <v>2107</v>
      </c>
      <c r="AX178" s="3" t="s">
        <v>2107</v>
      </c>
      <c r="AY178" s="3" t="s">
        <v>2108</v>
      </c>
      <c r="AZ178" s="3" t="s">
        <v>73</v>
      </c>
      <c r="BB178" s="3" t="s">
        <v>2109</v>
      </c>
      <c r="BC178" s="3" t="s">
        <v>2110</v>
      </c>
      <c r="BD178" s="3" t="s">
        <v>2111</v>
      </c>
    </row>
    <row r="179" spans="1:56" ht="31.5" customHeight="1" x14ac:dyDescent="0.25">
      <c r="A179" s="7" t="s">
        <v>58</v>
      </c>
      <c r="B179" s="2" t="s">
        <v>2112</v>
      </c>
      <c r="C179" s="2" t="s">
        <v>2113</v>
      </c>
      <c r="D179" s="2" t="s">
        <v>2114</v>
      </c>
      <c r="F179" s="3" t="s">
        <v>58</v>
      </c>
      <c r="G179" s="3" t="s">
        <v>59</v>
      </c>
      <c r="H179" s="3" t="s">
        <v>58</v>
      </c>
      <c r="I179" s="3" t="s">
        <v>58</v>
      </c>
      <c r="J179" s="3" t="s">
        <v>60</v>
      </c>
      <c r="K179" s="2" t="s">
        <v>2115</v>
      </c>
      <c r="L179" s="2" t="s">
        <v>2116</v>
      </c>
      <c r="M179" s="3" t="s">
        <v>2117</v>
      </c>
      <c r="N179" s="2" t="s">
        <v>2118</v>
      </c>
      <c r="O179" s="3" t="s">
        <v>63</v>
      </c>
      <c r="P179" s="3" t="s">
        <v>64</v>
      </c>
      <c r="R179" s="3" t="s">
        <v>65</v>
      </c>
      <c r="S179" s="4">
        <v>1</v>
      </c>
      <c r="T179" s="4">
        <v>1</v>
      </c>
      <c r="U179" s="5" t="s">
        <v>2119</v>
      </c>
      <c r="V179" s="5" t="s">
        <v>2119</v>
      </c>
      <c r="W179" s="5" t="s">
        <v>388</v>
      </c>
      <c r="X179" s="5" t="s">
        <v>388</v>
      </c>
      <c r="Y179" s="4">
        <v>532</v>
      </c>
      <c r="Z179" s="4">
        <v>495</v>
      </c>
      <c r="AA179" s="4">
        <v>967</v>
      </c>
      <c r="AB179" s="4">
        <v>3</v>
      </c>
      <c r="AC179" s="4">
        <v>8</v>
      </c>
      <c r="AD179" s="4">
        <v>9</v>
      </c>
      <c r="AE179" s="4">
        <v>24</v>
      </c>
      <c r="AF179" s="4">
        <v>6</v>
      </c>
      <c r="AG179" s="4">
        <v>12</v>
      </c>
      <c r="AH179" s="4">
        <v>1</v>
      </c>
      <c r="AI179" s="4">
        <v>5</v>
      </c>
      <c r="AJ179" s="4">
        <v>6</v>
      </c>
      <c r="AK179" s="4">
        <v>11</v>
      </c>
      <c r="AL179" s="4">
        <v>1</v>
      </c>
      <c r="AM179" s="4">
        <v>4</v>
      </c>
      <c r="AN179" s="4">
        <v>0</v>
      </c>
      <c r="AO179" s="4">
        <v>0</v>
      </c>
      <c r="AP179" s="3" t="s">
        <v>58</v>
      </c>
      <c r="AQ179" s="3" t="s">
        <v>68</v>
      </c>
      <c r="AR179" s="6" t="str">
        <f>HYPERLINK("http://catalog.hathitrust.org/Record/000019091","HathiTrust Record")</f>
        <v>HathiTrust Record</v>
      </c>
      <c r="AS179" s="6" t="str">
        <f>HYPERLINK("https://creighton-primo.hosted.exlibrisgroup.com/primo-explore/search?tab=default_tab&amp;search_scope=EVERYTHING&amp;vid=01CRU&amp;lang=en_US&amp;offset=0&amp;query=any,contains,991004874969702656","Catalog Record")</f>
        <v>Catalog Record</v>
      </c>
      <c r="AT179" s="6" t="str">
        <f>HYPERLINK("http://www.worldcat.org/oclc/5782277","WorldCat Record")</f>
        <v>WorldCat Record</v>
      </c>
      <c r="AU179" s="3" t="s">
        <v>2120</v>
      </c>
      <c r="AV179" s="3" t="s">
        <v>2121</v>
      </c>
      <c r="AW179" s="3" t="s">
        <v>2122</v>
      </c>
      <c r="AX179" s="3" t="s">
        <v>2122</v>
      </c>
      <c r="AY179" s="3" t="s">
        <v>2123</v>
      </c>
      <c r="AZ179" s="3" t="s">
        <v>73</v>
      </c>
      <c r="BB179" s="3" t="s">
        <v>2124</v>
      </c>
      <c r="BC179" s="3" t="s">
        <v>2125</v>
      </c>
      <c r="BD179" s="3" t="s">
        <v>2126</v>
      </c>
    </row>
    <row r="180" spans="1:56" ht="31.5" customHeight="1" x14ac:dyDescent="0.25">
      <c r="A180" s="7" t="s">
        <v>58</v>
      </c>
      <c r="B180" s="2" t="s">
        <v>2127</v>
      </c>
      <c r="C180" s="2" t="s">
        <v>2128</v>
      </c>
      <c r="D180" s="2" t="s">
        <v>2129</v>
      </c>
      <c r="F180" s="3" t="s">
        <v>58</v>
      </c>
      <c r="G180" s="3" t="s">
        <v>59</v>
      </c>
      <c r="H180" s="3" t="s">
        <v>58</v>
      </c>
      <c r="I180" s="3" t="s">
        <v>58</v>
      </c>
      <c r="J180" s="3" t="s">
        <v>60</v>
      </c>
      <c r="K180" s="2" t="s">
        <v>2130</v>
      </c>
      <c r="L180" s="2" t="s">
        <v>2131</v>
      </c>
      <c r="M180" s="3" t="s">
        <v>2117</v>
      </c>
      <c r="N180" s="2" t="s">
        <v>2132</v>
      </c>
      <c r="O180" s="3" t="s">
        <v>63</v>
      </c>
      <c r="P180" s="3" t="s">
        <v>2133</v>
      </c>
      <c r="R180" s="3" t="s">
        <v>65</v>
      </c>
      <c r="S180" s="4">
        <v>2</v>
      </c>
      <c r="T180" s="4">
        <v>2</v>
      </c>
      <c r="U180" s="5" t="s">
        <v>2134</v>
      </c>
      <c r="V180" s="5" t="s">
        <v>2134</v>
      </c>
      <c r="W180" s="5" t="s">
        <v>2135</v>
      </c>
      <c r="X180" s="5" t="s">
        <v>2135</v>
      </c>
      <c r="Y180" s="4">
        <v>29</v>
      </c>
      <c r="Z180" s="4">
        <v>24</v>
      </c>
      <c r="AA180" s="4">
        <v>310</v>
      </c>
      <c r="AB180" s="4">
        <v>1</v>
      </c>
      <c r="AC180" s="4">
        <v>2</v>
      </c>
      <c r="AD180" s="4">
        <v>1</v>
      </c>
      <c r="AE180" s="4">
        <v>8</v>
      </c>
      <c r="AF180" s="4">
        <v>1</v>
      </c>
      <c r="AG180" s="4">
        <v>3</v>
      </c>
      <c r="AH180" s="4">
        <v>0</v>
      </c>
      <c r="AI180" s="4">
        <v>0</v>
      </c>
      <c r="AJ180" s="4">
        <v>0</v>
      </c>
      <c r="AK180" s="4">
        <v>4</v>
      </c>
      <c r="AL180" s="4">
        <v>0</v>
      </c>
      <c r="AM180" s="4">
        <v>1</v>
      </c>
      <c r="AN180" s="4">
        <v>0</v>
      </c>
      <c r="AO180" s="4">
        <v>0</v>
      </c>
      <c r="AP180" s="3" t="s">
        <v>58</v>
      </c>
      <c r="AQ180" s="3" t="s">
        <v>58</v>
      </c>
      <c r="AS180" s="6" t="str">
        <f>HYPERLINK("https://creighton-primo.hosted.exlibrisgroup.com/primo-explore/search?tab=default_tab&amp;search_scope=EVERYTHING&amp;vid=01CRU&amp;lang=en_US&amp;offset=0&amp;query=any,contains,991004751019702656","Catalog Record")</f>
        <v>Catalog Record</v>
      </c>
      <c r="AT180" s="6" t="str">
        <f>HYPERLINK("http://www.worldcat.org/oclc/4933534","WorldCat Record")</f>
        <v>WorldCat Record</v>
      </c>
      <c r="AU180" s="3" t="s">
        <v>2136</v>
      </c>
      <c r="AV180" s="3" t="s">
        <v>2137</v>
      </c>
      <c r="AW180" s="3" t="s">
        <v>2138</v>
      </c>
      <c r="AX180" s="3" t="s">
        <v>2138</v>
      </c>
      <c r="AY180" s="3" t="s">
        <v>2139</v>
      </c>
      <c r="AZ180" s="3" t="s">
        <v>73</v>
      </c>
      <c r="BB180" s="3" t="s">
        <v>2140</v>
      </c>
      <c r="BC180" s="3" t="s">
        <v>2141</v>
      </c>
      <c r="BD180" s="3" t="s">
        <v>2142</v>
      </c>
    </row>
    <row r="181" spans="1:56" ht="31.5" customHeight="1" x14ac:dyDescent="0.25">
      <c r="A181" s="7" t="s">
        <v>58</v>
      </c>
      <c r="B181" s="2" t="s">
        <v>2143</v>
      </c>
      <c r="C181" s="2" t="s">
        <v>2144</v>
      </c>
      <c r="D181" s="2" t="s">
        <v>2145</v>
      </c>
      <c r="F181" s="3" t="s">
        <v>58</v>
      </c>
      <c r="G181" s="3" t="s">
        <v>59</v>
      </c>
      <c r="H181" s="3" t="s">
        <v>58</v>
      </c>
      <c r="I181" s="3" t="s">
        <v>58</v>
      </c>
      <c r="J181" s="3" t="s">
        <v>60</v>
      </c>
      <c r="K181" s="2" t="s">
        <v>2146</v>
      </c>
      <c r="L181" s="2" t="s">
        <v>2147</v>
      </c>
      <c r="M181" s="3" t="s">
        <v>2117</v>
      </c>
      <c r="O181" s="3" t="s">
        <v>63</v>
      </c>
      <c r="P181" s="3" t="s">
        <v>64</v>
      </c>
      <c r="R181" s="3" t="s">
        <v>65</v>
      </c>
      <c r="S181" s="4">
        <v>5</v>
      </c>
      <c r="T181" s="4">
        <v>5</v>
      </c>
      <c r="U181" s="5" t="s">
        <v>2148</v>
      </c>
      <c r="V181" s="5" t="s">
        <v>2148</v>
      </c>
      <c r="W181" s="5" t="s">
        <v>388</v>
      </c>
      <c r="X181" s="5" t="s">
        <v>388</v>
      </c>
      <c r="Y181" s="4">
        <v>566</v>
      </c>
      <c r="Z181" s="4">
        <v>525</v>
      </c>
      <c r="AA181" s="4">
        <v>695</v>
      </c>
      <c r="AB181" s="4">
        <v>3</v>
      </c>
      <c r="AC181" s="4">
        <v>3</v>
      </c>
      <c r="AD181" s="4">
        <v>9</v>
      </c>
      <c r="AE181" s="4">
        <v>14</v>
      </c>
      <c r="AF181" s="4">
        <v>4</v>
      </c>
      <c r="AG181" s="4">
        <v>6</v>
      </c>
      <c r="AH181" s="4">
        <v>2</v>
      </c>
      <c r="AI181" s="4">
        <v>2</v>
      </c>
      <c r="AJ181" s="4">
        <v>4</v>
      </c>
      <c r="AK181" s="4">
        <v>7</v>
      </c>
      <c r="AL181" s="4">
        <v>1</v>
      </c>
      <c r="AM181" s="4">
        <v>1</v>
      </c>
      <c r="AN181" s="4">
        <v>0</v>
      </c>
      <c r="AO181" s="4">
        <v>0</v>
      </c>
      <c r="AP181" s="3" t="s">
        <v>58</v>
      </c>
      <c r="AQ181" s="3" t="s">
        <v>68</v>
      </c>
      <c r="AR181" s="6" t="str">
        <f>HYPERLINK("http://catalog.hathitrust.org/Record/000030301","HathiTrust Record")</f>
        <v>HathiTrust Record</v>
      </c>
      <c r="AS181" s="6" t="str">
        <f>HYPERLINK("https://creighton-primo.hosted.exlibrisgroup.com/primo-explore/search?tab=default_tab&amp;search_scope=EVERYTHING&amp;vid=01CRU&amp;lang=en_US&amp;offset=0&amp;query=any,contains,991004695409702656","Catalog Record")</f>
        <v>Catalog Record</v>
      </c>
      <c r="AT181" s="6" t="str">
        <f>HYPERLINK("http://www.worldcat.org/oclc/4638967","WorldCat Record")</f>
        <v>WorldCat Record</v>
      </c>
      <c r="AU181" s="3" t="s">
        <v>2149</v>
      </c>
      <c r="AV181" s="3" t="s">
        <v>2150</v>
      </c>
      <c r="AW181" s="3" t="s">
        <v>2151</v>
      </c>
      <c r="AX181" s="3" t="s">
        <v>2151</v>
      </c>
      <c r="AY181" s="3" t="s">
        <v>2152</v>
      </c>
      <c r="AZ181" s="3" t="s">
        <v>73</v>
      </c>
      <c r="BB181" s="3" t="s">
        <v>2153</v>
      </c>
      <c r="BC181" s="3" t="s">
        <v>2154</v>
      </c>
      <c r="BD181" s="3" t="s">
        <v>2155</v>
      </c>
    </row>
    <row r="182" spans="1:56" ht="31.5" customHeight="1" x14ac:dyDescent="0.25">
      <c r="A182" s="7" t="s">
        <v>58</v>
      </c>
      <c r="B182" s="2" t="s">
        <v>2156</v>
      </c>
      <c r="C182" s="2" t="s">
        <v>2157</v>
      </c>
      <c r="D182" s="2" t="s">
        <v>2158</v>
      </c>
      <c r="F182" s="3" t="s">
        <v>58</v>
      </c>
      <c r="G182" s="3" t="s">
        <v>59</v>
      </c>
      <c r="H182" s="3" t="s">
        <v>58</v>
      </c>
      <c r="I182" s="3" t="s">
        <v>58</v>
      </c>
      <c r="J182" s="3" t="s">
        <v>60</v>
      </c>
      <c r="K182" s="2" t="s">
        <v>2159</v>
      </c>
      <c r="L182" s="2" t="s">
        <v>2160</v>
      </c>
      <c r="M182" s="3" t="s">
        <v>821</v>
      </c>
      <c r="O182" s="3" t="s">
        <v>63</v>
      </c>
      <c r="P182" s="3" t="s">
        <v>360</v>
      </c>
      <c r="R182" s="3" t="s">
        <v>65</v>
      </c>
      <c r="S182" s="4">
        <v>1</v>
      </c>
      <c r="T182" s="4">
        <v>1</v>
      </c>
      <c r="U182" s="5" t="s">
        <v>2161</v>
      </c>
      <c r="V182" s="5" t="s">
        <v>2161</v>
      </c>
      <c r="W182" s="5" t="s">
        <v>204</v>
      </c>
      <c r="X182" s="5" t="s">
        <v>204</v>
      </c>
      <c r="Y182" s="4">
        <v>175</v>
      </c>
      <c r="Z182" s="4">
        <v>167</v>
      </c>
      <c r="AA182" s="4">
        <v>168</v>
      </c>
      <c r="AB182" s="4">
        <v>2</v>
      </c>
      <c r="AC182" s="4">
        <v>2</v>
      </c>
      <c r="AD182" s="4">
        <v>4</v>
      </c>
      <c r="AE182" s="4">
        <v>4</v>
      </c>
      <c r="AF182" s="4">
        <v>2</v>
      </c>
      <c r="AG182" s="4">
        <v>2</v>
      </c>
      <c r="AH182" s="4">
        <v>2</v>
      </c>
      <c r="AI182" s="4">
        <v>2</v>
      </c>
      <c r="AJ182" s="4">
        <v>2</v>
      </c>
      <c r="AK182" s="4">
        <v>2</v>
      </c>
      <c r="AL182" s="4">
        <v>1</v>
      </c>
      <c r="AM182" s="4">
        <v>1</v>
      </c>
      <c r="AN182" s="4">
        <v>0</v>
      </c>
      <c r="AO182" s="4">
        <v>0</v>
      </c>
      <c r="AP182" s="3" t="s">
        <v>58</v>
      </c>
      <c r="AQ182" s="3" t="s">
        <v>68</v>
      </c>
      <c r="AR182" s="6" t="str">
        <f>HYPERLINK("http://catalog.hathitrust.org/Record/000410917","HathiTrust Record")</f>
        <v>HathiTrust Record</v>
      </c>
      <c r="AS182" s="6" t="str">
        <f>HYPERLINK("https://creighton-primo.hosted.exlibrisgroup.com/primo-explore/search?tab=default_tab&amp;search_scope=EVERYTHING&amp;vid=01CRU&amp;lang=en_US&amp;offset=0&amp;query=any,contains,991000263439702656","Catalog Record")</f>
        <v>Catalog Record</v>
      </c>
      <c r="AT182" s="6" t="str">
        <f>HYPERLINK("http://www.worldcat.org/oclc/9827538","WorldCat Record")</f>
        <v>WorldCat Record</v>
      </c>
      <c r="AU182" s="3" t="s">
        <v>2162</v>
      </c>
      <c r="AV182" s="3" t="s">
        <v>2163</v>
      </c>
      <c r="AW182" s="3" t="s">
        <v>2164</v>
      </c>
      <c r="AX182" s="3" t="s">
        <v>2164</v>
      </c>
      <c r="AY182" s="3" t="s">
        <v>2165</v>
      </c>
      <c r="AZ182" s="3" t="s">
        <v>73</v>
      </c>
      <c r="BB182" s="3" t="s">
        <v>2166</v>
      </c>
      <c r="BC182" s="3" t="s">
        <v>2167</v>
      </c>
      <c r="BD182" s="3" t="s">
        <v>2168</v>
      </c>
    </row>
    <row r="183" spans="1:56" ht="31.5" customHeight="1" x14ac:dyDescent="0.25">
      <c r="A183" s="7" t="s">
        <v>58</v>
      </c>
      <c r="B183" s="2" t="s">
        <v>2169</v>
      </c>
      <c r="C183" s="2" t="s">
        <v>2170</v>
      </c>
      <c r="D183" s="2" t="s">
        <v>2171</v>
      </c>
      <c r="F183" s="3" t="s">
        <v>58</v>
      </c>
      <c r="G183" s="3" t="s">
        <v>59</v>
      </c>
      <c r="H183" s="3" t="s">
        <v>58</v>
      </c>
      <c r="I183" s="3" t="s">
        <v>58</v>
      </c>
      <c r="J183" s="3" t="s">
        <v>60</v>
      </c>
      <c r="K183" s="2" t="s">
        <v>2172</v>
      </c>
      <c r="L183" s="2" t="s">
        <v>2173</v>
      </c>
      <c r="M183" s="3" t="s">
        <v>257</v>
      </c>
      <c r="O183" s="3" t="s">
        <v>63</v>
      </c>
      <c r="P183" s="3" t="s">
        <v>2174</v>
      </c>
      <c r="Q183" s="2" t="s">
        <v>2175</v>
      </c>
      <c r="R183" s="3" t="s">
        <v>65</v>
      </c>
      <c r="S183" s="4">
        <v>22</v>
      </c>
      <c r="T183" s="4">
        <v>22</v>
      </c>
      <c r="U183" s="5" t="s">
        <v>2176</v>
      </c>
      <c r="V183" s="5" t="s">
        <v>2176</v>
      </c>
      <c r="W183" s="5" t="s">
        <v>2177</v>
      </c>
      <c r="X183" s="5" t="s">
        <v>2177</v>
      </c>
      <c r="Y183" s="4">
        <v>87</v>
      </c>
      <c r="Z183" s="4">
        <v>71</v>
      </c>
      <c r="AA183" s="4">
        <v>131</v>
      </c>
      <c r="AB183" s="4">
        <v>1</v>
      </c>
      <c r="AC183" s="4">
        <v>3</v>
      </c>
      <c r="AD183" s="4">
        <v>2</v>
      </c>
      <c r="AE183" s="4">
        <v>3</v>
      </c>
      <c r="AF183" s="4">
        <v>0</v>
      </c>
      <c r="AG183" s="4">
        <v>0</v>
      </c>
      <c r="AH183" s="4">
        <v>0</v>
      </c>
      <c r="AI183" s="4">
        <v>0</v>
      </c>
      <c r="AJ183" s="4">
        <v>2</v>
      </c>
      <c r="AK183" s="4">
        <v>2</v>
      </c>
      <c r="AL183" s="4">
        <v>0</v>
      </c>
      <c r="AM183" s="4">
        <v>1</v>
      </c>
      <c r="AN183" s="4">
        <v>0</v>
      </c>
      <c r="AO183" s="4">
        <v>0</v>
      </c>
      <c r="AP183" s="3" t="s">
        <v>58</v>
      </c>
      <c r="AQ183" s="3" t="s">
        <v>68</v>
      </c>
      <c r="AR183" s="6" t="str">
        <f>HYPERLINK("http://catalog.hathitrust.org/Record/012274892","HathiTrust Record")</f>
        <v>HathiTrust Record</v>
      </c>
      <c r="AS183" s="6" t="str">
        <f>HYPERLINK("https://creighton-primo.hosted.exlibrisgroup.com/primo-explore/search?tab=default_tab&amp;search_scope=EVERYTHING&amp;vid=01CRU&amp;lang=en_US&amp;offset=0&amp;query=any,contains,991002772729702656","Catalog Record")</f>
        <v>Catalog Record</v>
      </c>
      <c r="AT183" s="6" t="str">
        <f>HYPERLINK("http://www.worldcat.org/oclc/36411754","WorldCat Record")</f>
        <v>WorldCat Record</v>
      </c>
      <c r="AU183" s="3" t="s">
        <v>2178</v>
      </c>
      <c r="AV183" s="3" t="s">
        <v>2179</v>
      </c>
      <c r="AW183" s="3" t="s">
        <v>2180</v>
      </c>
      <c r="AX183" s="3" t="s">
        <v>2180</v>
      </c>
      <c r="AY183" s="3" t="s">
        <v>2181</v>
      </c>
      <c r="AZ183" s="3" t="s">
        <v>73</v>
      </c>
      <c r="BC183" s="3" t="s">
        <v>2182</v>
      </c>
      <c r="BD183" s="3" t="s">
        <v>2183</v>
      </c>
    </row>
    <row r="184" spans="1:56" ht="31.5" customHeight="1" x14ac:dyDescent="0.25">
      <c r="A184" s="7" t="s">
        <v>58</v>
      </c>
      <c r="B184" s="2" t="s">
        <v>2184</v>
      </c>
      <c r="C184" s="2" t="s">
        <v>2185</v>
      </c>
      <c r="D184" s="2" t="s">
        <v>2186</v>
      </c>
      <c r="F184" s="3" t="s">
        <v>58</v>
      </c>
      <c r="G184" s="3" t="s">
        <v>59</v>
      </c>
      <c r="H184" s="3" t="s">
        <v>58</v>
      </c>
      <c r="I184" s="3" t="s">
        <v>58</v>
      </c>
      <c r="J184" s="3" t="s">
        <v>60</v>
      </c>
      <c r="K184" s="2" t="s">
        <v>2187</v>
      </c>
      <c r="L184" s="2" t="s">
        <v>2188</v>
      </c>
      <c r="M184" s="3" t="s">
        <v>2117</v>
      </c>
      <c r="O184" s="3" t="s">
        <v>63</v>
      </c>
      <c r="P184" s="3" t="s">
        <v>64</v>
      </c>
      <c r="R184" s="3" t="s">
        <v>65</v>
      </c>
      <c r="S184" s="4">
        <v>3</v>
      </c>
      <c r="T184" s="4">
        <v>3</v>
      </c>
      <c r="U184" s="5" t="s">
        <v>1792</v>
      </c>
      <c r="V184" s="5" t="s">
        <v>1792</v>
      </c>
      <c r="W184" s="5" t="s">
        <v>2091</v>
      </c>
      <c r="X184" s="5" t="s">
        <v>2091</v>
      </c>
      <c r="Y184" s="4">
        <v>188</v>
      </c>
      <c r="Z184" s="4">
        <v>188</v>
      </c>
      <c r="AA184" s="4">
        <v>192</v>
      </c>
      <c r="AB184" s="4">
        <v>2</v>
      </c>
      <c r="AC184" s="4">
        <v>2</v>
      </c>
      <c r="AD184" s="4">
        <v>6</v>
      </c>
      <c r="AE184" s="4">
        <v>6</v>
      </c>
      <c r="AF184" s="4">
        <v>3</v>
      </c>
      <c r="AG184" s="4">
        <v>3</v>
      </c>
      <c r="AH184" s="4">
        <v>3</v>
      </c>
      <c r="AI184" s="4">
        <v>3</v>
      </c>
      <c r="AJ184" s="4">
        <v>2</v>
      </c>
      <c r="AK184" s="4">
        <v>2</v>
      </c>
      <c r="AL184" s="4">
        <v>0</v>
      </c>
      <c r="AM184" s="4">
        <v>0</v>
      </c>
      <c r="AN184" s="4">
        <v>0</v>
      </c>
      <c r="AO184" s="4">
        <v>0</v>
      </c>
      <c r="AP184" s="3" t="s">
        <v>58</v>
      </c>
      <c r="AQ184" s="3" t="s">
        <v>58</v>
      </c>
      <c r="AS184" s="6" t="str">
        <f>HYPERLINK("https://creighton-primo.hosted.exlibrisgroup.com/primo-explore/search?tab=default_tab&amp;search_scope=EVERYTHING&amp;vid=01CRU&amp;lang=en_US&amp;offset=0&amp;query=any,contains,991004595249702656","Catalog Record")</f>
        <v>Catalog Record</v>
      </c>
      <c r="AT184" s="6" t="str">
        <f>HYPERLINK("http://www.worldcat.org/oclc/4136466","WorldCat Record")</f>
        <v>WorldCat Record</v>
      </c>
      <c r="AU184" s="3" t="s">
        <v>2189</v>
      </c>
      <c r="AV184" s="3" t="s">
        <v>2190</v>
      </c>
      <c r="AW184" s="3" t="s">
        <v>2191</v>
      </c>
      <c r="AX184" s="3" t="s">
        <v>2191</v>
      </c>
      <c r="AY184" s="3" t="s">
        <v>2192</v>
      </c>
      <c r="AZ184" s="3" t="s">
        <v>73</v>
      </c>
      <c r="BB184" s="3" t="s">
        <v>2193</v>
      </c>
      <c r="BC184" s="3" t="s">
        <v>2194</v>
      </c>
      <c r="BD184" s="3" t="s">
        <v>2195</v>
      </c>
    </row>
    <row r="185" spans="1:56" ht="31.5" customHeight="1" x14ac:dyDescent="0.25">
      <c r="A185" s="7" t="s">
        <v>58</v>
      </c>
      <c r="B185" s="2" t="s">
        <v>2196</v>
      </c>
      <c r="C185" s="2" t="s">
        <v>2197</v>
      </c>
      <c r="D185" s="2" t="s">
        <v>2198</v>
      </c>
      <c r="F185" s="3" t="s">
        <v>58</v>
      </c>
      <c r="G185" s="3" t="s">
        <v>59</v>
      </c>
      <c r="H185" s="3" t="s">
        <v>58</v>
      </c>
      <c r="I185" s="3" t="s">
        <v>58</v>
      </c>
      <c r="J185" s="3" t="s">
        <v>60</v>
      </c>
      <c r="K185" s="2" t="s">
        <v>2199</v>
      </c>
      <c r="L185" s="2" t="s">
        <v>2200</v>
      </c>
      <c r="M185" s="3" t="s">
        <v>230</v>
      </c>
      <c r="O185" s="3" t="s">
        <v>63</v>
      </c>
      <c r="P185" s="3" t="s">
        <v>2174</v>
      </c>
      <c r="Q185" s="2" t="s">
        <v>2175</v>
      </c>
      <c r="R185" s="3" t="s">
        <v>65</v>
      </c>
      <c r="S185" s="4">
        <v>8</v>
      </c>
      <c r="T185" s="4">
        <v>8</v>
      </c>
      <c r="U185" s="5" t="s">
        <v>2201</v>
      </c>
      <c r="V185" s="5" t="s">
        <v>2201</v>
      </c>
      <c r="W185" s="5" t="s">
        <v>2091</v>
      </c>
      <c r="X185" s="5" t="s">
        <v>2091</v>
      </c>
      <c r="Y185" s="4">
        <v>282</v>
      </c>
      <c r="Z185" s="4">
        <v>237</v>
      </c>
      <c r="AA185" s="4">
        <v>243</v>
      </c>
      <c r="AB185" s="4">
        <v>2</v>
      </c>
      <c r="AC185" s="4">
        <v>2</v>
      </c>
      <c r="AD185" s="4">
        <v>5</v>
      </c>
      <c r="AE185" s="4">
        <v>5</v>
      </c>
      <c r="AF185" s="4">
        <v>1</v>
      </c>
      <c r="AG185" s="4">
        <v>1</v>
      </c>
      <c r="AH185" s="4">
        <v>2</v>
      </c>
      <c r="AI185" s="4">
        <v>2</v>
      </c>
      <c r="AJ185" s="4">
        <v>1</v>
      </c>
      <c r="AK185" s="4">
        <v>1</v>
      </c>
      <c r="AL185" s="4">
        <v>1</v>
      </c>
      <c r="AM185" s="4">
        <v>1</v>
      </c>
      <c r="AN185" s="4">
        <v>0</v>
      </c>
      <c r="AO185" s="4">
        <v>0</v>
      </c>
      <c r="AP185" s="3" t="s">
        <v>58</v>
      </c>
      <c r="AQ185" s="3" t="s">
        <v>58</v>
      </c>
      <c r="AS185" s="6" t="str">
        <f>HYPERLINK("https://creighton-primo.hosted.exlibrisgroup.com/primo-explore/search?tab=default_tab&amp;search_scope=EVERYTHING&amp;vid=01CRU&amp;lang=en_US&amp;offset=0&amp;query=any,contains,991004403739702656","Catalog Record")</f>
        <v>Catalog Record</v>
      </c>
      <c r="AT185" s="6" t="str">
        <f>HYPERLINK("http://www.worldcat.org/oclc/3311908","WorldCat Record")</f>
        <v>WorldCat Record</v>
      </c>
      <c r="AU185" s="3" t="s">
        <v>2202</v>
      </c>
      <c r="AV185" s="3" t="s">
        <v>2203</v>
      </c>
      <c r="AW185" s="3" t="s">
        <v>2204</v>
      </c>
      <c r="AX185" s="3" t="s">
        <v>2204</v>
      </c>
      <c r="AY185" s="3" t="s">
        <v>2205</v>
      </c>
      <c r="AZ185" s="3" t="s">
        <v>73</v>
      </c>
      <c r="BB185" s="3" t="s">
        <v>2206</v>
      </c>
      <c r="BC185" s="3" t="s">
        <v>2207</v>
      </c>
      <c r="BD185" s="3" t="s">
        <v>2208</v>
      </c>
    </row>
    <row r="186" spans="1:56" ht="31.5" customHeight="1" x14ac:dyDescent="0.25">
      <c r="A186" s="7" t="s">
        <v>58</v>
      </c>
      <c r="B186" s="2" t="s">
        <v>2209</v>
      </c>
      <c r="C186" s="2" t="s">
        <v>2210</v>
      </c>
      <c r="D186" s="2" t="s">
        <v>2211</v>
      </c>
      <c r="F186" s="3" t="s">
        <v>58</v>
      </c>
      <c r="G186" s="3" t="s">
        <v>59</v>
      </c>
      <c r="H186" s="3" t="s">
        <v>58</v>
      </c>
      <c r="I186" s="3" t="s">
        <v>58</v>
      </c>
      <c r="J186" s="3" t="s">
        <v>60</v>
      </c>
      <c r="K186" s="2" t="s">
        <v>2199</v>
      </c>
      <c r="L186" s="2" t="s">
        <v>2212</v>
      </c>
      <c r="M186" s="3" t="s">
        <v>443</v>
      </c>
      <c r="O186" s="3" t="s">
        <v>63</v>
      </c>
      <c r="P186" s="3" t="s">
        <v>2174</v>
      </c>
      <c r="Q186" s="2" t="s">
        <v>2175</v>
      </c>
      <c r="R186" s="3" t="s">
        <v>65</v>
      </c>
      <c r="S186" s="4">
        <v>2</v>
      </c>
      <c r="T186" s="4">
        <v>2</v>
      </c>
      <c r="U186" s="5" t="s">
        <v>2213</v>
      </c>
      <c r="V186" s="5" t="s">
        <v>2213</v>
      </c>
      <c r="W186" s="5" t="s">
        <v>2026</v>
      </c>
      <c r="X186" s="5" t="s">
        <v>2026</v>
      </c>
      <c r="Y186" s="4">
        <v>225</v>
      </c>
      <c r="Z186" s="4">
        <v>181</v>
      </c>
      <c r="AA186" s="4">
        <v>410</v>
      </c>
      <c r="AB186" s="4">
        <v>3</v>
      </c>
      <c r="AC186" s="4">
        <v>4</v>
      </c>
      <c r="AD186" s="4">
        <v>7</v>
      </c>
      <c r="AE186" s="4">
        <v>15</v>
      </c>
      <c r="AF186" s="4">
        <v>3</v>
      </c>
      <c r="AG186" s="4">
        <v>5</v>
      </c>
      <c r="AH186" s="4">
        <v>0</v>
      </c>
      <c r="AI186" s="4">
        <v>2</v>
      </c>
      <c r="AJ186" s="4">
        <v>3</v>
      </c>
      <c r="AK186" s="4">
        <v>8</v>
      </c>
      <c r="AL186" s="4">
        <v>2</v>
      </c>
      <c r="AM186" s="4">
        <v>3</v>
      </c>
      <c r="AN186" s="4">
        <v>0</v>
      </c>
      <c r="AO186" s="4">
        <v>0</v>
      </c>
      <c r="AP186" s="3" t="s">
        <v>58</v>
      </c>
      <c r="AQ186" s="3" t="s">
        <v>58</v>
      </c>
      <c r="AS186" s="6" t="str">
        <f>HYPERLINK("https://creighton-primo.hosted.exlibrisgroup.com/primo-explore/search?tab=default_tab&amp;search_scope=EVERYTHING&amp;vid=01CRU&amp;lang=en_US&amp;offset=0&amp;query=any,contains,991004196439702656","Catalog Record")</f>
        <v>Catalog Record</v>
      </c>
      <c r="AT186" s="6" t="str">
        <f>HYPERLINK("http://www.worldcat.org/oclc/2644671","WorldCat Record")</f>
        <v>WorldCat Record</v>
      </c>
      <c r="AU186" s="3" t="s">
        <v>2214</v>
      </c>
      <c r="AV186" s="3" t="s">
        <v>2215</v>
      </c>
      <c r="AW186" s="3" t="s">
        <v>2216</v>
      </c>
      <c r="AX186" s="3" t="s">
        <v>2216</v>
      </c>
      <c r="AY186" s="3" t="s">
        <v>2217</v>
      </c>
      <c r="AZ186" s="3" t="s">
        <v>73</v>
      </c>
      <c r="BB186" s="3" t="s">
        <v>2218</v>
      </c>
      <c r="BC186" s="3" t="s">
        <v>2219</v>
      </c>
      <c r="BD186" s="3" t="s">
        <v>2220</v>
      </c>
    </row>
    <row r="187" spans="1:56" ht="31.5" customHeight="1" x14ac:dyDescent="0.25">
      <c r="A187" s="7" t="s">
        <v>58</v>
      </c>
      <c r="B187" s="2" t="s">
        <v>2221</v>
      </c>
      <c r="C187" s="2" t="s">
        <v>2222</v>
      </c>
      <c r="D187" s="2" t="s">
        <v>2223</v>
      </c>
      <c r="F187" s="3" t="s">
        <v>58</v>
      </c>
      <c r="G187" s="3" t="s">
        <v>59</v>
      </c>
      <c r="H187" s="3" t="s">
        <v>58</v>
      </c>
      <c r="I187" s="3" t="s">
        <v>58</v>
      </c>
      <c r="J187" s="3" t="s">
        <v>60</v>
      </c>
      <c r="K187" s="2" t="s">
        <v>2224</v>
      </c>
      <c r="L187" s="2" t="s">
        <v>2225</v>
      </c>
      <c r="M187" s="3" t="s">
        <v>607</v>
      </c>
      <c r="O187" s="3" t="s">
        <v>63</v>
      </c>
      <c r="P187" s="3" t="s">
        <v>2174</v>
      </c>
      <c r="R187" s="3" t="s">
        <v>65</v>
      </c>
      <c r="S187" s="4">
        <v>3</v>
      </c>
      <c r="T187" s="4">
        <v>3</v>
      </c>
      <c r="U187" s="5" t="s">
        <v>2226</v>
      </c>
      <c r="V187" s="5" t="s">
        <v>2226</v>
      </c>
      <c r="W187" s="5" t="s">
        <v>2227</v>
      </c>
      <c r="X187" s="5" t="s">
        <v>2227</v>
      </c>
      <c r="Y187" s="4">
        <v>454</v>
      </c>
      <c r="Z187" s="4">
        <v>334</v>
      </c>
      <c r="AA187" s="4">
        <v>340</v>
      </c>
      <c r="AB187" s="4">
        <v>2</v>
      </c>
      <c r="AC187" s="4">
        <v>2</v>
      </c>
      <c r="AD187" s="4">
        <v>9</v>
      </c>
      <c r="AE187" s="4">
        <v>9</v>
      </c>
      <c r="AF187" s="4">
        <v>3</v>
      </c>
      <c r="AG187" s="4">
        <v>3</v>
      </c>
      <c r="AH187" s="4">
        <v>2</v>
      </c>
      <c r="AI187" s="4">
        <v>2</v>
      </c>
      <c r="AJ187" s="4">
        <v>6</v>
      </c>
      <c r="AK187" s="4">
        <v>6</v>
      </c>
      <c r="AL187" s="4">
        <v>1</v>
      </c>
      <c r="AM187" s="4">
        <v>1</v>
      </c>
      <c r="AN187" s="4">
        <v>0</v>
      </c>
      <c r="AO187" s="4">
        <v>0</v>
      </c>
      <c r="AP187" s="3" t="s">
        <v>58</v>
      </c>
      <c r="AQ187" s="3" t="s">
        <v>68</v>
      </c>
      <c r="AR187" s="6" t="str">
        <f>HYPERLINK("http://catalog.hathitrust.org/Record/001475961","HathiTrust Record")</f>
        <v>HathiTrust Record</v>
      </c>
      <c r="AS187" s="6" t="str">
        <f>HYPERLINK("https://creighton-primo.hosted.exlibrisgroup.com/primo-explore/search?tab=default_tab&amp;search_scope=EVERYTHING&amp;vid=01CRU&amp;lang=en_US&amp;offset=0&amp;query=any,contains,991003148009702656","Catalog Record")</f>
        <v>Catalog Record</v>
      </c>
      <c r="AT187" s="6" t="str">
        <f>HYPERLINK("http://www.worldcat.org/oclc/688169","WorldCat Record")</f>
        <v>WorldCat Record</v>
      </c>
      <c r="AU187" s="3" t="s">
        <v>2228</v>
      </c>
      <c r="AV187" s="3" t="s">
        <v>2229</v>
      </c>
      <c r="AW187" s="3" t="s">
        <v>2230</v>
      </c>
      <c r="AX187" s="3" t="s">
        <v>2230</v>
      </c>
      <c r="AY187" s="3" t="s">
        <v>2231</v>
      </c>
      <c r="AZ187" s="3" t="s">
        <v>73</v>
      </c>
      <c r="BB187" s="3" t="s">
        <v>2232</v>
      </c>
      <c r="BC187" s="3" t="s">
        <v>2233</v>
      </c>
      <c r="BD187" s="3" t="s">
        <v>2234</v>
      </c>
    </row>
    <row r="188" spans="1:56" ht="31.5" customHeight="1" x14ac:dyDescent="0.25">
      <c r="A188" s="7" t="s">
        <v>58</v>
      </c>
      <c r="B188" s="2" t="s">
        <v>2235</v>
      </c>
      <c r="C188" s="2" t="s">
        <v>2236</v>
      </c>
      <c r="D188" s="2" t="s">
        <v>2237</v>
      </c>
      <c r="F188" s="3" t="s">
        <v>58</v>
      </c>
      <c r="G188" s="3" t="s">
        <v>59</v>
      </c>
      <c r="H188" s="3" t="s">
        <v>58</v>
      </c>
      <c r="I188" s="3" t="s">
        <v>58</v>
      </c>
      <c r="J188" s="3" t="s">
        <v>60</v>
      </c>
      <c r="K188" s="2" t="s">
        <v>2102</v>
      </c>
      <c r="L188" s="2" t="s">
        <v>2238</v>
      </c>
      <c r="M188" s="3" t="s">
        <v>700</v>
      </c>
      <c r="O188" s="3" t="s">
        <v>63</v>
      </c>
      <c r="P188" s="3" t="s">
        <v>580</v>
      </c>
      <c r="R188" s="3" t="s">
        <v>65</v>
      </c>
      <c r="S188" s="4">
        <v>2</v>
      </c>
      <c r="T188" s="4">
        <v>2</v>
      </c>
      <c r="U188" s="5" t="s">
        <v>2239</v>
      </c>
      <c r="V188" s="5" t="s">
        <v>2239</v>
      </c>
      <c r="W188" s="5" t="s">
        <v>2240</v>
      </c>
      <c r="X188" s="5" t="s">
        <v>2240</v>
      </c>
      <c r="Y188" s="4">
        <v>914</v>
      </c>
      <c r="Z188" s="4">
        <v>865</v>
      </c>
      <c r="AA188" s="4">
        <v>888</v>
      </c>
      <c r="AB188" s="4">
        <v>8</v>
      </c>
      <c r="AC188" s="4">
        <v>9</v>
      </c>
      <c r="AD188" s="4">
        <v>32</v>
      </c>
      <c r="AE188" s="4">
        <v>34</v>
      </c>
      <c r="AF188" s="4">
        <v>14</v>
      </c>
      <c r="AG188" s="4">
        <v>14</v>
      </c>
      <c r="AH188" s="4">
        <v>6</v>
      </c>
      <c r="AI188" s="4">
        <v>6</v>
      </c>
      <c r="AJ188" s="4">
        <v>12</v>
      </c>
      <c r="AK188" s="4">
        <v>13</v>
      </c>
      <c r="AL188" s="4">
        <v>7</v>
      </c>
      <c r="AM188" s="4">
        <v>8</v>
      </c>
      <c r="AN188" s="4">
        <v>0</v>
      </c>
      <c r="AO188" s="4">
        <v>0</v>
      </c>
      <c r="AP188" s="3" t="s">
        <v>58</v>
      </c>
      <c r="AQ188" s="3" t="s">
        <v>58</v>
      </c>
      <c r="AS188" s="6" t="str">
        <f>HYPERLINK("https://creighton-primo.hosted.exlibrisgroup.com/primo-explore/search?tab=default_tab&amp;search_scope=EVERYTHING&amp;vid=01CRU&amp;lang=en_US&amp;offset=0&amp;query=any,contains,991003827219702656","Catalog Record")</f>
        <v>Catalog Record</v>
      </c>
      <c r="AT188" s="6" t="str">
        <f>HYPERLINK("http://www.worldcat.org/oclc/43701624","WorldCat Record")</f>
        <v>WorldCat Record</v>
      </c>
      <c r="AU188" s="3" t="s">
        <v>2241</v>
      </c>
      <c r="AV188" s="3" t="s">
        <v>2242</v>
      </c>
      <c r="AW188" s="3" t="s">
        <v>2243</v>
      </c>
      <c r="AX188" s="3" t="s">
        <v>2243</v>
      </c>
      <c r="AY188" s="3" t="s">
        <v>2244</v>
      </c>
      <c r="AZ188" s="3" t="s">
        <v>73</v>
      </c>
      <c r="BB188" s="3" t="s">
        <v>2245</v>
      </c>
      <c r="BC188" s="3" t="s">
        <v>2246</v>
      </c>
      <c r="BD188" s="3" t="s">
        <v>2247</v>
      </c>
    </row>
    <row r="189" spans="1:56" ht="31.5" customHeight="1" x14ac:dyDescent="0.25">
      <c r="A189" s="7" t="s">
        <v>58</v>
      </c>
      <c r="B189" s="2" t="s">
        <v>2248</v>
      </c>
      <c r="C189" s="2" t="s">
        <v>2249</v>
      </c>
      <c r="D189" s="2" t="s">
        <v>2250</v>
      </c>
      <c r="F189" s="3" t="s">
        <v>58</v>
      </c>
      <c r="G189" s="3" t="s">
        <v>59</v>
      </c>
      <c r="H189" s="3" t="s">
        <v>58</v>
      </c>
      <c r="I189" s="3" t="s">
        <v>58</v>
      </c>
      <c r="J189" s="3" t="s">
        <v>60</v>
      </c>
      <c r="K189" s="2" t="s">
        <v>2251</v>
      </c>
      <c r="L189" s="2" t="s">
        <v>2252</v>
      </c>
      <c r="M189" s="3" t="s">
        <v>2253</v>
      </c>
      <c r="O189" s="3" t="s">
        <v>63</v>
      </c>
      <c r="P189" s="3" t="s">
        <v>114</v>
      </c>
      <c r="R189" s="3" t="s">
        <v>65</v>
      </c>
      <c r="S189" s="4">
        <v>23</v>
      </c>
      <c r="T189" s="4">
        <v>23</v>
      </c>
      <c r="U189" s="5" t="s">
        <v>2254</v>
      </c>
      <c r="V189" s="5" t="s">
        <v>2254</v>
      </c>
      <c r="W189" s="5" t="s">
        <v>2255</v>
      </c>
      <c r="X189" s="5" t="s">
        <v>2255</v>
      </c>
      <c r="Y189" s="4">
        <v>799</v>
      </c>
      <c r="Z189" s="4">
        <v>704</v>
      </c>
      <c r="AA189" s="4">
        <v>925</v>
      </c>
      <c r="AB189" s="4">
        <v>7</v>
      </c>
      <c r="AC189" s="4">
        <v>10</v>
      </c>
      <c r="AD189" s="4">
        <v>2</v>
      </c>
      <c r="AE189" s="4">
        <v>3</v>
      </c>
      <c r="AF189" s="4">
        <v>1</v>
      </c>
      <c r="AG189" s="4">
        <v>2</v>
      </c>
      <c r="AH189" s="4">
        <v>1</v>
      </c>
      <c r="AI189" s="4">
        <v>1</v>
      </c>
      <c r="AJ189" s="4">
        <v>1</v>
      </c>
      <c r="AK189" s="4">
        <v>1</v>
      </c>
      <c r="AL189" s="4">
        <v>0</v>
      </c>
      <c r="AM189" s="4">
        <v>0</v>
      </c>
      <c r="AN189" s="4">
        <v>0</v>
      </c>
      <c r="AO189" s="4">
        <v>0</v>
      </c>
      <c r="AP189" s="3" t="s">
        <v>58</v>
      </c>
      <c r="AQ189" s="3" t="s">
        <v>58</v>
      </c>
      <c r="AS189" s="6" t="str">
        <f>HYPERLINK("https://creighton-primo.hosted.exlibrisgroup.com/primo-explore/search?tab=default_tab&amp;search_scope=EVERYTHING&amp;vid=01CRU&amp;lang=en_US&amp;offset=0&amp;query=any,contains,991004447989702656","Catalog Record")</f>
        <v>Catalog Record</v>
      </c>
      <c r="AT189" s="6" t="str">
        <f>HYPERLINK("http://www.worldcat.org/oclc/16174200","WorldCat Record")</f>
        <v>WorldCat Record</v>
      </c>
      <c r="AU189" s="3" t="s">
        <v>2256</v>
      </c>
      <c r="AV189" s="3" t="s">
        <v>2257</v>
      </c>
      <c r="AW189" s="3" t="s">
        <v>2258</v>
      </c>
      <c r="AX189" s="3" t="s">
        <v>2258</v>
      </c>
      <c r="AY189" s="3" t="s">
        <v>2259</v>
      </c>
      <c r="AZ189" s="3" t="s">
        <v>73</v>
      </c>
      <c r="BB189" s="3" t="s">
        <v>2260</v>
      </c>
      <c r="BC189" s="3" t="s">
        <v>2261</v>
      </c>
      <c r="BD189" s="3" t="s">
        <v>2262</v>
      </c>
    </row>
    <row r="190" spans="1:56" ht="31.5" customHeight="1" x14ac:dyDescent="0.25">
      <c r="A190" s="7" t="s">
        <v>58</v>
      </c>
      <c r="B190" s="2" t="s">
        <v>2263</v>
      </c>
      <c r="C190" s="2" t="s">
        <v>2264</v>
      </c>
      <c r="D190" s="2" t="s">
        <v>2265</v>
      </c>
      <c r="F190" s="3" t="s">
        <v>58</v>
      </c>
      <c r="G190" s="3" t="s">
        <v>59</v>
      </c>
      <c r="H190" s="3" t="s">
        <v>58</v>
      </c>
      <c r="I190" s="3" t="s">
        <v>58</v>
      </c>
      <c r="J190" s="3" t="s">
        <v>60</v>
      </c>
      <c r="K190" s="2" t="s">
        <v>2266</v>
      </c>
      <c r="L190" s="2" t="s">
        <v>2267</v>
      </c>
      <c r="M190" s="3" t="s">
        <v>1235</v>
      </c>
      <c r="O190" s="3" t="s">
        <v>63</v>
      </c>
      <c r="P190" s="3" t="s">
        <v>64</v>
      </c>
      <c r="R190" s="3" t="s">
        <v>65</v>
      </c>
      <c r="S190" s="4">
        <v>1</v>
      </c>
      <c r="T190" s="4">
        <v>1</v>
      </c>
      <c r="U190" s="5" t="s">
        <v>2268</v>
      </c>
      <c r="V190" s="5" t="s">
        <v>2268</v>
      </c>
      <c r="W190" s="5" t="s">
        <v>2268</v>
      </c>
      <c r="X190" s="5" t="s">
        <v>2268</v>
      </c>
      <c r="Y190" s="4">
        <v>383</v>
      </c>
      <c r="Z190" s="4">
        <v>360</v>
      </c>
      <c r="AA190" s="4">
        <v>388</v>
      </c>
      <c r="AB190" s="4">
        <v>2</v>
      </c>
      <c r="AC190" s="4">
        <v>2</v>
      </c>
      <c r="AD190" s="4">
        <v>6</v>
      </c>
      <c r="AE190" s="4">
        <v>7</v>
      </c>
      <c r="AF190" s="4">
        <v>3</v>
      </c>
      <c r="AG190" s="4">
        <v>4</v>
      </c>
      <c r="AH190" s="4">
        <v>0</v>
      </c>
      <c r="AI190" s="4">
        <v>1</v>
      </c>
      <c r="AJ190" s="4">
        <v>3</v>
      </c>
      <c r="AK190" s="4">
        <v>3</v>
      </c>
      <c r="AL190" s="4">
        <v>1</v>
      </c>
      <c r="AM190" s="4">
        <v>1</v>
      </c>
      <c r="AN190" s="4">
        <v>0</v>
      </c>
      <c r="AO190" s="4">
        <v>0</v>
      </c>
      <c r="AP190" s="3" t="s">
        <v>58</v>
      </c>
      <c r="AQ190" s="3" t="s">
        <v>58</v>
      </c>
      <c r="AS190" s="6" t="str">
        <f>HYPERLINK("https://creighton-primo.hosted.exlibrisgroup.com/primo-explore/search?tab=default_tab&amp;search_scope=EVERYTHING&amp;vid=01CRU&amp;lang=en_US&amp;offset=0&amp;query=any,contains,991004433479702656","Catalog Record")</f>
        <v>Catalog Record</v>
      </c>
      <c r="AT190" s="6" t="str">
        <f>HYPERLINK("http://www.worldcat.org/oclc/54499923","WorldCat Record")</f>
        <v>WorldCat Record</v>
      </c>
      <c r="AU190" s="3" t="s">
        <v>2269</v>
      </c>
      <c r="AV190" s="3" t="s">
        <v>2270</v>
      </c>
      <c r="AW190" s="3" t="s">
        <v>2271</v>
      </c>
      <c r="AX190" s="3" t="s">
        <v>2271</v>
      </c>
      <c r="AY190" s="3" t="s">
        <v>2272</v>
      </c>
      <c r="AZ190" s="3" t="s">
        <v>73</v>
      </c>
      <c r="BB190" s="3" t="s">
        <v>2273</v>
      </c>
      <c r="BC190" s="3" t="s">
        <v>2274</v>
      </c>
      <c r="BD190" s="3" t="s">
        <v>2275</v>
      </c>
    </row>
    <row r="191" spans="1:56" ht="31.5" customHeight="1" x14ac:dyDescent="0.25">
      <c r="A191" s="7" t="s">
        <v>58</v>
      </c>
      <c r="B191" s="2" t="s">
        <v>2276</v>
      </c>
      <c r="C191" s="2" t="s">
        <v>2277</v>
      </c>
      <c r="D191" s="2" t="s">
        <v>2278</v>
      </c>
      <c r="F191" s="3" t="s">
        <v>58</v>
      </c>
      <c r="G191" s="3" t="s">
        <v>59</v>
      </c>
      <c r="H191" s="3" t="s">
        <v>58</v>
      </c>
      <c r="I191" s="3" t="s">
        <v>58</v>
      </c>
      <c r="J191" s="3" t="s">
        <v>60</v>
      </c>
      <c r="K191" s="2" t="s">
        <v>2279</v>
      </c>
      <c r="L191" s="2" t="s">
        <v>2280</v>
      </c>
      <c r="M191" s="3" t="s">
        <v>537</v>
      </c>
      <c r="N191" s="2" t="s">
        <v>2281</v>
      </c>
      <c r="O191" s="3" t="s">
        <v>63</v>
      </c>
      <c r="P191" s="3" t="s">
        <v>186</v>
      </c>
      <c r="R191" s="3" t="s">
        <v>65</v>
      </c>
      <c r="S191" s="4">
        <v>2</v>
      </c>
      <c r="T191" s="4">
        <v>2</v>
      </c>
      <c r="U191" s="5" t="s">
        <v>2282</v>
      </c>
      <c r="V191" s="5" t="s">
        <v>2282</v>
      </c>
      <c r="W191" s="5" t="s">
        <v>2283</v>
      </c>
      <c r="X191" s="5" t="s">
        <v>2283</v>
      </c>
      <c r="Y191" s="4">
        <v>427</v>
      </c>
      <c r="Z191" s="4">
        <v>331</v>
      </c>
      <c r="AA191" s="4">
        <v>567</v>
      </c>
      <c r="AB191" s="4">
        <v>3</v>
      </c>
      <c r="AC191" s="4">
        <v>5</v>
      </c>
      <c r="AD191" s="4">
        <v>12</v>
      </c>
      <c r="AE191" s="4">
        <v>20</v>
      </c>
      <c r="AF191" s="4">
        <v>6</v>
      </c>
      <c r="AG191" s="4">
        <v>6</v>
      </c>
      <c r="AH191" s="4">
        <v>3</v>
      </c>
      <c r="AI191" s="4">
        <v>4</v>
      </c>
      <c r="AJ191" s="4">
        <v>3</v>
      </c>
      <c r="AK191" s="4">
        <v>9</v>
      </c>
      <c r="AL191" s="4">
        <v>2</v>
      </c>
      <c r="AM191" s="4">
        <v>4</v>
      </c>
      <c r="AN191" s="4">
        <v>0</v>
      </c>
      <c r="AO191" s="4">
        <v>0</v>
      </c>
      <c r="AP191" s="3" t="s">
        <v>58</v>
      </c>
      <c r="AQ191" s="3" t="s">
        <v>58</v>
      </c>
      <c r="AS191" s="6" t="str">
        <f>HYPERLINK("https://creighton-primo.hosted.exlibrisgroup.com/primo-explore/search?tab=default_tab&amp;search_scope=EVERYTHING&amp;vid=01CRU&amp;lang=en_US&amp;offset=0&amp;query=any,contains,991001745319702656","Catalog Record")</f>
        <v>Catalog Record</v>
      </c>
      <c r="AT191" s="6" t="str">
        <f>HYPERLINK("http://www.worldcat.org/oclc/22112056","WorldCat Record")</f>
        <v>WorldCat Record</v>
      </c>
      <c r="AU191" s="3" t="s">
        <v>2284</v>
      </c>
      <c r="AV191" s="3" t="s">
        <v>2285</v>
      </c>
      <c r="AW191" s="3" t="s">
        <v>2286</v>
      </c>
      <c r="AX191" s="3" t="s">
        <v>2286</v>
      </c>
      <c r="AY191" s="3" t="s">
        <v>2287</v>
      </c>
      <c r="AZ191" s="3" t="s">
        <v>73</v>
      </c>
      <c r="BB191" s="3" t="s">
        <v>2288</v>
      </c>
      <c r="BC191" s="3" t="s">
        <v>2289</v>
      </c>
      <c r="BD191" s="3" t="s">
        <v>2290</v>
      </c>
    </row>
    <row r="192" spans="1:56" ht="31.5" customHeight="1" x14ac:dyDescent="0.25">
      <c r="A192" s="7" t="s">
        <v>58</v>
      </c>
      <c r="B192" s="2" t="s">
        <v>2291</v>
      </c>
      <c r="C192" s="2" t="s">
        <v>2292</v>
      </c>
      <c r="D192" s="2" t="s">
        <v>2293</v>
      </c>
      <c r="F192" s="3" t="s">
        <v>58</v>
      </c>
      <c r="G192" s="3" t="s">
        <v>59</v>
      </c>
      <c r="H192" s="3" t="s">
        <v>58</v>
      </c>
      <c r="I192" s="3" t="s">
        <v>58</v>
      </c>
      <c r="J192" s="3" t="s">
        <v>60</v>
      </c>
      <c r="K192" s="2" t="s">
        <v>2294</v>
      </c>
      <c r="L192" s="2" t="s">
        <v>2295</v>
      </c>
      <c r="M192" s="3" t="s">
        <v>97</v>
      </c>
      <c r="O192" s="3" t="s">
        <v>63</v>
      </c>
      <c r="P192" s="3" t="s">
        <v>1275</v>
      </c>
      <c r="Q192" s="2" t="s">
        <v>2296</v>
      </c>
      <c r="R192" s="3" t="s">
        <v>65</v>
      </c>
      <c r="S192" s="4">
        <v>2</v>
      </c>
      <c r="T192" s="4">
        <v>2</v>
      </c>
      <c r="U192" s="5" t="s">
        <v>2297</v>
      </c>
      <c r="V192" s="5" t="s">
        <v>2297</v>
      </c>
      <c r="W192" s="5" t="s">
        <v>2298</v>
      </c>
      <c r="X192" s="5" t="s">
        <v>2298</v>
      </c>
      <c r="Y192" s="4">
        <v>163</v>
      </c>
      <c r="Z192" s="4">
        <v>123</v>
      </c>
      <c r="AA192" s="4">
        <v>134</v>
      </c>
      <c r="AB192" s="4">
        <v>2</v>
      </c>
      <c r="AC192" s="4">
        <v>2</v>
      </c>
      <c r="AD192" s="4">
        <v>4</v>
      </c>
      <c r="AE192" s="4">
        <v>4</v>
      </c>
      <c r="AF192" s="4">
        <v>0</v>
      </c>
      <c r="AG192" s="4">
        <v>0</v>
      </c>
      <c r="AH192" s="4">
        <v>1</v>
      </c>
      <c r="AI192" s="4">
        <v>1</v>
      </c>
      <c r="AJ192" s="4">
        <v>2</v>
      </c>
      <c r="AK192" s="4">
        <v>2</v>
      </c>
      <c r="AL192" s="4">
        <v>1</v>
      </c>
      <c r="AM192" s="4">
        <v>1</v>
      </c>
      <c r="AN192" s="4">
        <v>0</v>
      </c>
      <c r="AO192" s="4">
        <v>0</v>
      </c>
      <c r="AP192" s="3" t="s">
        <v>58</v>
      </c>
      <c r="AQ192" s="3" t="s">
        <v>68</v>
      </c>
      <c r="AR192" s="6" t="str">
        <f>HYPERLINK("http://catalog.hathitrust.org/Record/001943784","HathiTrust Record")</f>
        <v>HathiTrust Record</v>
      </c>
      <c r="AS192" s="6" t="str">
        <f>HYPERLINK("https://creighton-primo.hosted.exlibrisgroup.com/primo-explore/search?tab=default_tab&amp;search_scope=EVERYTHING&amp;vid=01CRU&amp;lang=en_US&amp;offset=0&amp;query=any,contains,991001472609702656","Catalog Record")</f>
        <v>Catalog Record</v>
      </c>
      <c r="AT192" s="6" t="str">
        <f>HYPERLINK("http://www.worldcat.org/oclc/19554331","WorldCat Record")</f>
        <v>WorldCat Record</v>
      </c>
      <c r="AU192" s="3" t="s">
        <v>2299</v>
      </c>
      <c r="AV192" s="3" t="s">
        <v>2300</v>
      </c>
      <c r="AW192" s="3" t="s">
        <v>2301</v>
      </c>
      <c r="AX192" s="3" t="s">
        <v>2301</v>
      </c>
      <c r="AY192" s="3" t="s">
        <v>2302</v>
      </c>
      <c r="AZ192" s="3" t="s">
        <v>73</v>
      </c>
      <c r="BB192" s="3" t="s">
        <v>2303</v>
      </c>
      <c r="BC192" s="3" t="s">
        <v>2304</v>
      </c>
      <c r="BD192" s="3" t="s">
        <v>2305</v>
      </c>
    </row>
    <row r="193" spans="1:56" ht="31.5" customHeight="1" x14ac:dyDescent="0.25">
      <c r="A193" s="7" t="s">
        <v>58</v>
      </c>
      <c r="B193" s="2" t="s">
        <v>2306</v>
      </c>
      <c r="C193" s="2" t="s">
        <v>2307</v>
      </c>
      <c r="D193" s="2" t="s">
        <v>2308</v>
      </c>
      <c r="F193" s="3" t="s">
        <v>58</v>
      </c>
      <c r="G193" s="3" t="s">
        <v>59</v>
      </c>
      <c r="H193" s="3" t="s">
        <v>58</v>
      </c>
      <c r="I193" s="3" t="s">
        <v>58</v>
      </c>
      <c r="J193" s="3" t="s">
        <v>60</v>
      </c>
      <c r="K193" s="2" t="s">
        <v>2309</v>
      </c>
      <c r="L193" s="2" t="s">
        <v>2310</v>
      </c>
      <c r="M193" s="3" t="s">
        <v>835</v>
      </c>
      <c r="O193" s="3" t="s">
        <v>63</v>
      </c>
      <c r="P193" s="3" t="s">
        <v>129</v>
      </c>
      <c r="Q193" s="2" t="s">
        <v>2311</v>
      </c>
      <c r="R193" s="3" t="s">
        <v>65</v>
      </c>
      <c r="S193" s="4">
        <v>2</v>
      </c>
      <c r="T193" s="4">
        <v>2</v>
      </c>
      <c r="U193" s="5" t="s">
        <v>2312</v>
      </c>
      <c r="V193" s="5" t="s">
        <v>2312</v>
      </c>
      <c r="W193" s="5" t="s">
        <v>2313</v>
      </c>
      <c r="X193" s="5" t="s">
        <v>2313</v>
      </c>
      <c r="Y193" s="4">
        <v>236</v>
      </c>
      <c r="Z193" s="4">
        <v>222</v>
      </c>
      <c r="AA193" s="4">
        <v>261</v>
      </c>
      <c r="AB193" s="4">
        <v>3</v>
      </c>
      <c r="AC193" s="4">
        <v>3</v>
      </c>
      <c r="AD193" s="4">
        <v>4</v>
      </c>
      <c r="AE193" s="4">
        <v>6</v>
      </c>
      <c r="AF193" s="4">
        <v>2</v>
      </c>
      <c r="AG193" s="4">
        <v>3</v>
      </c>
      <c r="AH193" s="4">
        <v>0</v>
      </c>
      <c r="AI193" s="4">
        <v>0</v>
      </c>
      <c r="AJ193" s="4">
        <v>2</v>
      </c>
      <c r="AK193" s="4">
        <v>4</v>
      </c>
      <c r="AL193" s="4">
        <v>1</v>
      </c>
      <c r="AM193" s="4">
        <v>1</v>
      </c>
      <c r="AN193" s="4">
        <v>0</v>
      </c>
      <c r="AO193" s="4">
        <v>0</v>
      </c>
      <c r="AP193" s="3" t="s">
        <v>58</v>
      </c>
      <c r="AQ193" s="3" t="s">
        <v>68</v>
      </c>
      <c r="AR193" s="6" t="str">
        <f>HYPERLINK("http://catalog.hathitrust.org/Record/003974580","HathiTrust Record")</f>
        <v>HathiTrust Record</v>
      </c>
      <c r="AS193" s="6" t="str">
        <f>HYPERLINK("https://creighton-primo.hosted.exlibrisgroup.com/primo-explore/search?tab=default_tab&amp;search_scope=EVERYTHING&amp;vid=01CRU&amp;lang=en_US&amp;offset=0&amp;query=any,contains,991002921059702656","Catalog Record")</f>
        <v>Catalog Record</v>
      </c>
      <c r="AT193" s="6" t="str">
        <f>HYPERLINK("http://www.worldcat.org/oclc/38752973","WorldCat Record")</f>
        <v>WorldCat Record</v>
      </c>
      <c r="AU193" s="3" t="s">
        <v>2314</v>
      </c>
      <c r="AV193" s="3" t="s">
        <v>2315</v>
      </c>
      <c r="AW193" s="3" t="s">
        <v>2316</v>
      </c>
      <c r="AX193" s="3" t="s">
        <v>2316</v>
      </c>
      <c r="AY193" s="3" t="s">
        <v>2317</v>
      </c>
      <c r="AZ193" s="3" t="s">
        <v>73</v>
      </c>
      <c r="BB193" s="3" t="s">
        <v>2318</v>
      </c>
      <c r="BC193" s="3" t="s">
        <v>2319</v>
      </c>
      <c r="BD193" s="3" t="s">
        <v>2320</v>
      </c>
    </row>
    <row r="194" spans="1:56" ht="31.5" customHeight="1" x14ac:dyDescent="0.25">
      <c r="A194" s="7" t="s">
        <v>58</v>
      </c>
      <c r="B194" s="2" t="s">
        <v>2321</v>
      </c>
      <c r="C194" s="2" t="s">
        <v>2322</v>
      </c>
      <c r="D194" s="2" t="s">
        <v>2323</v>
      </c>
      <c r="F194" s="3" t="s">
        <v>58</v>
      </c>
      <c r="G194" s="3" t="s">
        <v>59</v>
      </c>
      <c r="H194" s="3" t="s">
        <v>58</v>
      </c>
      <c r="I194" s="3" t="s">
        <v>58</v>
      </c>
      <c r="J194" s="3" t="s">
        <v>60</v>
      </c>
      <c r="K194" s="2" t="s">
        <v>2324</v>
      </c>
      <c r="L194" s="2" t="s">
        <v>2325</v>
      </c>
      <c r="M194" s="3" t="s">
        <v>2326</v>
      </c>
      <c r="O194" s="3" t="s">
        <v>63</v>
      </c>
      <c r="P194" s="3" t="s">
        <v>1275</v>
      </c>
      <c r="Q194" s="2" t="s">
        <v>2327</v>
      </c>
      <c r="R194" s="3" t="s">
        <v>65</v>
      </c>
      <c r="S194" s="4">
        <v>1</v>
      </c>
      <c r="T194" s="4">
        <v>1</v>
      </c>
      <c r="U194" s="5" t="s">
        <v>2328</v>
      </c>
      <c r="V194" s="5" t="s">
        <v>2328</v>
      </c>
      <c r="W194" s="5" t="s">
        <v>518</v>
      </c>
      <c r="X194" s="5" t="s">
        <v>518</v>
      </c>
      <c r="Y194" s="4">
        <v>195</v>
      </c>
      <c r="Z194" s="4">
        <v>151</v>
      </c>
      <c r="AA194" s="4">
        <v>166</v>
      </c>
      <c r="AB194" s="4">
        <v>3</v>
      </c>
      <c r="AC194" s="4">
        <v>3</v>
      </c>
      <c r="AD194" s="4">
        <v>3</v>
      </c>
      <c r="AE194" s="4">
        <v>4</v>
      </c>
      <c r="AF194" s="4">
        <v>1</v>
      </c>
      <c r="AG194" s="4">
        <v>1</v>
      </c>
      <c r="AH194" s="4">
        <v>0</v>
      </c>
      <c r="AI194" s="4">
        <v>1</v>
      </c>
      <c r="AJ194" s="4">
        <v>0</v>
      </c>
      <c r="AK194" s="4">
        <v>0</v>
      </c>
      <c r="AL194" s="4">
        <v>2</v>
      </c>
      <c r="AM194" s="4">
        <v>2</v>
      </c>
      <c r="AN194" s="4">
        <v>0</v>
      </c>
      <c r="AO194" s="4">
        <v>0</v>
      </c>
      <c r="AP194" s="3" t="s">
        <v>68</v>
      </c>
      <c r="AQ194" s="3" t="s">
        <v>58</v>
      </c>
      <c r="AR194" s="6" t="str">
        <f>HYPERLINK("http://catalog.hathitrust.org/Record/001476607","HathiTrust Record")</f>
        <v>HathiTrust Record</v>
      </c>
      <c r="AS194" s="6" t="str">
        <f>HYPERLINK("https://creighton-primo.hosted.exlibrisgroup.com/primo-explore/search?tab=default_tab&amp;search_scope=EVERYTHING&amp;vid=01CRU&amp;lang=en_US&amp;offset=0&amp;query=any,contains,991003933999702656","Catalog Record")</f>
        <v>Catalog Record</v>
      </c>
      <c r="AT194" s="6" t="str">
        <f>HYPERLINK("http://www.worldcat.org/oclc/1906944","WorldCat Record")</f>
        <v>WorldCat Record</v>
      </c>
      <c r="AU194" s="3" t="s">
        <v>2329</v>
      </c>
      <c r="AV194" s="3" t="s">
        <v>2330</v>
      </c>
      <c r="AW194" s="3" t="s">
        <v>2331</v>
      </c>
      <c r="AX194" s="3" t="s">
        <v>2331</v>
      </c>
      <c r="AY194" s="3" t="s">
        <v>2332</v>
      </c>
      <c r="AZ194" s="3" t="s">
        <v>73</v>
      </c>
      <c r="BC194" s="3" t="s">
        <v>2333</v>
      </c>
      <c r="BD194" s="3" t="s">
        <v>2334</v>
      </c>
    </row>
    <row r="195" spans="1:56" ht="31.5" customHeight="1" x14ac:dyDescent="0.25">
      <c r="A195" s="7" t="s">
        <v>58</v>
      </c>
      <c r="B195" s="2" t="s">
        <v>2335</v>
      </c>
      <c r="C195" s="2" t="s">
        <v>2336</v>
      </c>
      <c r="D195" s="2" t="s">
        <v>2337</v>
      </c>
      <c r="F195" s="3" t="s">
        <v>58</v>
      </c>
      <c r="G195" s="3" t="s">
        <v>59</v>
      </c>
      <c r="H195" s="3" t="s">
        <v>58</v>
      </c>
      <c r="I195" s="3" t="s">
        <v>58</v>
      </c>
      <c r="J195" s="3" t="s">
        <v>60</v>
      </c>
      <c r="K195" s="2" t="s">
        <v>2338</v>
      </c>
      <c r="L195" s="2" t="s">
        <v>2339</v>
      </c>
      <c r="M195" s="3" t="s">
        <v>430</v>
      </c>
      <c r="O195" s="3" t="s">
        <v>63</v>
      </c>
      <c r="P195" s="3" t="s">
        <v>98</v>
      </c>
      <c r="R195" s="3" t="s">
        <v>65</v>
      </c>
      <c r="S195" s="4">
        <v>4</v>
      </c>
      <c r="T195" s="4">
        <v>4</v>
      </c>
      <c r="U195" s="5" t="s">
        <v>2340</v>
      </c>
      <c r="V195" s="5" t="s">
        <v>2340</v>
      </c>
      <c r="W195" s="5" t="s">
        <v>1658</v>
      </c>
      <c r="X195" s="5" t="s">
        <v>1658</v>
      </c>
      <c r="Y195" s="4">
        <v>258</v>
      </c>
      <c r="Z195" s="4">
        <v>166</v>
      </c>
      <c r="AA195" s="4">
        <v>433</v>
      </c>
      <c r="AB195" s="4">
        <v>3</v>
      </c>
      <c r="AC195" s="4">
        <v>3</v>
      </c>
      <c r="AD195" s="4">
        <v>5</v>
      </c>
      <c r="AE195" s="4">
        <v>17</v>
      </c>
      <c r="AF195" s="4">
        <v>0</v>
      </c>
      <c r="AG195" s="4">
        <v>6</v>
      </c>
      <c r="AH195" s="4">
        <v>2</v>
      </c>
      <c r="AI195" s="4">
        <v>5</v>
      </c>
      <c r="AJ195" s="4">
        <v>1</v>
      </c>
      <c r="AK195" s="4">
        <v>8</v>
      </c>
      <c r="AL195" s="4">
        <v>2</v>
      </c>
      <c r="AM195" s="4">
        <v>2</v>
      </c>
      <c r="AN195" s="4">
        <v>0</v>
      </c>
      <c r="AO195" s="4">
        <v>0</v>
      </c>
      <c r="AP195" s="3" t="s">
        <v>58</v>
      </c>
      <c r="AQ195" s="3" t="s">
        <v>68</v>
      </c>
      <c r="AR195" s="6" t="str">
        <f>HYPERLINK("http://catalog.hathitrust.org/Record/001476615","HathiTrust Record")</f>
        <v>HathiTrust Record</v>
      </c>
      <c r="AS195" s="6" t="str">
        <f>HYPERLINK("https://creighton-primo.hosted.exlibrisgroup.com/primo-explore/search?tab=default_tab&amp;search_scope=EVERYTHING&amp;vid=01CRU&amp;lang=en_US&amp;offset=0&amp;query=any,contains,991003732009702656","Catalog Record")</f>
        <v>Catalog Record</v>
      </c>
      <c r="AT195" s="6" t="str">
        <f>HYPERLINK("http://www.worldcat.org/oclc/1383635","WorldCat Record")</f>
        <v>WorldCat Record</v>
      </c>
      <c r="AU195" s="3" t="s">
        <v>2341</v>
      </c>
      <c r="AV195" s="3" t="s">
        <v>2342</v>
      </c>
      <c r="AW195" s="3" t="s">
        <v>2343</v>
      </c>
      <c r="AX195" s="3" t="s">
        <v>2343</v>
      </c>
      <c r="AY195" s="3" t="s">
        <v>2344</v>
      </c>
      <c r="AZ195" s="3" t="s">
        <v>73</v>
      </c>
      <c r="BB195" s="3" t="s">
        <v>2345</v>
      </c>
      <c r="BC195" s="3" t="s">
        <v>2346</v>
      </c>
      <c r="BD195" s="3" t="s">
        <v>2347</v>
      </c>
    </row>
    <row r="196" spans="1:56" ht="31.5" customHeight="1" x14ac:dyDescent="0.25">
      <c r="A196" s="7" t="s">
        <v>58</v>
      </c>
      <c r="B196" s="2" t="s">
        <v>2348</v>
      </c>
      <c r="C196" s="2" t="s">
        <v>2349</v>
      </c>
      <c r="D196" s="2" t="s">
        <v>2350</v>
      </c>
      <c r="F196" s="3" t="s">
        <v>58</v>
      </c>
      <c r="G196" s="3" t="s">
        <v>59</v>
      </c>
      <c r="H196" s="3" t="s">
        <v>58</v>
      </c>
      <c r="I196" s="3" t="s">
        <v>58</v>
      </c>
      <c r="J196" s="3" t="s">
        <v>60</v>
      </c>
      <c r="K196" s="2" t="s">
        <v>2351</v>
      </c>
      <c r="L196" s="2" t="s">
        <v>2352</v>
      </c>
      <c r="M196" s="3" t="s">
        <v>2353</v>
      </c>
      <c r="O196" s="3" t="s">
        <v>63</v>
      </c>
      <c r="P196" s="3" t="s">
        <v>64</v>
      </c>
      <c r="Q196" s="2" t="s">
        <v>2354</v>
      </c>
      <c r="R196" s="3" t="s">
        <v>65</v>
      </c>
      <c r="S196" s="4">
        <v>5</v>
      </c>
      <c r="T196" s="4">
        <v>5</v>
      </c>
      <c r="U196" s="5" t="s">
        <v>2355</v>
      </c>
      <c r="V196" s="5" t="s">
        <v>2355</v>
      </c>
      <c r="W196" s="5" t="s">
        <v>518</v>
      </c>
      <c r="X196" s="5" t="s">
        <v>518</v>
      </c>
      <c r="Y196" s="4">
        <v>421</v>
      </c>
      <c r="Z196" s="4">
        <v>339</v>
      </c>
      <c r="AA196" s="4">
        <v>347</v>
      </c>
      <c r="AB196" s="4">
        <v>2</v>
      </c>
      <c r="AC196" s="4">
        <v>2</v>
      </c>
      <c r="AD196" s="4">
        <v>14</v>
      </c>
      <c r="AE196" s="4">
        <v>14</v>
      </c>
      <c r="AF196" s="4">
        <v>3</v>
      </c>
      <c r="AG196" s="4">
        <v>3</v>
      </c>
      <c r="AH196" s="4">
        <v>3</v>
      </c>
      <c r="AI196" s="4">
        <v>3</v>
      </c>
      <c r="AJ196" s="4">
        <v>10</v>
      </c>
      <c r="AK196" s="4">
        <v>10</v>
      </c>
      <c r="AL196" s="4">
        <v>1</v>
      </c>
      <c r="AM196" s="4">
        <v>1</v>
      </c>
      <c r="AN196" s="4">
        <v>0</v>
      </c>
      <c r="AO196" s="4">
        <v>0</v>
      </c>
      <c r="AP196" s="3" t="s">
        <v>58</v>
      </c>
      <c r="AQ196" s="3" t="s">
        <v>58</v>
      </c>
      <c r="AR196" s="6" t="str">
        <f>HYPERLINK("http://catalog.hathitrust.org/Record/001476617","HathiTrust Record")</f>
        <v>HathiTrust Record</v>
      </c>
      <c r="AS196" s="6" t="str">
        <f>HYPERLINK("https://creighton-primo.hosted.exlibrisgroup.com/primo-explore/search?tab=default_tab&amp;search_scope=EVERYTHING&amp;vid=01CRU&amp;lang=en_US&amp;offset=0&amp;query=any,contains,991002960829702656","Catalog Record")</f>
        <v>Catalog Record</v>
      </c>
      <c r="AT196" s="6" t="str">
        <f>HYPERLINK("http://www.worldcat.org/oclc/543841","WorldCat Record")</f>
        <v>WorldCat Record</v>
      </c>
      <c r="AU196" s="3" t="s">
        <v>2356</v>
      </c>
      <c r="AV196" s="3" t="s">
        <v>2357</v>
      </c>
      <c r="AW196" s="3" t="s">
        <v>2358</v>
      </c>
      <c r="AX196" s="3" t="s">
        <v>2358</v>
      </c>
      <c r="AY196" s="3" t="s">
        <v>2359</v>
      </c>
      <c r="AZ196" s="3" t="s">
        <v>73</v>
      </c>
      <c r="BC196" s="3" t="s">
        <v>2360</v>
      </c>
      <c r="BD196" s="3" t="s">
        <v>2361</v>
      </c>
    </row>
    <row r="197" spans="1:56" ht="31.5" customHeight="1" x14ac:dyDescent="0.25">
      <c r="A197" s="7" t="s">
        <v>58</v>
      </c>
      <c r="B197" s="2" t="s">
        <v>2362</v>
      </c>
      <c r="C197" s="2" t="s">
        <v>2363</v>
      </c>
      <c r="D197" s="2" t="s">
        <v>2364</v>
      </c>
      <c r="F197" s="3" t="s">
        <v>58</v>
      </c>
      <c r="G197" s="3" t="s">
        <v>59</v>
      </c>
      <c r="H197" s="3" t="s">
        <v>58</v>
      </c>
      <c r="I197" s="3" t="s">
        <v>58</v>
      </c>
      <c r="J197" s="3" t="s">
        <v>60</v>
      </c>
      <c r="K197" s="2" t="s">
        <v>2365</v>
      </c>
      <c r="L197" s="2" t="s">
        <v>2366</v>
      </c>
      <c r="M197" s="3" t="s">
        <v>301</v>
      </c>
      <c r="O197" s="3" t="s">
        <v>63</v>
      </c>
      <c r="P197" s="3" t="s">
        <v>64</v>
      </c>
      <c r="Q197" s="2" t="s">
        <v>2367</v>
      </c>
      <c r="R197" s="3" t="s">
        <v>65</v>
      </c>
      <c r="S197" s="4">
        <v>8</v>
      </c>
      <c r="T197" s="4">
        <v>8</v>
      </c>
      <c r="U197" s="5" t="s">
        <v>2368</v>
      </c>
      <c r="V197" s="5" t="s">
        <v>2368</v>
      </c>
      <c r="W197" s="5" t="s">
        <v>2369</v>
      </c>
      <c r="X197" s="5" t="s">
        <v>2369</v>
      </c>
      <c r="Y197" s="4">
        <v>311</v>
      </c>
      <c r="Z197" s="4">
        <v>221</v>
      </c>
      <c r="AA197" s="4">
        <v>244</v>
      </c>
      <c r="AB197" s="4">
        <v>2</v>
      </c>
      <c r="AC197" s="4">
        <v>2</v>
      </c>
      <c r="AD197" s="4">
        <v>8</v>
      </c>
      <c r="AE197" s="4">
        <v>9</v>
      </c>
      <c r="AF197" s="4">
        <v>2</v>
      </c>
      <c r="AG197" s="4">
        <v>2</v>
      </c>
      <c r="AH197" s="4">
        <v>2</v>
      </c>
      <c r="AI197" s="4">
        <v>2</v>
      </c>
      <c r="AJ197" s="4">
        <v>5</v>
      </c>
      <c r="AK197" s="4">
        <v>6</v>
      </c>
      <c r="AL197" s="4">
        <v>1</v>
      </c>
      <c r="AM197" s="4">
        <v>1</v>
      </c>
      <c r="AN197" s="4">
        <v>0</v>
      </c>
      <c r="AO197" s="4">
        <v>0</v>
      </c>
      <c r="AP197" s="3" t="s">
        <v>58</v>
      </c>
      <c r="AQ197" s="3" t="s">
        <v>68</v>
      </c>
      <c r="AR197" s="6" t="str">
        <f>HYPERLINK("http://catalog.hathitrust.org/Record/002710193","HathiTrust Record")</f>
        <v>HathiTrust Record</v>
      </c>
      <c r="AS197" s="6" t="str">
        <f>HYPERLINK("https://creighton-primo.hosted.exlibrisgroup.com/primo-explore/search?tab=default_tab&amp;search_scope=EVERYTHING&amp;vid=01CRU&amp;lang=en_US&amp;offset=0&amp;query=any,contains,991001990929702656","Catalog Record")</f>
        <v>Catalog Record</v>
      </c>
      <c r="AT197" s="6" t="str">
        <f>HYPERLINK("http://www.worldcat.org/oclc/25282848","WorldCat Record")</f>
        <v>WorldCat Record</v>
      </c>
      <c r="AU197" s="3" t="s">
        <v>2370</v>
      </c>
      <c r="AV197" s="3" t="s">
        <v>2371</v>
      </c>
      <c r="AW197" s="3" t="s">
        <v>2372</v>
      </c>
      <c r="AX197" s="3" t="s">
        <v>2372</v>
      </c>
      <c r="AY197" s="3" t="s">
        <v>2373</v>
      </c>
      <c r="AZ197" s="3" t="s">
        <v>73</v>
      </c>
      <c r="BB197" s="3" t="s">
        <v>2374</v>
      </c>
      <c r="BC197" s="3" t="s">
        <v>2375</v>
      </c>
      <c r="BD197" s="3" t="s">
        <v>2376</v>
      </c>
    </row>
    <row r="198" spans="1:56" ht="31.5" customHeight="1" x14ac:dyDescent="0.25">
      <c r="A198" s="7" t="s">
        <v>58</v>
      </c>
      <c r="B198" s="2" t="s">
        <v>2377</v>
      </c>
      <c r="C198" s="2" t="s">
        <v>2378</v>
      </c>
      <c r="D198" s="2" t="s">
        <v>2379</v>
      </c>
      <c r="F198" s="3" t="s">
        <v>58</v>
      </c>
      <c r="G198" s="3" t="s">
        <v>59</v>
      </c>
      <c r="H198" s="3" t="s">
        <v>58</v>
      </c>
      <c r="I198" s="3" t="s">
        <v>58</v>
      </c>
      <c r="J198" s="3" t="s">
        <v>60</v>
      </c>
      <c r="K198" s="2" t="s">
        <v>2380</v>
      </c>
      <c r="L198" s="2" t="s">
        <v>2381</v>
      </c>
      <c r="M198" s="3" t="s">
        <v>607</v>
      </c>
      <c r="O198" s="3" t="s">
        <v>63</v>
      </c>
      <c r="P198" s="3" t="s">
        <v>64</v>
      </c>
      <c r="R198" s="3" t="s">
        <v>65</v>
      </c>
      <c r="S198" s="4">
        <v>1</v>
      </c>
      <c r="T198" s="4">
        <v>1</v>
      </c>
      <c r="U198" s="5" t="s">
        <v>2382</v>
      </c>
      <c r="V198" s="5" t="s">
        <v>2382</v>
      </c>
      <c r="W198" s="5" t="s">
        <v>518</v>
      </c>
      <c r="X198" s="5" t="s">
        <v>518</v>
      </c>
      <c r="Y198" s="4">
        <v>447</v>
      </c>
      <c r="Z198" s="4">
        <v>346</v>
      </c>
      <c r="AA198" s="4">
        <v>353</v>
      </c>
      <c r="AB198" s="4">
        <v>4</v>
      </c>
      <c r="AC198" s="4">
        <v>4</v>
      </c>
      <c r="AD198" s="4">
        <v>11</v>
      </c>
      <c r="AE198" s="4">
        <v>11</v>
      </c>
      <c r="AF198" s="4">
        <v>2</v>
      </c>
      <c r="AG198" s="4">
        <v>2</v>
      </c>
      <c r="AH198" s="4">
        <v>3</v>
      </c>
      <c r="AI198" s="4">
        <v>3</v>
      </c>
      <c r="AJ198" s="4">
        <v>6</v>
      </c>
      <c r="AK198" s="4">
        <v>6</v>
      </c>
      <c r="AL198" s="4">
        <v>3</v>
      </c>
      <c r="AM198" s="4">
        <v>3</v>
      </c>
      <c r="AN198" s="4">
        <v>0</v>
      </c>
      <c r="AO198" s="4">
        <v>0</v>
      </c>
      <c r="AP198" s="3" t="s">
        <v>58</v>
      </c>
      <c r="AQ198" s="3" t="s">
        <v>68</v>
      </c>
      <c r="AR198" s="6" t="str">
        <f>HYPERLINK("http://catalog.hathitrust.org/Record/001476623","HathiTrust Record")</f>
        <v>HathiTrust Record</v>
      </c>
      <c r="AS198" s="6" t="str">
        <f>HYPERLINK("https://creighton-primo.hosted.exlibrisgroup.com/primo-explore/search?tab=default_tab&amp;search_scope=EVERYTHING&amp;vid=01CRU&amp;lang=en_US&amp;offset=0&amp;query=any,contains,991003199379702656","Catalog Record")</f>
        <v>Catalog Record</v>
      </c>
      <c r="AT198" s="6" t="str">
        <f>HYPERLINK("http://www.worldcat.org/oclc/724052","WorldCat Record")</f>
        <v>WorldCat Record</v>
      </c>
      <c r="AU198" s="3" t="s">
        <v>2383</v>
      </c>
      <c r="AV198" s="3" t="s">
        <v>2384</v>
      </c>
      <c r="AW198" s="3" t="s">
        <v>2385</v>
      </c>
      <c r="AX198" s="3" t="s">
        <v>2385</v>
      </c>
      <c r="AY198" s="3" t="s">
        <v>2386</v>
      </c>
      <c r="AZ198" s="3" t="s">
        <v>73</v>
      </c>
      <c r="BB198" s="3" t="s">
        <v>2387</v>
      </c>
      <c r="BC198" s="3" t="s">
        <v>2388</v>
      </c>
      <c r="BD198" s="3" t="s">
        <v>2389</v>
      </c>
    </row>
    <row r="199" spans="1:56" ht="31.5" customHeight="1" x14ac:dyDescent="0.25">
      <c r="A199" s="7" t="s">
        <v>58</v>
      </c>
      <c r="B199" s="2" t="s">
        <v>2390</v>
      </c>
      <c r="C199" s="2" t="s">
        <v>2391</v>
      </c>
      <c r="D199" s="2" t="s">
        <v>2392</v>
      </c>
      <c r="F199" s="3" t="s">
        <v>58</v>
      </c>
      <c r="G199" s="3" t="s">
        <v>59</v>
      </c>
      <c r="H199" s="3" t="s">
        <v>58</v>
      </c>
      <c r="I199" s="3" t="s">
        <v>58</v>
      </c>
      <c r="J199" s="3" t="s">
        <v>60</v>
      </c>
      <c r="K199" s="2" t="s">
        <v>2393</v>
      </c>
      <c r="L199" s="2" t="s">
        <v>2394</v>
      </c>
      <c r="M199" s="3" t="s">
        <v>2117</v>
      </c>
      <c r="O199" s="3" t="s">
        <v>63</v>
      </c>
      <c r="P199" s="3" t="s">
        <v>64</v>
      </c>
      <c r="R199" s="3" t="s">
        <v>65</v>
      </c>
      <c r="S199" s="4">
        <v>7</v>
      </c>
      <c r="T199" s="4">
        <v>7</v>
      </c>
      <c r="U199" s="5" t="s">
        <v>2395</v>
      </c>
      <c r="V199" s="5" t="s">
        <v>2395</v>
      </c>
      <c r="W199" s="5" t="s">
        <v>1658</v>
      </c>
      <c r="X199" s="5" t="s">
        <v>1658</v>
      </c>
      <c r="Y199" s="4">
        <v>453</v>
      </c>
      <c r="Z199" s="4">
        <v>341</v>
      </c>
      <c r="AA199" s="4">
        <v>347</v>
      </c>
      <c r="AB199" s="4">
        <v>3</v>
      </c>
      <c r="AC199" s="4">
        <v>3</v>
      </c>
      <c r="AD199" s="4">
        <v>16</v>
      </c>
      <c r="AE199" s="4">
        <v>16</v>
      </c>
      <c r="AF199" s="4">
        <v>5</v>
      </c>
      <c r="AG199" s="4">
        <v>5</v>
      </c>
      <c r="AH199" s="4">
        <v>6</v>
      </c>
      <c r="AI199" s="4">
        <v>6</v>
      </c>
      <c r="AJ199" s="4">
        <v>6</v>
      </c>
      <c r="AK199" s="4">
        <v>6</v>
      </c>
      <c r="AL199" s="4">
        <v>2</v>
      </c>
      <c r="AM199" s="4">
        <v>2</v>
      </c>
      <c r="AN199" s="4">
        <v>0</v>
      </c>
      <c r="AO199" s="4">
        <v>0</v>
      </c>
      <c r="AP199" s="3" t="s">
        <v>58</v>
      </c>
      <c r="AQ199" s="3" t="s">
        <v>68</v>
      </c>
      <c r="AR199" s="6" t="str">
        <f>HYPERLINK("http://catalog.hathitrust.org/Record/000024854","HathiTrust Record")</f>
        <v>HathiTrust Record</v>
      </c>
      <c r="AS199" s="6" t="str">
        <f>HYPERLINK("https://creighton-primo.hosted.exlibrisgroup.com/primo-explore/search?tab=default_tab&amp;search_scope=EVERYTHING&amp;vid=01CRU&amp;lang=en_US&amp;offset=0&amp;query=any,contains,991004855869702656","Catalog Record")</f>
        <v>Catalog Record</v>
      </c>
      <c r="AT199" s="6" t="str">
        <f>HYPERLINK("http://www.worldcat.org/oclc/5674801","WorldCat Record")</f>
        <v>WorldCat Record</v>
      </c>
      <c r="AU199" s="3" t="s">
        <v>2396</v>
      </c>
      <c r="AV199" s="3" t="s">
        <v>2397</v>
      </c>
      <c r="AW199" s="3" t="s">
        <v>2398</v>
      </c>
      <c r="AX199" s="3" t="s">
        <v>2398</v>
      </c>
      <c r="AY199" s="3" t="s">
        <v>2399</v>
      </c>
      <c r="AZ199" s="3" t="s">
        <v>73</v>
      </c>
      <c r="BB199" s="3" t="s">
        <v>2400</v>
      </c>
      <c r="BC199" s="3" t="s">
        <v>2401</v>
      </c>
      <c r="BD199" s="3" t="s">
        <v>2402</v>
      </c>
    </row>
    <row r="200" spans="1:56" ht="31.5" customHeight="1" x14ac:dyDescent="0.25">
      <c r="A200" s="7" t="s">
        <v>58</v>
      </c>
      <c r="B200" s="2" t="s">
        <v>2403</v>
      </c>
      <c r="C200" s="2" t="s">
        <v>2404</v>
      </c>
      <c r="D200" s="2" t="s">
        <v>2405</v>
      </c>
      <c r="E200" s="3" t="s">
        <v>526</v>
      </c>
      <c r="F200" s="3" t="s">
        <v>68</v>
      </c>
      <c r="G200" s="3" t="s">
        <v>59</v>
      </c>
      <c r="H200" s="3" t="s">
        <v>58</v>
      </c>
      <c r="I200" s="3" t="s">
        <v>58</v>
      </c>
      <c r="J200" s="3" t="s">
        <v>60</v>
      </c>
      <c r="K200" s="2" t="s">
        <v>1952</v>
      </c>
      <c r="L200" s="2" t="s">
        <v>2406</v>
      </c>
      <c r="M200" s="3" t="s">
        <v>537</v>
      </c>
      <c r="O200" s="3" t="s">
        <v>63</v>
      </c>
      <c r="P200" s="3" t="s">
        <v>444</v>
      </c>
      <c r="R200" s="3" t="s">
        <v>65</v>
      </c>
      <c r="S200" s="4">
        <v>0</v>
      </c>
      <c r="T200" s="4">
        <v>1</v>
      </c>
      <c r="V200" s="5" t="s">
        <v>2407</v>
      </c>
      <c r="W200" s="5" t="s">
        <v>2408</v>
      </c>
      <c r="X200" s="5" t="s">
        <v>2409</v>
      </c>
      <c r="Y200" s="4">
        <v>402</v>
      </c>
      <c r="Z200" s="4">
        <v>300</v>
      </c>
      <c r="AA200" s="4">
        <v>304</v>
      </c>
      <c r="AB200" s="4">
        <v>3</v>
      </c>
      <c r="AC200" s="4">
        <v>3</v>
      </c>
      <c r="AD200" s="4">
        <v>14</v>
      </c>
      <c r="AE200" s="4">
        <v>14</v>
      </c>
      <c r="AF200" s="4">
        <v>4</v>
      </c>
      <c r="AG200" s="4">
        <v>4</v>
      </c>
      <c r="AH200" s="4">
        <v>4</v>
      </c>
      <c r="AI200" s="4">
        <v>4</v>
      </c>
      <c r="AJ200" s="4">
        <v>6</v>
      </c>
      <c r="AK200" s="4">
        <v>6</v>
      </c>
      <c r="AL200" s="4">
        <v>2</v>
      </c>
      <c r="AM200" s="4">
        <v>2</v>
      </c>
      <c r="AN200" s="4">
        <v>0</v>
      </c>
      <c r="AO200" s="4">
        <v>0</v>
      </c>
      <c r="AP200" s="3" t="s">
        <v>58</v>
      </c>
      <c r="AQ200" s="3" t="s">
        <v>68</v>
      </c>
      <c r="AR200" s="6" t="str">
        <f>HYPERLINK("http://catalog.hathitrust.org/Record/002566498","HathiTrust Record")</f>
        <v>HathiTrust Record</v>
      </c>
      <c r="AS200" s="6" t="str">
        <f>HYPERLINK("https://creighton-primo.hosted.exlibrisgroup.com/primo-explore/search?tab=default_tab&amp;search_scope=EVERYTHING&amp;vid=01CRU&amp;lang=en_US&amp;offset=0&amp;query=any,contains,991001941129702656","Catalog Record")</f>
        <v>Catalog Record</v>
      </c>
      <c r="AT200" s="6" t="str">
        <f>HYPERLINK("http://www.worldcat.org/oclc/24524127","WorldCat Record")</f>
        <v>WorldCat Record</v>
      </c>
      <c r="AU200" s="3" t="s">
        <v>2410</v>
      </c>
      <c r="AV200" s="3" t="s">
        <v>2411</v>
      </c>
      <c r="AW200" s="3" t="s">
        <v>2412</v>
      </c>
      <c r="AX200" s="3" t="s">
        <v>2412</v>
      </c>
      <c r="AY200" s="3" t="s">
        <v>2413</v>
      </c>
      <c r="AZ200" s="3" t="s">
        <v>73</v>
      </c>
      <c r="BB200" s="3" t="s">
        <v>2414</v>
      </c>
      <c r="BC200" s="3" t="s">
        <v>2415</v>
      </c>
      <c r="BD200" s="3" t="s">
        <v>2416</v>
      </c>
    </row>
    <row r="201" spans="1:56" ht="31.5" customHeight="1" x14ac:dyDescent="0.25">
      <c r="A201" s="7" t="s">
        <v>58</v>
      </c>
      <c r="B201" s="2" t="s">
        <v>2403</v>
      </c>
      <c r="C201" s="2" t="s">
        <v>2404</v>
      </c>
      <c r="D201" s="2" t="s">
        <v>2405</v>
      </c>
      <c r="E201" s="3" t="s">
        <v>514</v>
      </c>
      <c r="F201" s="3" t="s">
        <v>68</v>
      </c>
      <c r="G201" s="3" t="s">
        <v>59</v>
      </c>
      <c r="H201" s="3" t="s">
        <v>58</v>
      </c>
      <c r="I201" s="3" t="s">
        <v>58</v>
      </c>
      <c r="J201" s="3" t="s">
        <v>60</v>
      </c>
      <c r="K201" s="2" t="s">
        <v>1952</v>
      </c>
      <c r="L201" s="2" t="s">
        <v>2406</v>
      </c>
      <c r="M201" s="3" t="s">
        <v>537</v>
      </c>
      <c r="O201" s="3" t="s">
        <v>63</v>
      </c>
      <c r="P201" s="3" t="s">
        <v>444</v>
      </c>
      <c r="R201" s="3" t="s">
        <v>65</v>
      </c>
      <c r="S201" s="4">
        <v>1</v>
      </c>
      <c r="T201" s="4">
        <v>1</v>
      </c>
      <c r="U201" s="5" t="s">
        <v>2407</v>
      </c>
      <c r="V201" s="5" t="s">
        <v>2407</v>
      </c>
      <c r="W201" s="5" t="s">
        <v>2409</v>
      </c>
      <c r="X201" s="5" t="s">
        <v>2409</v>
      </c>
      <c r="Y201" s="4">
        <v>402</v>
      </c>
      <c r="Z201" s="4">
        <v>300</v>
      </c>
      <c r="AA201" s="4">
        <v>304</v>
      </c>
      <c r="AB201" s="4">
        <v>3</v>
      </c>
      <c r="AC201" s="4">
        <v>3</v>
      </c>
      <c r="AD201" s="4">
        <v>14</v>
      </c>
      <c r="AE201" s="4">
        <v>14</v>
      </c>
      <c r="AF201" s="4">
        <v>4</v>
      </c>
      <c r="AG201" s="4">
        <v>4</v>
      </c>
      <c r="AH201" s="4">
        <v>4</v>
      </c>
      <c r="AI201" s="4">
        <v>4</v>
      </c>
      <c r="AJ201" s="4">
        <v>6</v>
      </c>
      <c r="AK201" s="4">
        <v>6</v>
      </c>
      <c r="AL201" s="4">
        <v>2</v>
      </c>
      <c r="AM201" s="4">
        <v>2</v>
      </c>
      <c r="AN201" s="4">
        <v>0</v>
      </c>
      <c r="AO201" s="4">
        <v>0</v>
      </c>
      <c r="AP201" s="3" t="s">
        <v>58</v>
      </c>
      <c r="AQ201" s="3" t="s">
        <v>68</v>
      </c>
      <c r="AR201" s="6" t="str">
        <f>HYPERLINK("http://catalog.hathitrust.org/Record/002566498","HathiTrust Record")</f>
        <v>HathiTrust Record</v>
      </c>
      <c r="AS201" s="6" t="str">
        <f>HYPERLINK("https://creighton-primo.hosted.exlibrisgroup.com/primo-explore/search?tab=default_tab&amp;search_scope=EVERYTHING&amp;vid=01CRU&amp;lang=en_US&amp;offset=0&amp;query=any,contains,991001941129702656","Catalog Record")</f>
        <v>Catalog Record</v>
      </c>
      <c r="AT201" s="6" t="str">
        <f>HYPERLINK("http://www.worldcat.org/oclc/24524127","WorldCat Record")</f>
        <v>WorldCat Record</v>
      </c>
      <c r="AU201" s="3" t="s">
        <v>2410</v>
      </c>
      <c r="AV201" s="3" t="s">
        <v>2411</v>
      </c>
      <c r="AW201" s="3" t="s">
        <v>2412</v>
      </c>
      <c r="AX201" s="3" t="s">
        <v>2412</v>
      </c>
      <c r="AY201" s="3" t="s">
        <v>2413</v>
      </c>
      <c r="AZ201" s="3" t="s">
        <v>73</v>
      </c>
      <c r="BB201" s="3" t="s">
        <v>2414</v>
      </c>
      <c r="BC201" s="3" t="s">
        <v>2417</v>
      </c>
      <c r="BD201" s="3" t="s">
        <v>2418</v>
      </c>
    </row>
    <row r="202" spans="1:56" ht="31.5" customHeight="1" x14ac:dyDescent="0.25">
      <c r="A202" s="7" t="s">
        <v>58</v>
      </c>
      <c r="B202" s="2" t="s">
        <v>2419</v>
      </c>
      <c r="C202" s="2" t="s">
        <v>2420</v>
      </c>
      <c r="D202" s="2" t="s">
        <v>2421</v>
      </c>
      <c r="F202" s="3" t="s">
        <v>58</v>
      </c>
      <c r="G202" s="3" t="s">
        <v>59</v>
      </c>
      <c r="H202" s="3" t="s">
        <v>58</v>
      </c>
      <c r="I202" s="3" t="s">
        <v>58</v>
      </c>
      <c r="J202" s="3" t="s">
        <v>60</v>
      </c>
      <c r="L202" s="2" t="s">
        <v>2422</v>
      </c>
      <c r="M202" s="3" t="s">
        <v>257</v>
      </c>
      <c r="O202" s="3" t="s">
        <v>63</v>
      </c>
      <c r="P202" s="3" t="s">
        <v>360</v>
      </c>
      <c r="Q202" s="2" t="s">
        <v>2423</v>
      </c>
      <c r="R202" s="3" t="s">
        <v>65</v>
      </c>
      <c r="S202" s="4">
        <v>2</v>
      </c>
      <c r="T202" s="4">
        <v>2</v>
      </c>
      <c r="U202" s="5" t="s">
        <v>2424</v>
      </c>
      <c r="V202" s="5" t="s">
        <v>2424</v>
      </c>
      <c r="W202" s="5" t="s">
        <v>2425</v>
      </c>
      <c r="X202" s="5" t="s">
        <v>2425</v>
      </c>
      <c r="Y202" s="4">
        <v>467</v>
      </c>
      <c r="Z202" s="4">
        <v>371</v>
      </c>
      <c r="AA202" s="4">
        <v>371</v>
      </c>
      <c r="AB202" s="4">
        <v>3</v>
      </c>
      <c r="AC202" s="4">
        <v>3</v>
      </c>
      <c r="AD202" s="4">
        <v>17</v>
      </c>
      <c r="AE202" s="4">
        <v>17</v>
      </c>
      <c r="AF202" s="4">
        <v>6</v>
      </c>
      <c r="AG202" s="4">
        <v>6</v>
      </c>
      <c r="AH202" s="4">
        <v>4</v>
      </c>
      <c r="AI202" s="4">
        <v>4</v>
      </c>
      <c r="AJ202" s="4">
        <v>8</v>
      </c>
      <c r="AK202" s="4">
        <v>8</v>
      </c>
      <c r="AL202" s="4">
        <v>2</v>
      </c>
      <c r="AM202" s="4">
        <v>2</v>
      </c>
      <c r="AN202" s="4">
        <v>0</v>
      </c>
      <c r="AO202" s="4">
        <v>0</v>
      </c>
      <c r="AP202" s="3" t="s">
        <v>58</v>
      </c>
      <c r="AQ202" s="3" t="s">
        <v>58</v>
      </c>
      <c r="AS202" s="6" t="str">
        <f>HYPERLINK("https://creighton-primo.hosted.exlibrisgroup.com/primo-explore/search?tab=default_tab&amp;search_scope=EVERYTHING&amp;vid=01CRU&amp;lang=en_US&amp;offset=0&amp;query=any,contains,991002735929702656","Catalog Record")</f>
        <v>Catalog Record</v>
      </c>
      <c r="AT202" s="6" t="str">
        <f>HYPERLINK("http://www.worldcat.org/oclc/35911196","WorldCat Record")</f>
        <v>WorldCat Record</v>
      </c>
      <c r="AU202" s="3" t="s">
        <v>2426</v>
      </c>
      <c r="AV202" s="3" t="s">
        <v>2427</v>
      </c>
      <c r="AW202" s="3" t="s">
        <v>2428</v>
      </c>
      <c r="AX202" s="3" t="s">
        <v>2428</v>
      </c>
      <c r="AY202" s="3" t="s">
        <v>2429</v>
      </c>
      <c r="AZ202" s="3" t="s">
        <v>73</v>
      </c>
      <c r="BB202" s="3" t="s">
        <v>2430</v>
      </c>
      <c r="BC202" s="3" t="s">
        <v>2431</v>
      </c>
      <c r="BD202" s="3" t="s">
        <v>2432</v>
      </c>
    </row>
    <row r="203" spans="1:56" ht="31.5" customHeight="1" x14ac:dyDescent="0.25">
      <c r="A203" s="7" t="s">
        <v>58</v>
      </c>
      <c r="B203" s="2" t="s">
        <v>2433</v>
      </c>
      <c r="C203" s="2" t="s">
        <v>2434</v>
      </c>
      <c r="D203" s="2" t="s">
        <v>2435</v>
      </c>
      <c r="F203" s="3" t="s">
        <v>58</v>
      </c>
      <c r="G203" s="3" t="s">
        <v>59</v>
      </c>
      <c r="H203" s="3" t="s">
        <v>58</v>
      </c>
      <c r="I203" s="3" t="s">
        <v>58</v>
      </c>
      <c r="J203" s="3" t="s">
        <v>60</v>
      </c>
      <c r="K203" s="2" t="s">
        <v>2436</v>
      </c>
      <c r="L203" s="2" t="s">
        <v>2437</v>
      </c>
      <c r="M203" s="3" t="s">
        <v>257</v>
      </c>
      <c r="O203" s="3" t="s">
        <v>63</v>
      </c>
      <c r="P203" s="3" t="s">
        <v>444</v>
      </c>
      <c r="Q203" s="2" t="s">
        <v>2438</v>
      </c>
      <c r="R203" s="3" t="s">
        <v>65</v>
      </c>
      <c r="S203" s="4">
        <v>2</v>
      </c>
      <c r="T203" s="4">
        <v>2</v>
      </c>
      <c r="U203" s="5" t="s">
        <v>2439</v>
      </c>
      <c r="V203" s="5" t="s">
        <v>2439</v>
      </c>
      <c r="W203" s="5" t="s">
        <v>2440</v>
      </c>
      <c r="X203" s="5" t="s">
        <v>2440</v>
      </c>
      <c r="Y203" s="4">
        <v>251</v>
      </c>
      <c r="Z203" s="4">
        <v>202</v>
      </c>
      <c r="AA203" s="4">
        <v>202</v>
      </c>
      <c r="AB203" s="4">
        <v>2</v>
      </c>
      <c r="AC203" s="4">
        <v>2</v>
      </c>
      <c r="AD203" s="4">
        <v>13</v>
      </c>
      <c r="AE203" s="4">
        <v>13</v>
      </c>
      <c r="AF203" s="4">
        <v>3</v>
      </c>
      <c r="AG203" s="4">
        <v>3</v>
      </c>
      <c r="AH203" s="4">
        <v>4</v>
      </c>
      <c r="AI203" s="4">
        <v>4</v>
      </c>
      <c r="AJ203" s="4">
        <v>9</v>
      </c>
      <c r="AK203" s="4">
        <v>9</v>
      </c>
      <c r="AL203" s="4">
        <v>1</v>
      </c>
      <c r="AM203" s="4">
        <v>1</v>
      </c>
      <c r="AN203" s="4">
        <v>0</v>
      </c>
      <c r="AO203" s="4">
        <v>0</v>
      </c>
      <c r="AP203" s="3" t="s">
        <v>58</v>
      </c>
      <c r="AQ203" s="3" t="s">
        <v>58</v>
      </c>
      <c r="AS203" s="6" t="str">
        <f>HYPERLINK("https://creighton-primo.hosted.exlibrisgroup.com/primo-explore/search?tab=default_tab&amp;search_scope=EVERYTHING&amp;vid=01CRU&amp;lang=en_US&amp;offset=0&amp;query=any,contains,991002734079702656","Catalog Record")</f>
        <v>Catalog Record</v>
      </c>
      <c r="AT203" s="6" t="str">
        <f>HYPERLINK("http://www.worldcat.org/oclc/35865501","WorldCat Record")</f>
        <v>WorldCat Record</v>
      </c>
      <c r="AU203" s="3" t="s">
        <v>2441</v>
      </c>
      <c r="AV203" s="3" t="s">
        <v>2442</v>
      </c>
      <c r="AW203" s="3" t="s">
        <v>2443</v>
      </c>
      <c r="AX203" s="3" t="s">
        <v>2443</v>
      </c>
      <c r="AY203" s="3" t="s">
        <v>2444</v>
      </c>
      <c r="AZ203" s="3" t="s">
        <v>73</v>
      </c>
      <c r="BB203" s="3" t="s">
        <v>2445</v>
      </c>
      <c r="BC203" s="3" t="s">
        <v>2446</v>
      </c>
      <c r="BD203" s="3" t="s">
        <v>2447</v>
      </c>
    </row>
    <row r="204" spans="1:56" ht="31.5" customHeight="1" x14ac:dyDescent="0.25">
      <c r="A204" s="7" t="s">
        <v>58</v>
      </c>
      <c r="B204" s="2" t="s">
        <v>2448</v>
      </c>
      <c r="C204" s="2" t="s">
        <v>2449</v>
      </c>
      <c r="D204" s="2" t="s">
        <v>2450</v>
      </c>
      <c r="F204" s="3" t="s">
        <v>58</v>
      </c>
      <c r="G204" s="3" t="s">
        <v>59</v>
      </c>
      <c r="H204" s="3" t="s">
        <v>58</v>
      </c>
      <c r="I204" s="3" t="s">
        <v>58</v>
      </c>
      <c r="J204" s="3" t="s">
        <v>60</v>
      </c>
      <c r="K204" s="2" t="s">
        <v>2451</v>
      </c>
      <c r="L204" s="2" t="s">
        <v>2452</v>
      </c>
      <c r="M204" s="3" t="s">
        <v>1939</v>
      </c>
      <c r="O204" s="3" t="s">
        <v>63</v>
      </c>
      <c r="P204" s="3" t="s">
        <v>64</v>
      </c>
      <c r="R204" s="3" t="s">
        <v>65</v>
      </c>
      <c r="S204" s="4">
        <v>3</v>
      </c>
      <c r="T204" s="4">
        <v>3</v>
      </c>
      <c r="U204" s="5" t="s">
        <v>2453</v>
      </c>
      <c r="V204" s="5" t="s">
        <v>2453</v>
      </c>
      <c r="W204" s="5" t="s">
        <v>375</v>
      </c>
      <c r="X204" s="5" t="s">
        <v>375</v>
      </c>
      <c r="Y204" s="4">
        <v>67</v>
      </c>
      <c r="Z204" s="4">
        <v>44</v>
      </c>
      <c r="AA204" s="4">
        <v>138</v>
      </c>
      <c r="AB204" s="4">
        <v>1</v>
      </c>
      <c r="AC204" s="4">
        <v>2</v>
      </c>
      <c r="AD204" s="4">
        <v>2</v>
      </c>
      <c r="AE204" s="4">
        <v>5</v>
      </c>
      <c r="AF204" s="4">
        <v>1</v>
      </c>
      <c r="AG204" s="4">
        <v>2</v>
      </c>
      <c r="AH204" s="4">
        <v>0</v>
      </c>
      <c r="AI204" s="4">
        <v>2</v>
      </c>
      <c r="AJ204" s="4">
        <v>2</v>
      </c>
      <c r="AK204" s="4">
        <v>2</v>
      </c>
      <c r="AL204" s="4">
        <v>0</v>
      </c>
      <c r="AM204" s="4">
        <v>1</v>
      </c>
      <c r="AN204" s="4">
        <v>0</v>
      </c>
      <c r="AO204" s="4">
        <v>0</v>
      </c>
      <c r="AP204" s="3" t="s">
        <v>58</v>
      </c>
      <c r="AQ204" s="3" t="s">
        <v>58</v>
      </c>
      <c r="AS204" s="6" t="str">
        <f>HYPERLINK("https://creighton-primo.hosted.exlibrisgroup.com/primo-explore/search?tab=default_tab&amp;search_scope=EVERYTHING&amp;vid=01CRU&amp;lang=en_US&amp;offset=0&amp;query=any,contains,991002718919702656","Catalog Record")</f>
        <v>Catalog Record</v>
      </c>
      <c r="AT204" s="6" t="str">
        <f>HYPERLINK("http://www.worldcat.org/oclc/35650904","WorldCat Record")</f>
        <v>WorldCat Record</v>
      </c>
      <c r="AU204" s="3" t="s">
        <v>2454</v>
      </c>
      <c r="AV204" s="3" t="s">
        <v>2455</v>
      </c>
      <c r="AW204" s="3" t="s">
        <v>2456</v>
      </c>
      <c r="AX204" s="3" t="s">
        <v>2456</v>
      </c>
      <c r="AY204" s="3" t="s">
        <v>2457</v>
      </c>
      <c r="AZ204" s="3" t="s">
        <v>73</v>
      </c>
      <c r="BB204" s="3" t="s">
        <v>2458</v>
      </c>
      <c r="BC204" s="3" t="s">
        <v>2459</v>
      </c>
      <c r="BD204" s="3" t="s">
        <v>2460</v>
      </c>
    </row>
    <row r="205" spans="1:56" ht="31.5" customHeight="1" x14ac:dyDescent="0.25">
      <c r="A205" s="7" t="s">
        <v>58</v>
      </c>
      <c r="B205" s="2" t="s">
        <v>2461</v>
      </c>
      <c r="C205" s="2" t="s">
        <v>2462</v>
      </c>
      <c r="D205" s="2" t="s">
        <v>2463</v>
      </c>
      <c r="F205" s="3" t="s">
        <v>58</v>
      </c>
      <c r="G205" s="3" t="s">
        <v>59</v>
      </c>
      <c r="H205" s="3" t="s">
        <v>58</v>
      </c>
      <c r="I205" s="3" t="s">
        <v>58</v>
      </c>
      <c r="J205" s="3" t="s">
        <v>60</v>
      </c>
      <c r="K205" s="2" t="s">
        <v>2464</v>
      </c>
      <c r="L205" s="2" t="s">
        <v>2465</v>
      </c>
      <c r="M205" s="3" t="s">
        <v>113</v>
      </c>
      <c r="O205" s="3" t="s">
        <v>63</v>
      </c>
      <c r="P205" s="3" t="s">
        <v>186</v>
      </c>
      <c r="Q205" s="2" t="s">
        <v>2466</v>
      </c>
      <c r="R205" s="3" t="s">
        <v>65</v>
      </c>
      <c r="S205" s="4">
        <v>2</v>
      </c>
      <c r="T205" s="4">
        <v>2</v>
      </c>
      <c r="U205" s="5" t="s">
        <v>2467</v>
      </c>
      <c r="V205" s="5" t="s">
        <v>2467</v>
      </c>
      <c r="W205" s="5" t="s">
        <v>2468</v>
      </c>
      <c r="X205" s="5" t="s">
        <v>2468</v>
      </c>
      <c r="Y205" s="4">
        <v>433</v>
      </c>
      <c r="Z205" s="4">
        <v>345</v>
      </c>
      <c r="AA205" s="4">
        <v>353</v>
      </c>
      <c r="AB205" s="4">
        <v>4</v>
      </c>
      <c r="AC205" s="4">
        <v>4</v>
      </c>
      <c r="AD205" s="4">
        <v>16</v>
      </c>
      <c r="AE205" s="4">
        <v>16</v>
      </c>
      <c r="AF205" s="4">
        <v>4</v>
      </c>
      <c r="AG205" s="4">
        <v>4</v>
      </c>
      <c r="AH205" s="4">
        <v>4</v>
      </c>
      <c r="AI205" s="4">
        <v>4</v>
      </c>
      <c r="AJ205" s="4">
        <v>8</v>
      </c>
      <c r="AK205" s="4">
        <v>8</v>
      </c>
      <c r="AL205" s="4">
        <v>3</v>
      </c>
      <c r="AM205" s="4">
        <v>3</v>
      </c>
      <c r="AN205" s="4">
        <v>0</v>
      </c>
      <c r="AO205" s="4">
        <v>0</v>
      </c>
      <c r="AP205" s="3" t="s">
        <v>58</v>
      </c>
      <c r="AQ205" s="3" t="s">
        <v>58</v>
      </c>
      <c r="AS205" s="6" t="str">
        <f>HYPERLINK("https://creighton-primo.hosted.exlibrisgroup.com/primo-explore/search?tab=default_tab&amp;search_scope=EVERYTHING&amp;vid=01CRU&amp;lang=en_US&amp;offset=0&amp;query=any,contains,991004274879702656","Catalog Record")</f>
        <v>Catalog Record</v>
      </c>
      <c r="AT205" s="6" t="str">
        <f>HYPERLINK("http://www.worldcat.org/oclc/51965036","WorldCat Record")</f>
        <v>WorldCat Record</v>
      </c>
      <c r="AU205" s="3" t="s">
        <v>2469</v>
      </c>
      <c r="AV205" s="3" t="s">
        <v>2470</v>
      </c>
      <c r="AW205" s="3" t="s">
        <v>2471</v>
      </c>
      <c r="AX205" s="3" t="s">
        <v>2471</v>
      </c>
      <c r="AY205" s="3" t="s">
        <v>2472</v>
      </c>
      <c r="AZ205" s="3" t="s">
        <v>73</v>
      </c>
      <c r="BB205" s="3" t="s">
        <v>2473</v>
      </c>
      <c r="BC205" s="3" t="s">
        <v>2474</v>
      </c>
      <c r="BD205" s="3" t="s">
        <v>2475</v>
      </c>
    </row>
    <row r="206" spans="1:56" ht="31.5" customHeight="1" x14ac:dyDescent="0.25">
      <c r="A206" s="7" t="s">
        <v>58</v>
      </c>
      <c r="B206" s="2" t="s">
        <v>2476</v>
      </c>
      <c r="C206" s="2" t="s">
        <v>2477</v>
      </c>
      <c r="D206" s="2" t="s">
        <v>2478</v>
      </c>
      <c r="F206" s="3" t="s">
        <v>58</v>
      </c>
      <c r="G206" s="3" t="s">
        <v>59</v>
      </c>
      <c r="H206" s="3" t="s">
        <v>58</v>
      </c>
      <c r="I206" s="3" t="s">
        <v>58</v>
      </c>
      <c r="J206" s="3" t="s">
        <v>60</v>
      </c>
      <c r="L206" s="2" t="s">
        <v>2479</v>
      </c>
      <c r="M206" s="3" t="s">
        <v>2117</v>
      </c>
      <c r="O206" s="3" t="s">
        <v>63</v>
      </c>
      <c r="P206" s="3" t="s">
        <v>64</v>
      </c>
      <c r="Q206" s="2" t="s">
        <v>2480</v>
      </c>
      <c r="R206" s="3" t="s">
        <v>65</v>
      </c>
      <c r="S206" s="4">
        <v>1</v>
      </c>
      <c r="T206" s="4">
        <v>1</v>
      </c>
      <c r="U206" s="5" t="s">
        <v>2481</v>
      </c>
      <c r="V206" s="5" t="s">
        <v>2481</v>
      </c>
      <c r="W206" s="5" t="s">
        <v>1658</v>
      </c>
      <c r="X206" s="5" t="s">
        <v>1658</v>
      </c>
      <c r="Y206" s="4">
        <v>247</v>
      </c>
      <c r="Z206" s="4">
        <v>185</v>
      </c>
      <c r="AA206" s="4">
        <v>214</v>
      </c>
      <c r="AB206" s="4">
        <v>1</v>
      </c>
      <c r="AC206" s="4">
        <v>1</v>
      </c>
      <c r="AD206" s="4">
        <v>7</v>
      </c>
      <c r="AE206" s="4">
        <v>7</v>
      </c>
      <c r="AF206" s="4">
        <v>1</v>
      </c>
      <c r="AG206" s="4">
        <v>1</v>
      </c>
      <c r="AH206" s="4">
        <v>4</v>
      </c>
      <c r="AI206" s="4">
        <v>4</v>
      </c>
      <c r="AJ206" s="4">
        <v>5</v>
      </c>
      <c r="AK206" s="4">
        <v>5</v>
      </c>
      <c r="AL206" s="4">
        <v>0</v>
      </c>
      <c r="AM206" s="4">
        <v>0</v>
      </c>
      <c r="AN206" s="4">
        <v>0</v>
      </c>
      <c r="AO206" s="4">
        <v>0</v>
      </c>
      <c r="AP206" s="3" t="s">
        <v>58</v>
      </c>
      <c r="AQ206" s="3" t="s">
        <v>68</v>
      </c>
      <c r="AR206" s="6" t="str">
        <f>HYPERLINK("http://catalog.hathitrust.org/Record/000094912","HathiTrust Record")</f>
        <v>HathiTrust Record</v>
      </c>
      <c r="AS206" s="6" t="str">
        <f>HYPERLINK("https://creighton-primo.hosted.exlibrisgroup.com/primo-explore/search?tab=default_tab&amp;search_scope=EVERYTHING&amp;vid=01CRU&amp;lang=en_US&amp;offset=0&amp;query=any,contains,991004888929702656","Catalog Record")</f>
        <v>Catalog Record</v>
      </c>
      <c r="AT206" s="6" t="str">
        <f>HYPERLINK("http://www.worldcat.org/oclc/5852501","WorldCat Record")</f>
        <v>WorldCat Record</v>
      </c>
      <c r="AU206" s="3" t="s">
        <v>2482</v>
      </c>
      <c r="AV206" s="3" t="s">
        <v>2483</v>
      </c>
      <c r="AW206" s="3" t="s">
        <v>2484</v>
      </c>
      <c r="AX206" s="3" t="s">
        <v>2484</v>
      </c>
      <c r="AY206" s="3" t="s">
        <v>2485</v>
      </c>
      <c r="AZ206" s="3" t="s">
        <v>73</v>
      </c>
      <c r="BB206" s="3" t="s">
        <v>2486</v>
      </c>
      <c r="BC206" s="3" t="s">
        <v>2487</v>
      </c>
      <c r="BD206" s="3" t="s">
        <v>2488</v>
      </c>
    </row>
    <row r="207" spans="1:56" ht="31.5" customHeight="1" x14ac:dyDescent="0.25">
      <c r="A207" s="7" t="s">
        <v>58</v>
      </c>
      <c r="B207" s="2" t="s">
        <v>2489</v>
      </c>
      <c r="C207" s="2" t="s">
        <v>2490</v>
      </c>
      <c r="D207" s="2" t="s">
        <v>2491</v>
      </c>
      <c r="F207" s="3" t="s">
        <v>58</v>
      </c>
      <c r="G207" s="3" t="s">
        <v>59</v>
      </c>
      <c r="H207" s="3" t="s">
        <v>58</v>
      </c>
      <c r="I207" s="3" t="s">
        <v>58</v>
      </c>
      <c r="J207" s="3" t="s">
        <v>60</v>
      </c>
      <c r="L207" s="2" t="s">
        <v>2492</v>
      </c>
      <c r="M207" s="3" t="s">
        <v>97</v>
      </c>
      <c r="O207" s="3" t="s">
        <v>63</v>
      </c>
      <c r="P207" s="3" t="s">
        <v>64</v>
      </c>
      <c r="R207" s="3" t="s">
        <v>65</v>
      </c>
      <c r="S207" s="4">
        <v>3</v>
      </c>
      <c r="T207" s="4">
        <v>3</v>
      </c>
      <c r="U207" s="5" t="s">
        <v>2493</v>
      </c>
      <c r="V207" s="5" t="s">
        <v>2493</v>
      </c>
      <c r="W207" s="5" t="s">
        <v>2494</v>
      </c>
      <c r="X207" s="5" t="s">
        <v>2494</v>
      </c>
      <c r="Y207" s="4">
        <v>362</v>
      </c>
      <c r="Z207" s="4">
        <v>283</v>
      </c>
      <c r="AA207" s="4">
        <v>288</v>
      </c>
      <c r="AB207" s="4">
        <v>1</v>
      </c>
      <c r="AC207" s="4">
        <v>1</v>
      </c>
      <c r="AD207" s="4">
        <v>8</v>
      </c>
      <c r="AE207" s="4">
        <v>8</v>
      </c>
      <c r="AF207" s="4">
        <v>2</v>
      </c>
      <c r="AG207" s="4">
        <v>2</v>
      </c>
      <c r="AH207" s="4">
        <v>2</v>
      </c>
      <c r="AI207" s="4">
        <v>2</v>
      </c>
      <c r="AJ207" s="4">
        <v>6</v>
      </c>
      <c r="AK207" s="4">
        <v>6</v>
      </c>
      <c r="AL207" s="4">
        <v>0</v>
      </c>
      <c r="AM207" s="4">
        <v>0</v>
      </c>
      <c r="AN207" s="4">
        <v>0</v>
      </c>
      <c r="AO207" s="4">
        <v>0</v>
      </c>
      <c r="AP207" s="3" t="s">
        <v>58</v>
      </c>
      <c r="AQ207" s="3" t="s">
        <v>58</v>
      </c>
      <c r="AS207" s="6" t="str">
        <f>HYPERLINK("https://creighton-primo.hosted.exlibrisgroup.com/primo-explore/search?tab=default_tab&amp;search_scope=EVERYTHING&amp;vid=01CRU&amp;lang=en_US&amp;offset=0&amp;query=any,contains,991001401989702656","Catalog Record")</f>
        <v>Catalog Record</v>
      </c>
      <c r="AT207" s="6" t="str">
        <f>HYPERLINK("http://www.worldcat.org/oclc/18832980","WorldCat Record")</f>
        <v>WorldCat Record</v>
      </c>
      <c r="AU207" s="3" t="s">
        <v>2495</v>
      </c>
      <c r="AV207" s="3" t="s">
        <v>2496</v>
      </c>
      <c r="AW207" s="3" t="s">
        <v>2497</v>
      </c>
      <c r="AX207" s="3" t="s">
        <v>2497</v>
      </c>
      <c r="AY207" s="3" t="s">
        <v>2498</v>
      </c>
      <c r="AZ207" s="3" t="s">
        <v>73</v>
      </c>
      <c r="BB207" s="3" t="s">
        <v>2499</v>
      </c>
      <c r="BC207" s="3" t="s">
        <v>2500</v>
      </c>
      <c r="BD207" s="3" t="s">
        <v>2501</v>
      </c>
    </row>
    <row r="208" spans="1:56" ht="31.5" customHeight="1" x14ac:dyDescent="0.25">
      <c r="A208" s="7" t="s">
        <v>58</v>
      </c>
      <c r="B208" s="2" t="s">
        <v>2502</v>
      </c>
      <c r="C208" s="2" t="s">
        <v>2503</v>
      </c>
      <c r="D208" s="2" t="s">
        <v>2504</v>
      </c>
      <c r="F208" s="3" t="s">
        <v>58</v>
      </c>
      <c r="G208" s="3" t="s">
        <v>59</v>
      </c>
      <c r="H208" s="3" t="s">
        <v>58</v>
      </c>
      <c r="I208" s="3" t="s">
        <v>58</v>
      </c>
      <c r="J208" s="3" t="s">
        <v>60</v>
      </c>
      <c r="K208" s="2" t="s">
        <v>2505</v>
      </c>
      <c r="L208" s="2" t="s">
        <v>2506</v>
      </c>
      <c r="M208" s="3" t="s">
        <v>2253</v>
      </c>
      <c r="O208" s="3" t="s">
        <v>63</v>
      </c>
      <c r="P208" s="3" t="s">
        <v>186</v>
      </c>
      <c r="R208" s="3" t="s">
        <v>65</v>
      </c>
      <c r="S208" s="4">
        <v>2</v>
      </c>
      <c r="T208" s="4">
        <v>2</v>
      </c>
      <c r="U208" s="5" t="s">
        <v>2507</v>
      </c>
      <c r="V208" s="5" t="s">
        <v>2507</v>
      </c>
      <c r="W208" s="5" t="s">
        <v>1658</v>
      </c>
      <c r="X208" s="5" t="s">
        <v>1658</v>
      </c>
      <c r="Y208" s="4">
        <v>336</v>
      </c>
      <c r="Z208" s="4">
        <v>265</v>
      </c>
      <c r="AA208" s="4">
        <v>285</v>
      </c>
      <c r="AB208" s="4">
        <v>3</v>
      </c>
      <c r="AC208" s="4">
        <v>3</v>
      </c>
      <c r="AD208" s="4">
        <v>10</v>
      </c>
      <c r="AE208" s="4">
        <v>12</v>
      </c>
      <c r="AF208" s="4">
        <v>2</v>
      </c>
      <c r="AG208" s="4">
        <v>3</v>
      </c>
      <c r="AH208" s="4">
        <v>3</v>
      </c>
      <c r="AI208" s="4">
        <v>4</v>
      </c>
      <c r="AJ208" s="4">
        <v>4</v>
      </c>
      <c r="AK208" s="4">
        <v>5</v>
      </c>
      <c r="AL208" s="4">
        <v>2</v>
      </c>
      <c r="AM208" s="4">
        <v>2</v>
      </c>
      <c r="AN208" s="4">
        <v>0</v>
      </c>
      <c r="AO208" s="4">
        <v>0</v>
      </c>
      <c r="AP208" s="3" t="s">
        <v>58</v>
      </c>
      <c r="AQ208" s="3" t="s">
        <v>58</v>
      </c>
      <c r="AS208" s="6" t="str">
        <f>HYPERLINK("https://creighton-primo.hosted.exlibrisgroup.com/primo-explore/search?tab=default_tab&amp;search_scope=EVERYTHING&amp;vid=01CRU&amp;lang=en_US&amp;offset=0&amp;query=any,contains,991000707089702656","Catalog Record")</f>
        <v>Catalog Record</v>
      </c>
      <c r="AT208" s="6" t="str">
        <f>HYPERLINK("http://www.worldcat.org/oclc/12557931","WorldCat Record")</f>
        <v>WorldCat Record</v>
      </c>
      <c r="AU208" s="3" t="s">
        <v>2508</v>
      </c>
      <c r="AV208" s="3" t="s">
        <v>2509</v>
      </c>
      <c r="AW208" s="3" t="s">
        <v>2510</v>
      </c>
      <c r="AX208" s="3" t="s">
        <v>2510</v>
      </c>
      <c r="AY208" s="3" t="s">
        <v>2511</v>
      </c>
      <c r="AZ208" s="3" t="s">
        <v>73</v>
      </c>
      <c r="BB208" s="3" t="s">
        <v>2512</v>
      </c>
      <c r="BC208" s="3" t="s">
        <v>2513</v>
      </c>
      <c r="BD208" s="3" t="s">
        <v>2514</v>
      </c>
    </row>
    <row r="209" spans="1:56" ht="31.5" customHeight="1" x14ac:dyDescent="0.25">
      <c r="A209" s="7" t="s">
        <v>58</v>
      </c>
      <c r="B209" s="2" t="s">
        <v>2515</v>
      </c>
      <c r="C209" s="2" t="s">
        <v>2516</v>
      </c>
      <c r="D209" s="2" t="s">
        <v>2517</v>
      </c>
      <c r="F209" s="3" t="s">
        <v>58</v>
      </c>
      <c r="G209" s="3" t="s">
        <v>59</v>
      </c>
      <c r="H209" s="3" t="s">
        <v>58</v>
      </c>
      <c r="I209" s="3" t="s">
        <v>58</v>
      </c>
      <c r="J209" s="3" t="s">
        <v>60</v>
      </c>
      <c r="K209" s="2" t="s">
        <v>2518</v>
      </c>
      <c r="L209" s="2" t="s">
        <v>2519</v>
      </c>
      <c r="M209" s="3" t="s">
        <v>443</v>
      </c>
      <c r="O209" s="3" t="s">
        <v>63</v>
      </c>
      <c r="P209" s="3" t="s">
        <v>129</v>
      </c>
      <c r="R209" s="3" t="s">
        <v>65</v>
      </c>
      <c r="S209" s="4">
        <v>1</v>
      </c>
      <c r="T209" s="4">
        <v>1</v>
      </c>
      <c r="U209" s="5" t="s">
        <v>2520</v>
      </c>
      <c r="V209" s="5" t="s">
        <v>2520</v>
      </c>
      <c r="W209" s="5" t="s">
        <v>2520</v>
      </c>
      <c r="X209" s="5" t="s">
        <v>2520</v>
      </c>
      <c r="Y209" s="4">
        <v>786</v>
      </c>
      <c r="Z209" s="4">
        <v>694</v>
      </c>
      <c r="AA209" s="4">
        <v>700</v>
      </c>
      <c r="AB209" s="4">
        <v>6</v>
      </c>
      <c r="AC209" s="4">
        <v>6</v>
      </c>
      <c r="AD209" s="4">
        <v>23</v>
      </c>
      <c r="AE209" s="4">
        <v>23</v>
      </c>
      <c r="AF209" s="4">
        <v>7</v>
      </c>
      <c r="AG209" s="4">
        <v>7</v>
      </c>
      <c r="AH209" s="4">
        <v>4</v>
      </c>
      <c r="AI209" s="4">
        <v>4</v>
      </c>
      <c r="AJ209" s="4">
        <v>11</v>
      </c>
      <c r="AK209" s="4">
        <v>11</v>
      </c>
      <c r="AL209" s="4">
        <v>4</v>
      </c>
      <c r="AM209" s="4">
        <v>4</v>
      </c>
      <c r="AN209" s="4">
        <v>0</v>
      </c>
      <c r="AO209" s="4">
        <v>0</v>
      </c>
      <c r="AP209" s="3" t="s">
        <v>58</v>
      </c>
      <c r="AQ209" s="3" t="s">
        <v>58</v>
      </c>
      <c r="AS209" s="6" t="str">
        <f>HYPERLINK("https://creighton-primo.hosted.exlibrisgroup.com/primo-explore/search?tab=default_tab&amp;search_scope=EVERYTHING&amp;vid=01CRU&amp;lang=en_US&amp;offset=0&amp;query=any,contains,991004308099702656","Catalog Record")</f>
        <v>Catalog Record</v>
      </c>
      <c r="AT209" s="6" t="str">
        <f>HYPERLINK("http://www.worldcat.org/oclc/2985039","WorldCat Record")</f>
        <v>WorldCat Record</v>
      </c>
      <c r="AU209" s="3" t="s">
        <v>2521</v>
      </c>
      <c r="AV209" s="3" t="s">
        <v>2522</v>
      </c>
      <c r="AW209" s="3" t="s">
        <v>2523</v>
      </c>
      <c r="AX209" s="3" t="s">
        <v>2523</v>
      </c>
      <c r="AY209" s="3" t="s">
        <v>2524</v>
      </c>
      <c r="AZ209" s="3" t="s">
        <v>73</v>
      </c>
      <c r="BC209" s="3" t="s">
        <v>2525</v>
      </c>
      <c r="BD209" s="3" t="s">
        <v>2526</v>
      </c>
    </row>
    <row r="210" spans="1:56" ht="31.5" customHeight="1" x14ac:dyDescent="0.25">
      <c r="A210" s="7" t="s">
        <v>58</v>
      </c>
      <c r="B210" s="2" t="s">
        <v>2527</v>
      </c>
      <c r="C210" s="2" t="s">
        <v>2528</v>
      </c>
      <c r="D210" s="2" t="s">
        <v>2529</v>
      </c>
      <c r="F210" s="3" t="s">
        <v>58</v>
      </c>
      <c r="G210" s="3" t="s">
        <v>59</v>
      </c>
      <c r="H210" s="3" t="s">
        <v>58</v>
      </c>
      <c r="I210" s="3" t="s">
        <v>58</v>
      </c>
      <c r="J210" s="3" t="s">
        <v>60</v>
      </c>
      <c r="K210" s="2" t="s">
        <v>2530</v>
      </c>
      <c r="L210" s="2" t="s">
        <v>2531</v>
      </c>
      <c r="M210" s="3" t="s">
        <v>82</v>
      </c>
      <c r="O210" s="3" t="s">
        <v>63</v>
      </c>
      <c r="P210" s="3" t="s">
        <v>186</v>
      </c>
      <c r="R210" s="3" t="s">
        <v>65</v>
      </c>
      <c r="S210" s="4">
        <v>2</v>
      </c>
      <c r="T210" s="4">
        <v>2</v>
      </c>
      <c r="U210" s="5" t="s">
        <v>2532</v>
      </c>
      <c r="V210" s="5" t="s">
        <v>2532</v>
      </c>
      <c r="W210" s="5" t="s">
        <v>2533</v>
      </c>
      <c r="X210" s="5" t="s">
        <v>2533</v>
      </c>
      <c r="Y210" s="4">
        <v>603</v>
      </c>
      <c r="Z210" s="4">
        <v>533</v>
      </c>
      <c r="AA210" s="4">
        <v>538</v>
      </c>
      <c r="AB210" s="4">
        <v>9</v>
      </c>
      <c r="AC210" s="4">
        <v>9</v>
      </c>
      <c r="AD210" s="4">
        <v>29</v>
      </c>
      <c r="AE210" s="4">
        <v>29</v>
      </c>
      <c r="AF210" s="4">
        <v>12</v>
      </c>
      <c r="AG210" s="4">
        <v>12</v>
      </c>
      <c r="AH210" s="4">
        <v>4</v>
      </c>
      <c r="AI210" s="4">
        <v>4</v>
      </c>
      <c r="AJ210" s="4">
        <v>13</v>
      </c>
      <c r="AK210" s="4">
        <v>13</v>
      </c>
      <c r="AL210" s="4">
        <v>7</v>
      </c>
      <c r="AM210" s="4">
        <v>7</v>
      </c>
      <c r="AN210" s="4">
        <v>0</v>
      </c>
      <c r="AO210" s="4">
        <v>0</v>
      </c>
      <c r="AP210" s="3" t="s">
        <v>58</v>
      </c>
      <c r="AQ210" s="3" t="s">
        <v>58</v>
      </c>
      <c r="AS210" s="6" t="str">
        <f>HYPERLINK("https://creighton-primo.hosted.exlibrisgroup.com/primo-explore/search?tab=default_tab&amp;search_scope=EVERYTHING&amp;vid=01CRU&amp;lang=en_US&amp;offset=0&amp;query=any,contains,991004050809702656","Catalog Record")</f>
        <v>Catalog Record</v>
      </c>
      <c r="AT210" s="6" t="str">
        <f>HYPERLINK("http://www.worldcat.org/oclc/48571915","WorldCat Record")</f>
        <v>WorldCat Record</v>
      </c>
      <c r="AU210" s="3" t="s">
        <v>2534</v>
      </c>
      <c r="AV210" s="3" t="s">
        <v>2535</v>
      </c>
      <c r="AW210" s="3" t="s">
        <v>2536</v>
      </c>
      <c r="AX210" s="3" t="s">
        <v>2536</v>
      </c>
      <c r="AY210" s="3" t="s">
        <v>2537</v>
      </c>
      <c r="AZ210" s="3" t="s">
        <v>73</v>
      </c>
      <c r="BB210" s="3" t="s">
        <v>2538</v>
      </c>
      <c r="BC210" s="3" t="s">
        <v>2539</v>
      </c>
      <c r="BD210" s="3" t="s">
        <v>2540</v>
      </c>
    </row>
    <row r="211" spans="1:56" ht="31.5" customHeight="1" x14ac:dyDescent="0.25">
      <c r="A211" s="7" t="s">
        <v>58</v>
      </c>
      <c r="B211" s="2" t="s">
        <v>2541</v>
      </c>
      <c r="C211" s="2" t="s">
        <v>2542</v>
      </c>
      <c r="D211" s="2" t="s">
        <v>2543</v>
      </c>
      <c r="F211" s="3" t="s">
        <v>58</v>
      </c>
      <c r="G211" s="3" t="s">
        <v>59</v>
      </c>
      <c r="H211" s="3" t="s">
        <v>58</v>
      </c>
      <c r="I211" s="3" t="s">
        <v>58</v>
      </c>
      <c r="J211" s="3" t="s">
        <v>60</v>
      </c>
      <c r="K211" s="2" t="s">
        <v>2544</v>
      </c>
      <c r="L211" s="2" t="s">
        <v>2545</v>
      </c>
      <c r="M211" s="3" t="s">
        <v>2546</v>
      </c>
      <c r="O211" s="3" t="s">
        <v>63</v>
      </c>
      <c r="P211" s="3" t="s">
        <v>129</v>
      </c>
      <c r="R211" s="3" t="s">
        <v>65</v>
      </c>
      <c r="S211" s="4">
        <v>1</v>
      </c>
      <c r="T211" s="4">
        <v>1</v>
      </c>
      <c r="U211" s="5" t="s">
        <v>2547</v>
      </c>
      <c r="V211" s="5" t="s">
        <v>2547</v>
      </c>
      <c r="W211" s="5" t="s">
        <v>2548</v>
      </c>
      <c r="X211" s="5" t="s">
        <v>2548</v>
      </c>
      <c r="Y211" s="4">
        <v>422</v>
      </c>
      <c r="Z211" s="4">
        <v>372</v>
      </c>
      <c r="AA211" s="4">
        <v>372</v>
      </c>
      <c r="AB211" s="4">
        <v>4</v>
      </c>
      <c r="AC211" s="4">
        <v>4</v>
      </c>
      <c r="AD211" s="4">
        <v>15</v>
      </c>
      <c r="AE211" s="4">
        <v>15</v>
      </c>
      <c r="AF211" s="4">
        <v>7</v>
      </c>
      <c r="AG211" s="4">
        <v>7</v>
      </c>
      <c r="AH211" s="4">
        <v>3</v>
      </c>
      <c r="AI211" s="4">
        <v>3</v>
      </c>
      <c r="AJ211" s="4">
        <v>7</v>
      </c>
      <c r="AK211" s="4">
        <v>7</v>
      </c>
      <c r="AL211" s="4">
        <v>2</v>
      </c>
      <c r="AM211" s="4">
        <v>2</v>
      </c>
      <c r="AN211" s="4">
        <v>0</v>
      </c>
      <c r="AO211" s="4">
        <v>0</v>
      </c>
      <c r="AP211" s="3" t="s">
        <v>58</v>
      </c>
      <c r="AQ211" s="3" t="s">
        <v>58</v>
      </c>
      <c r="AS211" s="6" t="str">
        <f>HYPERLINK("https://creighton-primo.hosted.exlibrisgroup.com/primo-explore/search?tab=default_tab&amp;search_scope=EVERYTHING&amp;vid=01CRU&amp;lang=en_US&amp;offset=0&amp;query=any,contains,991003584979702656","Catalog Record")</f>
        <v>Catalog Record</v>
      </c>
      <c r="AT211" s="6" t="str">
        <f>HYPERLINK("http://www.worldcat.org/oclc/45201964","WorldCat Record")</f>
        <v>WorldCat Record</v>
      </c>
      <c r="AU211" s="3" t="s">
        <v>2549</v>
      </c>
      <c r="AV211" s="3" t="s">
        <v>2550</v>
      </c>
      <c r="AW211" s="3" t="s">
        <v>2551</v>
      </c>
      <c r="AX211" s="3" t="s">
        <v>2551</v>
      </c>
      <c r="AY211" s="3" t="s">
        <v>2552</v>
      </c>
      <c r="AZ211" s="3" t="s">
        <v>73</v>
      </c>
      <c r="BB211" s="3" t="s">
        <v>2553</v>
      </c>
      <c r="BC211" s="3" t="s">
        <v>2554</v>
      </c>
      <c r="BD211" s="3" t="s">
        <v>2555</v>
      </c>
    </row>
    <row r="212" spans="1:56" ht="31.5" customHeight="1" x14ac:dyDescent="0.25">
      <c r="A212" s="7" t="s">
        <v>58</v>
      </c>
      <c r="B212" s="2" t="s">
        <v>2556</v>
      </c>
      <c r="C212" s="2" t="s">
        <v>2557</v>
      </c>
      <c r="D212" s="2" t="s">
        <v>2558</v>
      </c>
      <c r="F212" s="3" t="s">
        <v>58</v>
      </c>
      <c r="G212" s="3" t="s">
        <v>59</v>
      </c>
      <c r="H212" s="3" t="s">
        <v>58</v>
      </c>
      <c r="I212" s="3" t="s">
        <v>58</v>
      </c>
      <c r="J212" s="3" t="s">
        <v>60</v>
      </c>
      <c r="K212" s="2" t="s">
        <v>2559</v>
      </c>
      <c r="L212" s="2" t="s">
        <v>2560</v>
      </c>
      <c r="M212" s="3" t="s">
        <v>2253</v>
      </c>
      <c r="O212" s="3" t="s">
        <v>63</v>
      </c>
      <c r="P212" s="3" t="s">
        <v>64</v>
      </c>
      <c r="R212" s="3" t="s">
        <v>65</v>
      </c>
      <c r="S212" s="4">
        <v>1</v>
      </c>
      <c r="T212" s="4">
        <v>1</v>
      </c>
      <c r="U212" s="5" t="s">
        <v>2561</v>
      </c>
      <c r="V212" s="5" t="s">
        <v>2561</v>
      </c>
      <c r="W212" s="5" t="s">
        <v>1658</v>
      </c>
      <c r="X212" s="5" t="s">
        <v>1658</v>
      </c>
      <c r="Y212" s="4">
        <v>650</v>
      </c>
      <c r="Z212" s="4">
        <v>532</v>
      </c>
      <c r="AA212" s="4">
        <v>540</v>
      </c>
      <c r="AB212" s="4">
        <v>5</v>
      </c>
      <c r="AC212" s="4">
        <v>5</v>
      </c>
      <c r="AD212" s="4">
        <v>19</v>
      </c>
      <c r="AE212" s="4">
        <v>19</v>
      </c>
      <c r="AF212" s="4">
        <v>7</v>
      </c>
      <c r="AG212" s="4">
        <v>7</v>
      </c>
      <c r="AH212" s="4">
        <v>4</v>
      </c>
      <c r="AI212" s="4">
        <v>4</v>
      </c>
      <c r="AJ212" s="4">
        <v>11</v>
      </c>
      <c r="AK212" s="4">
        <v>11</v>
      </c>
      <c r="AL212" s="4">
        <v>4</v>
      </c>
      <c r="AM212" s="4">
        <v>4</v>
      </c>
      <c r="AN212" s="4">
        <v>0</v>
      </c>
      <c r="AO212" s="4">
        <v>0</v>
      </c>
      <c r="AP212" s="3" t="s">
        <v>58</v>
      </c>
      <c r="AQ212" s="3" t="s">
        <v>58</v>
      </c>
      <c r="AS212" s="6" t="str">
        <f>HYPERLINK("https://creighton-primo.hosted.exlibrisgroup.com/primo-explore/search?tab=default_tab&amp;search_scope=EVERYTHING&amp;vid=01CRU&amp;lang=en_US&amp;offset=0&amp;query=any,contains,991000905619702656","Catalog Record")</f>
        <v>Catalog Record</v>
      </c>
      <c r="AT212" s="6" t="str">
        <f>HYPERLINK("http://www.worldcat.org/oclc/14097997","WorldCat Record")</f>
        <v>WorldCat Record</v>
      </c>
      <c r="AU212" s="3" t="s">
        <v>2562</v>
      </c>
      <c r="AV212" s="3" t="s">
        <v>2563</v>
      </c>
      <c r="AW212" s="3" t="s">
        <v>2564</v>
      </c>
      <c r="AX212" s="3" t="s">
        <v>2564</v>
      </c>
      <c r="AY212" s="3" t="s">
        <v>2565</v>
      </c>
      <c r="AZ212" s="3" t="s">
        <v>73</v>
      </c>
      <c r="BB212" s="3" t="s">
        <v>2566</v>
      </c>
      <c r="BC212" s="3" t="s">
        <v>2567</v>
      </c>
      <c r="BD212" s="3" t="s">
        <v>2568</v>
      </c>
    </row>
    <row r="213" spans="1:56" ht="31.5" customHeight="1" x14ac:dyDescent="0.25">
      <c r="A213" s="7" t="s">
        <v>58</v>
      </c>
      <c r="B213" s="2" t="s">
        <v>2569</v>
      </c>
      <c r="C213" s="2" t="s">
        <v>2570</v>
      </c>
      <c r="D213" s="2" t="s">
        <v>2571</v>
      </c>
      <c r="F213" s="3" t="s">
        <v>58</v>
      </c>
      <c r="G213" s="3" t="s">
        <v>59</v>
      </c>
      <c r="H213" s="3" t="s">
        <v>58</v>
      </c>
      <c r="I213" s="3" t="s">
        <v>58</v>
      </c>
      <c r="J213" s="3" t="s">
        <v>60</v>
      </c>
      <c r="K213" s="2" t="s">
        <v>2572</v>
      </c>
      <c r="L213" s="2" t="s">
        <v>2573</v>
      </c>
      <c r="M213" s="3" t="s">
        <v>1939</v>
      </c>
      <c r="N213" s="2" t="s">
        <v>2574</v>
      </c>
      <c r="O213" s="3" t="s">
        <v>63</v>
      </c>
      <c r="P213" s="3" t="s">
        <v>2575</v>
      </c>
      <c r="R213" s="3" t="s">
        <v>65</v>
      </c>
      <c r="S213" s="4">
        <v>1</v>
      </c>
      <c r="T213" s="4">
        <v>1</v>
      </c>
      <c r="U213" s="5" t="s">
        <v>2576</v>
      </c>
      <c r="V213" s="5" t="s">
        <v>2576</v>
      </c>
      <c r="W213" s="5" t="s">
        <v>2577</v>
      </c>
      <c r="X213" s="5" t="s">
        <v>2577</v>
      </c>
      <c r="Y213" s="4">
        <v>247</v>
      </c>
      <c r="Z213" s="4">
        <v>224</v>
      </c>
      <c r="AA213" s="4">
        <v>228</v>
      </c>
      <c r="AB213" s="4">
        <v>2</v>
      </c>
      <c r="AC213" s="4">
        <v>2</v>
      </c>
      <c r="AD213" s="4">
        <v>8</v>
      </c>
      <c r="AE213" s="4">
        <v>8</v>
      </c>
      <c r="AF213" s="4">
        <v>3</v>
      </c>
      <c r="AG213" s="4">
        <v>3</v>
      </c>
      <c r="AH213" s="4">
        <v>2</v>
      </c>
      <c r="AI213" s="4">
        <v>2</v>
      </c>
      <c r="AJ213" s="4">
        <v>4</v>
      </c>
      <c r="AK213" s="4">
        <v>4</v>
      </c>
      <c r="AL213" s="4">
        <v>1</v>
      </c>
      <c r="AM213" s="4">
        <v>1</v>
      </c>
      <c r="AN213" s="4">
        <v>0</v>
      </c>
      <c r="AO213" s="4">
        <v>0</v>
      </c>
      <c r="AP213" s="3" t="s">
        <v>58</v>
      </c>
      <c r="AQ213" s="3" t="s">
        <v>68</v>
      </c>
      <c r="AR213" s="6" t="str">
        <f>HYPERLINK("http://catalog.hathitrust.org/Record/003131162","HathiTrust Record")</f>
        <v>HathiTrust Record</v>
      </c>
      <c r="AS213" s="6" t="str">
        <f>HYPERLINK("https://creighton-primo.hosted.exlibrisgroup.com/primo-explore/search?tab=default_tab&amp;search_scope=EVERYTHING&amp;vid=01CRU&amp;lang=en_US&amp;offset=0&amp;query=any,contains,991002145129702656","Catalog Record")</f>
        <v>Catalog Record</v>
      </c>
      <c r="AT213" s="6" t="str">
        <f>HYPERLINK("http://www.worldcat.org/oclc/27641150","WorldCat Record")</f>
        <v>WorldCat Record</v>
      </c>
      <c r="AU213" s="3" t="s">
        <v>2578</v>
      </c>
      <c r="AV213" s="3" t="s">
        <v>2579</v>
      </c>
      <c r="AW213" s="3" t="s">
        <v>2580</v>
      </c>
      <c r="AX213" s="3" t="s">
        <v>2580</v>
      </c>
      <c r="AY213" s="3" t="s">
        <v>2581</v>
      </c>
      <c r="AZ213" s="3" t="s">
        <v>73</v>
      </c>
      <c r="BB213" s="3" t="s">
        <v>2582</v>
      </c>
      <c r="BC213" s="3" t="s">
        <v>2583</v>
      </c>
      <c r="BD213" s="3" t="s">
        <v>2584</v>
      </c>
    </row>
    <row r="214" spans="1:56" ht="31.5" customHeight="1" x14ac:dyDescent="0.25">
      <c r="A214" s="7" t="s">
        <v>58</v>
      </c>
      <c r="B214" s="2" t="s">
        <v>2585</v>
      </c>
      <c r="C214" s="2" t="s">
        <v>2586</v>
      </c>
      <c r="D214" s="2" t="s">
        <v>2587</v>
      </c>
      <c r="F214" s="3" t="s">
        <v>58</v>
      </c>
      <c r="G214" s="3" t="s">
        <v>59</v>
      </c>
      <c r="H214" s="3" t="s">
        <v>58</v>
      </c>
      <c r="I214" s="3" t="s">
        <v>58</v>
      </c>
      <c r="J214" s="3" t="s">
        <v>60</v>
      </c>
      <c r="K214" s="2" t="s">
        <v>2588</v>
      </c>
      <c r="L214" s="2" t="s">
        <v>2589</v>
      </c>
      <c r="M214" s="3" t="s">
        <v>257</v>
      </c>
      <c r="O214" s="3" t="s">
        <v>63</v>
      </c>
      <c r="P214" s="3" t="s">
        <v>64</v>
      </c>
      <c r="R214" s="3" t="s">
        <v>65</v>
      </c>
      <c r="S214" s="4">
        <v>1</v>
      </c>
      <c r="T214" s="4">
        <v>1</v>
      </c>
      <c r="U214" s="5" t="s">
        <v>2576</v>
      </c>
      <c r="V214" s="5" t="s">
        <v>2576</v>
      </c>
      <c r="W214" s="5" t="s">
        <v>2590</v>
      </c>
      <c r="X214" s="5" t="s">
        <v>2590</v>
      </c>
      <c r="Y214" s="4">
        <v>363</v>
      </c>
      <c r="Z214" s="4">
        <v>287</v>
      </c>
      <c r="AA214" s="4">
        <v>287</v>
      </c>
      <c r="AB214" s="4">
        <v>3</v>
      </c>
      <c r="AC214" s="4">
        <v>3</v>
      </c>
      <c r="AD214" s="4">
        <v>12</v>
      </c>
      <c r="AE214" s="4">
        <v>12</v>
      </c>
      <c r="AF214" s="4">
        <v>5</v>
      </c>
      <c r="AG214" s="4">
        <v>5</v>
      </c>
      <c r="AH214" s="4">
        <v>2</v>
      </c>
      <c r="AI214" s="4">
        <v>2</v>
      </c>
      <c r="AJ214" s="4">
        <v>5</v>
      </c>
      <c r="AK214" s="4">
        <v>5</v>
      </c>
      <c r="AL214" s="4">
        <v>2</v>
      </c>
      <c r="AM214" s="4">
        <v>2</v>
      </c>
      <c r="AN214" s="4">
        <v>0</v>
      </c>
      <c r="AO214" s="4">
        <v>0</v>
      </c>
      <c r="AP214" s="3" t="s">
        <v>58</v>
      </c>
      <c r="AQ214" s="3" t="s">
        <v>58</v>
      </c>
      <c r="AS214" s="6" t="str">
        <f>HYPERLINK("https://creighton-primo.hosted.exlibrisgroup.com/primo-explore/search?tab=default_tab&amp;search_scope=EVERYTHING&amp;vid=01CRU&amp;lang=en_US&amp;offset=0&amp;query=any,contains,991002638069702656","Catalog Record")</f>
        <v>Catalog Record</v>
      </c>
      <c r="AT214" s="6" t="str">
        <f>HYPERLINK("http://www.worldcat.org/oclc/34548527","WorldCat Record")</f>
        <v>WorldCat Record</v>
      </c>
      <c r="AU214" s="3" t="s">
        <v>2591</v>
      </c>
      <c r="AV214" s="3" t="s">
        <v>2592</v>
      </c>
      <c r="AW214" s="3" t="s">
        <v>2593</v>
      </c>
      <c r="AX214" s="3" t="s">
        <v>2593</v>
      </c>
      <c r="AY214" s="3" t="s">
        <v>2594</v>
      </c>
      <c r="AZ214" s="3" t="s">
        <v>73</v>
      </c>
      <c r="BB214" s="3" t="s">
        <v>2595</v>
      </c>
      <c r="BC214" s="3" t="s">
        <v>2596</v>
      </c>
      <c r="BD214" s="3" t="s">
        <v>2597</v>
      </c>
    </row>
    <row r="215" spans="1:56" ht="31.5" customHeight="1" x14ac:dyDescent="0.25">
      <c r="A215" s="7" t="s">
        <v>58</v>
      </c>
      <c r="B215" s="2" t="s">
        <v>2598</v>
      </c>
      <c r="C215" s="2" t="s">
        <v>2599</v>
      </c>
      <c r="D215" s="2" t="s">
        <v>2600</v>
      </c>
      <c r="F215" s="3" t="s">
        <v>58</v>
      </c>
      <c r="G215" s="3" t="s">
        <v>59</v>
      </c>
      <c r="H215" s="3" t="s">
        <v>58</v>
      </c>
      <c r="I215" s="3" t="s">
        <v>58</v>
      </c>
      <c r="J215" s="3" t="s">
        <v>60</v>
      </c>
      <c r="K215" s="2" t="s">
        <v>2601</v>
      </c>
      <c r="L215" s="2" t="s">
        <v>2602</v>
      </c>
      <c r="M215" s="3" t="s">
        <v>537</v>
      </c>
      <c r="O215" s="3" t="s">
        <v>63</v>
      </c>
      <c r="P215" s="3" t="s">
        <v>444</v>
      </c>
      <c r="Q215" s="2" t="s">
        <v>2603</v>
      </c>
      <c r="R215" s="3" t="s">
        <v>65</v>
      </c>
      <c r="S215" s="4">
        <v>2</v>
      </c>
      <c r="T215" s="4">
        <v>2</v>
      </c>
      <c r="U215" s="5" t="s">
        <v>2604</v>
      </c>
      <c r="V215" s="5" t="s">
        <v>2604</v>
      </c>
      <c r="W215" s="5" t="s">
        <v>2605</v>
      </c>
      <c r="X215" s="5" t="s">
        <v>2605</v>
      </c>
      <c r="Y215" s="4">
        <v>170</v>
      </c>
      <c r="Z215" s="4">
        <v>131</v>
      </c>
      <c r="AA215" s="4">
        <v>136</v>
      </c>
      <c r="AB215" s="4">
        <v>5</v>
      </c>
      <c r="AC215" s="4">
        <v>5</v>
      </c>
      <c r="AD215" s="4">
        <v>5</v>
      </c>
      <c r="AE215" s="4">
        <v>5</v>
      </c>
      <c r="AF215" s="4">
        <v>0</v>
      </c>
      <c r="AG215" s="4">
        <v>0</v>
      </c>
      <c r="AH215" s="4">
        <v>0</v>
      </c>
      <c r="AI215" s="4">
        <v>0</v>
      </c>
      <c r="AJ215" s="4">
        <v>1</v>
      </c>
      <c r="AK215" s="4">
        <v>1</v>
      </c>
      <c r="AL215" s="4">
        <v>4</v>
      </c>
      <c r="AM215" s="4">
        <v>4</v>
      </c>
      <c r="AN215" s="4">
        <v>0</v>
      </c>
      <c r="AO215" s="4">
        <v>0</v>
      </c>
      <c r="AP215" s="3" t="s">
        <v>58</v>
      </c>
      <c r="AQ215" s="3" t="s">
        <v>68</v>
      </c>
      <c r="AR215" s="6" t="str">
        <f>HYPERLINK("http://catalog.hathitrust.org/Record/002490990","HathiTrust Record")</f>
        <v>HathiTrust Record</v>
      </c>
      <c r="AS215" s="6" t="str">
        <f>HYPERLINK("https://creighton-primo.hosted.exlibrisgroup.com/primo-explore/search?tab=default_tab&amp;search_scope=EVERYTHING&amp;vid=01CRU&amp;lang=en_US&amp;offset=0&amp;query=any,contains,991001899539702656","Catalog Record")</f>
        <v>Catalog Record</v>
      </c>
      <c r="AT215" s="6" t="str">
        <f>HYPERLINK("http://www.worldcat.org/oclc/23996076","WorldCat Record")</f>
        <v>WorldCat Record</v>
      </c>
      <c r="AU215" s="3" t="s">
        <v>2606</v>
      </c>
      <c r="AV215" s="3" t="s">
        <v>2607</v>
      </c>
      <c r="AW215" s="3" t="s">
        <v>2608</v>
      </c>
      <c r="AX215" s="3" t="s">
        <v>2608</v>
      </c>
      <c r="AY215" s="3" t="s">
        <v>2609</v>
      </c>
      <c r="AZ215" s="3" t="s">
        <v>73</v>
      </c>
      <c r="BB215" s="3" t="s">
        <v>2610</v>
      </c>
      <c r="BC215" s="3" t="s">
        <v>2611</v>
      </c>
      <c r="BD215" s="3" t="s">
        <v>2612</v>
      </c>
    </row>
    <row r="216" spans="1:56" ht="31.5" customHeight="1" x14ac:dyDescent="0.25">
      <c r="A216" s="7" t="s">
        <v>58</v>
      </c>
      <c r="B216" s="2" t="s">
        <v>2613</v>
      </c>
      <c r="C216" s="2" t="s">
        <v>2614</v>
      </c>
      <c r="D216" s="2" t="s">
        <v>2615</v>
      </c>
      <c r="F216" s="3" t="s">
        <v>58</v>
      </c>
      <c r="G216" s="3" t="s">
        <v>59</v>
      </c>
      <c r="H216" s="3" t="s">
        <v>58</v>
      </c>
      <c r="I216" s="3" t="s">
        <v>58</v>
      </c>
      <c r="J216" s="3" t="s">
        <v>60</v>
      </c>
      <c r="K216" s="2" t="s">
        <v>2616</v>
      </c>
      <c r="L216" s="2" t="s">
        <v>2617</v>
      </c>
      <c r="M216" s="3" t="s">
        <v>1195</v>
      </c>
      <c r="O216" s="3" t="s">
        <v>63</v>
      </c>
      <c r="P216" s="3" t="s">
        <v>64</v>
      </c>
      <c r="R216" s="3" t="s">
        <v>65</v>
      </c>
      <c r="S216" s="4">
        <v>1</v>
      </c>
      <c r="T216" s="4">
        <v>1</v>
      </c>
      <c r="U216" s="5" t="s">
        <v>160</v>
      </c>
      <c r="V216" s="5" t="s">
        <v>160</v>
      </c>
      <c r="W216" s="5" t="s">
        <v>518</v>
      </c>
      <c r="X216" s="5" t="s">
        <v>518</v>
      </c>
      <c r="Y216" s="4">
        <v>454</v>
      </c>
      <c r="Z216" s="4">
        <v>439</v>
      </c>
      <c r="AA216" s="4">
        <v>472</v>
      </c>
      <c r="AB216" s="4">
        <v>5</v>
      </c>
      <c r="AC216" s="4">
        <v>5</v>
      </c>
      <c r="AD216" s="4">
        <v>14</v>
      </c>
      <c r="AE216" s="4">
        <v>15</v>
      </c>
      <c r="AF216" s="4">
        <v>5</v>
      </c>
      <c r="AG216" s="4">
        <v>5</v>
      </c>
      <c r="AH216" s="4">
        <v>2</v>
      </c>
      <c r="AI216" s="4">
        <v>2</v>
      </c>
      <c r="AJ216" s="4">
        <v>6</v>
      </c>
      <c r="AK216" s="4">
        <v>7</v>
      </c>
      <c r="AL216" s="4">
        <v>3</v>
      </c>
      <c r="AM216" s="4">
        <v>3</v>
      </c>
      <c r="AN216" s="4">
        <v>0</v>
      </c>
      <c r="AO216" s="4">
        <v>0</v>
      </c>
      <c r="AP216" s="3" t="s">
        <v>58</v>
      </c>
      <c r="AQ216" s="3" t="s">
        <v>58</v>
      </c>
      <c r="AR216" s="6" t="str">
        <f>HYPERLINK("http://catalog.hathitrust.org/Record/001476677","HathiTrust Record")</f>
        <v>HathiTrust Record</v>
      </c>
      <c r="AS216" s="6" t="str">
        <f>HYPERLINK("https://creighton-primo.hosted.exlibrisgroup.com/primo-explore/search?tab=default_tab&amp;search_scope=EVERYTHING&amp;vid=01CRU&amp;lang=en_US&amp;offset=0&amp;query=any,contains,991003177729702656","Catalog Record")</f>
        <v>Catalog Record</v>
      </c>
      <c r="AT216" s="6" t="str">
        <f>HYPERLINK("http://www.worldcat.org/oclc/711089","WorldCat Record")</f>
        <v>WorldCat Record</v>
      </c>
      <c r="AU216" s="3" t="s">
        <v>2618</v>
      </c>
      <c r="AV216" s="3" t="s">
        <v>2619</v>
      </c>
      <c r="AW216" s="3" t="s">
        <v>2620</v>
      </c>
      <c r="AX216" s="3" t="s">
        <v>2620</v>
      </c>
      <c r="AY216" s="3" t="s">
        <v>2621</v>
      </c>
      <c r="AZ216" s="3" t="s">
        <v>73</v>
      </c>
      <c r="BC216" s="3" t="s">
        <v>2622</v>
      </c>
      <c r="BD216" s="3" t="s">
        <v>2623</v>
      </c>
    </row>
    <row r="217" spans="1:56" ht="31.5" customHeight="1" x14ac:dyDescent="0.25">
      <c r="A217" s="7" t="s">
        <v>58</v>
      </c>
      <c r="B217" s="2" t="s">
        <v>2624</v>
      </c>
      <c r="C217" s="2" t="s">
        <v>2625</v>
      </c>
      <c r="D217" s="2" t="s">
        <v>2626</v>
      </c>
      <c r="F217" s="3" t="s">
        <v>58</v>
      </c>
      <c r="G217" s="3" t="s">
        <v>59</v>
      </c>
      <c r="H217" s="3" t="s">
        <v>58</v>
      </c>
      <c r="I217" s="3" t="s">
        <v>58</v>
      </c>
      <c r="J217" s="3" t="s">
        <v>60</v>
      </c>
      <c r="K217" s="2" t="s">
        <v>2627</v>
      </c>
      <c r="L217" s="2" t="s">
        <v>2628</v>
      </c>
      <c r="M217" s="3" t="s">
        <v>1522</v>
      </c>
      <c r="N217" s="2" t="s">
        <v>2629</v>
      </c>
      <c r="O217" s="3" t="s">
        <v>63</v>
      </c>
      <c r="P217" s="3" t="s">
        <v>186</v>
      </c>
      <c r="Q217" s="2" t="s">
        <v>2630</v>
      </c>
      <c r="R217" s="3" t="s">
        <v>65</v>
      </c>
      <c r="S217" s="4">
        <v>3</v>
      </c>
      <c r="T217" s="4">
        <v>3</v>
      </c>
      <c r="U217" s="5" t="s">
        <v>2631</v>
      </c>
      <c r="V217" s="5" t="s">
        <v>2631</v>
      </c>
      <c r="W217" s="5" t="s">
        <v>2632</v>
      </c>
      <c r="X217" s="5" t="s">
        <v>2632</v>
      </c>
      <c r="Y217" s="4">
        <v>17</v>
      </c>
      <c r="Z217" s="4">
        <v>7</v>
      </c>
      <c r="AA217" s="4">
        <v>147</v>
      </c>
      <c r="AB217" s="4">
        <v>1</v>
      </c>
      <c r="AC217" s="4">
        <v>1</v>
      </c>
      <c r="AD217" s="4">
        <v>1</v>
      </c>
      <c r="AE217" s="4">
        <v>4</v>
      </c>
      <c r="AF217" s="4">
        <v>0</v>
      </c>
      <c r="AG217" s="4">
        <v>1</v>
      </c>
      <c r="AH217" s="4">
        <v>1</v>
      </c>
      <c r="AI217" s="4">
        <v>2</v>
      </c>
      <c r="AJ217" s="4">
        <v>1</v>
      </c>
      <c r="AK217" s="4">
        <v>3</v>
      </c>
      <c r="AL217" s="4">
        <v>0</v>
      </c>
      <c r="AM217" s="4">
        <v>0</v>
      </c>
      <c r="AN217" s="4">
        <v>0</v>
      </c>
      <c r="AO217" s="4">
        <v>0</v>
      </c>
      <c r="AP217" s="3" t="s">
        <v>58</v>
      </c>
      <c r="AQ217" s="3" t="s">
        <v>68</v>
      </c>
      <c r="AR217" s="6" t="str">
        <f>HYPERLINK("http://catalog.hathitrust.org/Record/001990671","HathiTrust Record")</f>
        <v>HathiTrust Record</v>
      </c>
      <c r="AS217" s="6" t="str">
        <f>HYPERLINK("https://creighton-primo.hosted.exlibrisgroup.com/primo-explore/search?tab=default_tab&amp;search_scope=EVERYTHING&amp;vid=01CRU&amp;lang=en_US&amp;offset=0&amp;query=any,contains,991000435069702656","Catalog Record")</f>
        <v>Catalog Record</v>
      </c>
      <c r="AT217" s="6" t="str">
        <f>HYPERLINK("http://www.worldcat.org/oclc/10789561","WorldCat Record")</f>
        <v>WorldCat Record</v>
      </c>
      <c r="AU217" s="3" t="s">
        <v>2633</v>
      </c>
      <c r="AV217" s="3" t="s">
        <v>2634</v>
      </c>
      <c r="AW217" s="3" t="s">
        <v>2635</v>
      </c>
      <c r="AX217" s="3" t="s">
        <v>2635</v>
      </c>
      <c r="AY217" s="3" t="s">
        <v>2636</v>
      </c>
      <c r="AZ217" s="3" t="s">
        <v>73</v>
      </c>
      <c r="BC217" s="3" t="s">
        <v>2637</v>
      </c>
      <c r="BD217" s="3" t="s">
        <v>2638</v>
      </c>
    </row>
    <row r="218" spans="1:56" ht="31.5" customHeight="1" x14ac:dyDescent="0.25">
      <c r="A218" s="7" t="s">
        <v>58</v>
      </c>
      <c r="B218" s="2" t="s">
        <v>2639</v>
      </c>
      <c r="C218" s="2" t="s">
        <v>2640</v>
      </c>
      <c r="D218" s="2" t="s">
        <v>2641</v>
      </c>
      <c r="F218" s="3" t="s">
        <v>58</v>
      </c>
      <c r="G218" s="3" t="s">
        <v>59</v>
      </c>
      <c r="H218" s="3" t="s">
        <v>58</v>
      </c>
      <c r="I218" s="3" t="s">
        <v>68</v>
      </c>
      <c r="J218" s="3" t="s">
        <v>60</v>
      </c>
      <c r="K218" s="2" t="s">
        <v>2642</v>
      </c>
      <c r="L218" s="2" t="s">
        <v>2643</v>
      </c>
      <c r="M218" s="3" t="s">
        <v>877</v>
      </c>
      <c r="N218" s="2" t="s">
        <v>1180</v>
      </c>
      <c r="O218" s="3" t="s">
        <v>63</v>
      </c>
      <c r="P218" s="3" t="s">
        <v>186</v>
      </c>
      <c r="Q218" s="2" t="s">
        <v>2644</v>
      </c>
      <c r="R218" s="3" t="s">
        <v>65</v>
      </c>
      <c r="S218" s="4">
        <v>0</v>
      </c>
      <c r="T218" s="4">
        <v>0</v>
      </c>
      <c r="U218" s="5" t="s">
        <v>2645</v>
      </c>
      <c r="V218" s="5" t="s">
        <v>2645</v>
      </c>
      <c r="W218" s="5" t="s">
        <v>1658</v>
      </c>
      <c r="X218" s="5" t="s">
        <v>1658</v>
      </c>
      <c r="Y218" s="4">
        <v>294</v>
      </c>
      <c r="Z218" s="4">
        <v>207</v>
      </c>
      <c r="AA218" s="4">
        <v>396</v>
      </c>
      <c r="AB218" s="4">
        <v>2</v>
      </c>
      <c r="AC218" s="4">
        <v>3</v>
      </c>
      <c r="AD218" s="4">
        <v>6</v>
      </c>
      <c r="AE218" s="4">
        <v>15</v>
      </c>
      <c r="AF218" s="4">
        <v>0</v>
      </c>
      <c r="AG218" s="4">
        <v>5</v>
      </c>
      <c r="AH218" s="4">
        <v>4</v>
      </c>
      <c r="AI218" s="4">
        <v>5</v>
      </c>
      <c r="AJ218" s="4">
        <v>3</v>
      </c>
      <c r="AK218" s="4">
        <v>6</v>
      </c>
      <c r="AL218" s="4">
        <v>1</v>
      </c>
      <c r="AM218" s="4">
        <v>2</v>
      </c>
      <c r="AN218" s="4">
        <v>0</v>
      </c>
      <c r="AO218" s="4">
        <v>0</v>
      </c>
      <c r="AP218" s="3" t="s">
        <v>58</v>
      </c>
      <c r="AQ218" s="3" t="s">
        <v>58</v>
      </c>
      <c r="AS218" s="6" t="str">
        <f>HYPERLINK("https://creighton-primo.hosted.exlibrisgroup.com/primo-explore/search?tab=default_tab&amp;search_scope=EVERYTHING&amp;vid=01CRU&amp;lang=en_US&amp;offset=0&amp;query=any,contains,991000407389702656","Catalog Record")</f>
        <v>Catalog Record</v>
      </c>
      <c r="AT218" s="6" t="str">
        <f>HYPERLINK("http://www.worldcat.org/oclc/10695766","WorldCat Record")</f>
        <v>WorldCat Record</v>
      </c>
      <c r="AU218" s="3" t="s">
        <v>2646</v>
      </c>
      <c r="AV218" s="3" t="s">
        <v>2647</v>
      </c>
      <c r="AW218" s="3" t="s">
        <v>2648</v>
      </c>
      <c r="AX218" s="3" t="s">
        <v>2648</v>
      </c>
      <c r="AY218" s="3" t="s">
        <v>2649</v>
      </c>
      <c r="AZ218" s="3" t="s">
        <v>73</v>
      </c>
      <c r="BB218" s="3" t="s">
        <v>2650</v>
      </c>
      <c r="BC218" s="3" t="s">
        <v>2651</v>
      </c>
      <c r="BD218" s="3" t="s">
        <v>2652</v>
      </c>
    </row>
    <row r="219" spans="1:56" ht="31.5" customHeight="1" x14ac:dyDescent="0.25">
      <c r="A219" s="7" t="s">
        <v>58</v>
      </c>
      <c r="B219" s="2" t="s">
        <v>2653</v>
      </c>
      <c r="C219" s="2" t="s">
        <v>2654</v>
      </c>
      <c r="D219" s="2" t="s">
        <v>2655</v>
      </c>
      <c r="F219" s="3" t="s">
        <v>58</v>
      </c>
      <c r="G219" s="3" t="s">
        <v>59</v>
      </c>
      <c r="H219" s="3" t="s">
        <v>58</v>
      </c>
      <c r="I219" s="3" t="s">
        <v>58</v>
      </c>
      <c r="J219" s="3" t="s">
        <v>60</v>
      </c>
      <c r="K219" s="2" t="s">
        <v>2656</v>
      </c>
      <c r="L219" s="2" t="s">
        <v>2657</v>
      </c>
      <c r="M219" s="3" t="s">
        <v>565</v>
      </c>
      <c r="O219" s="3" t="s">
        <v>63</v>
      </c>
      <c r="P219" s="3" t="s">
        <v>1014</v>
      </c>
      <c r="Q219" s="2" t="s">
        <v>2658</v>
      </c>
      <c r="R219" s="3" t="s">
        <v>65</v>
      </c>
      <c r="S219" s="4">
        <v>2</v>
      </c>
      <c r="T219" s="4">
        <v>2</v>
      </c>
      <c r="U219" s="5" t="s">
        <v>2631</v>
      </c>
      <c r="V219" s="5" t="s">
        <v>2631</v>
      </c>
      <c r="W219" s="5" t="s">
        <v>1658</v>
      </c>
      <c r="X219" s="5" t="s">
        <v>1658</v>
      </c>
      <c r="Y219" s="4">
        <v>130</v>
      </c>
      <c r="Z219" s="4">
        <v>116</v>
      </c>
      <c r="AA219" s="4">
        <v>118</v>
      </c>
      <c r="AB219" s="4">
        <v>1</v>
      </c>
      <c r="AC219" s="4">
        <v>1</v>
      </c>
      <c r="AD219" s="4">
        <v>2</v>
      </c>
      <c r="AE219" s="4">
        <v>2</v>
      </c>
      <c r="AF219" s="4">
        <v>2</v>
      </c>
      <c r="AG219" s="4">
        <v>2</v>
      </c>
      <c r="AH219" s="4">
        <v>0</v>
      </c>
      <c r="AI219" s="4">
        <v>0</v>
      </c>
      <c r="AJ219" s="4">
        <v>0</v>
      </c>
      <c r="AK219" s="4">
        <v>0</v>
      </c>
      <c r="AL219" s="4">
        <v>0</v>
      </c>
      <c r="AM219" s="4">
        <v>0</v>
      </c>
      <c r="AN219" s="4">
        <v>0</v>
      </c>
      <c r="AO219" s="4">
        <v>0</v>
      </c>
      <c r="AP219" s="3" t="s">
        <v>58</v>
      </c>
      <c r="AQ219" s="3" t="s">
        <v>68</v>
      </c>
      <c r="AR219" s="6" t="str">
        <f>HYPERLINK("http://catalog.hathitrust.org/Record/000741175","HathiTrust Record")</f>
        <v>HathiTrust Record</v>
      </c>
      <c r="AS219" s="6" t="str">
        <f>HYPERLINK("https://creighton-primo.hosted.exlibrisgroup.com/primo-explore/search?tab=default_tab&amp;search_scope=EVERYTHING&amp;vid=01CRU&amp;lang=en_US&amp;offset=0&amp;query=any,contains,991004931549702656","Catalog Record")</f>
        <v>Catalog Record</v>
      </c>
      <c r="AT219" s="6" t="str">
        <f>HYPERLINK("http://www.worldcat.org/oclc/6098157","WorldCat Record")</f>
        <v>WorldCat Record</v>
      </c>
      <c r="AU219" s="3" t="s">
        <v>2659</v>
      </c>
      <c r="AV219" s="3" t="s">
        <v>2660</v>
      </c>
      <c r="AW219" s="3" t="s">
        <v>2661</v>
      </c>
      <c r="AX219" s="3" t="s">
        <v>2661</v>
      </c>
      <c r="AY219" s="3" t="s">
        <v>2662</v>
      </c>
      <c r="AZ219" s="3" t="s">
        <v>73</v>
      </c>
      <c r="BB219" s="3" t="s">
        <v>2663</v>
      </c>
      <c r="BC219" s="3" t="s">
        <v>2664</v>
      </c>
      <c r="BD219" s="3" t="s">
        <v>2665</v>
      </c>
    </row>
    <row r="220" spans="1:56" ht="31.5" customHeight="1" x14ac:dyDescent="0.25">
      <c r="A220" s="7" t="s">
        <v>58</v>
      </c>
      <c r="B220" s="2" t="s">
        <v>2666</v>
      </c>
      <c r="C220" s="2" t="s">
        <v>2667</v>
      </c>
      <c r="D220" s="2" t="s">
        <v>2668</v>
      </c>
      <c r="F220" s="3" t="s">
        <v>58</v>
      </c>
      <c r="G220" s="3" t="s">
        <v>59</v>
      </c>
      <c r="H220" s="3" t="s">
        <v>58</v>
      </c>
      <c r="I220" s="3" t="s">
        <v>58</v>
      </c>
      <c r="J220" s="3" t="s">
        <v>60</v>
      </c>
      <c r="K220" s="2" t="s">
        <v>2669</v>
      </c>
      <c r="L220" s="2" t="s">
        <v>2670</v>
      </c>
      <c r="M220" s="3" t="s">
        <v>1412</v>
      </c>
      <c r="O220" s="3" t="s">
        <v>63</v>
      </c>
      <c r="P220" s="3" t="s">
        <v>360</v>
      </c>
      <c r="R220" s="3" t="s">
        <v>65</v>
      </c>
      <c r="S220" s="4">
        <v>1</v>
      </c>
      <c r="T220" s="4">
        <v>1</v>
      </c>
      <c r="U220" s="5" t="s">
        <v>1805</v>
      </c>
      <c r="V220" s="5" t="s">
        <v>1805</v>
      </c>
      <c r="W220" s="5" t="s">
        <v>2671</v>
      </c>
      <c r="X220" s="5" t="s">
        <v>2671</v>
      </c>
      <c r="Y220" s="4">
        <v>625</v>
      </c>
      <c r="Z220" s="4">
        <v>516</v>
      </c>
      <c r="AA220" s="4">
        <v>526</v>
      </c>
      <c r="AB220" s="4">
        <v>5</v>
      </c>
      <c r="AC220" s="4">
        <v>5</v>
      </c>
      <c r="AD220" s="4">
        <v>17</v>
      </c>
      <c r="AE220" s="4">
        <v>17</v>
      </c>
      <c r="AF220" s="4">
        <v>4</v>
      </c>
      <c r="AG220" s="4">
        <v>4</v>
      </c>
      <c r="AH220" s="4">
        <v>3</v>
      </c>
      <c r="AI220" s="4">
        <v>3</v>
      </c>
      <c r="AJ220" s="4">
        <v>10</v>
      </c>
      <c r="AK220" s="4">
        <v>10</v>
      </c>
      <c r="AL220" s="4">
        <v>4</v>
      </c>
      <c r="AM220" s="4">
        <v>4</v>
      </c>
      <c r="AN220" s="4">
        <v>0</v>
      </c>
      <c r="AO220" s="4">
        <v>0</v>
      </c>
      <c r="AP220" s="3" t="s">
        <v>58</v>
      </c>
      <c r="AQ220" s="3" t="s">
        <v>68</v>
      </c>
      <c r="AR220" s="6" t="str">
        <f>HYPERLINK("http://catalog.hathitrust.org/Record/001476695","HathiTrust Record")</f>
        <v>HathiTrust Record</v>
      </c>
      <c r="AS220" s="6" t="str">
        <f>HYPERLINK("https://creighton-primo.hosted.exlibrisgroup.com/primo-explore/search?tab=default_tab&amp;search_scope=EVERYTHING&amp;vid=01CRU&amp;lang=en_US&amp;offset=0&amp;query=any,contains,991001534959702656","Catalog Record")</f>
        <v>Catalog Record</v>
      </c>
      <c r="AT220" s="6" t="str">
        <f>HYPERLINK("http://www.worldcat.org/oclc/232378","WorldCat Record")</f>
        <v>WorldCat Record</v>
      </c>
      <c r="AU220" s="3" t="s">
        <v>2672</v>
      </c>
      <c r="AV220" s="3" t="s">
        <v>2673</v>
      </c>
      <c r="AW220" s="3" t="s">
        <v>2674</v>
      </c>
      <c r="AX220" s="3" t="s">
        <v>2674</v>
      </c>
      <c r="AY220" s="3" t="s">
        <v>2675</v>
      </c>
      <c r="AZ220" s="3" t="s">
        <v>73</v>
      </c>
      <c r="BC220" s="3" t="s">
        <v>2676</v>
      </c>
      <c r="BD220" s="3" t="s">
        <v>2677</v>
      </c>
    </row>
    <row r="221" spans="1:56" ht="31.5" customHeight="1" x14ac:dyDescent="0.25">
      <c r="A221" s="7" t="s">
        <v>58</v>
      </c>
      <c r="B221" s="2" t="s">
        <v>2678</v>
      </c>
      <c r="C221" s="2" t="s">
        <v>2679</v>
      </c>
      <c r="D221" s="2" t="s">
        <v>2680</v>
      </c>
      <c r="F221" s="3" t="s">
        <v>58</v>
      </c>
      <c r="G221" s="3" t="s">
        <v>59</v>
      </c>
      <c r="H221" s="3" t="s">
        <v>58</v>
      </c>
      <c r="I221" s="3" t="s">
        <v>58</v>
      </c>
      <c r="J221" s="3" t="s">
        <v>60</v>
      </c>
      <c r="K221" s="2" t="s">
        <v>2681</v>
      </c>
      <c r="L221" s="2" t="s">
        <v>2682</v>
      </c>
      <c r="M221" s="3" t="s">
        <v>257</v>
      </c>
      <c r="N221" s="2" t="s">
        <v>501</v>
      </c>
      <c r="O221" s="3" t="s">
        <v>63</v>
      </c>
      <c r="P221" s="3" t="s">
        <v>64</v>
      </c>
      <c r="R221" s="3" t="s">
        <v>65</v>
      </c>
      <c r="S221" s="4">
        <v>2</v>
      </c>
      <c r="T221" s="4">
        <v>2</v>
      </c>
      <c r="U221" s="5" t="s">
        <v>2683</v>
      </c>
      <c r="V221" s="5" t="s">
        <v>2683</v>
      </c>
      <c r="W221" s="5" t="s">
        <v>2684</v>
      </c>
      <c r="X221" s="5" t="s">
        <v>2684</v>
      </c>
      <c r="Y221" s="4">
        <v>832</v>
      </c>
      <c r="Z221" s="4">
        <v>777</v>
      </c>
      <c r="AA221" s="4">
        <v>874</v>
      </c>
      <c r="AB221" s="4">
        <v>6</v>
      </c>
      <c r="AC221" s="4">
        <v>6</v>
      </c>
      <c r="AD221" s="4">
        <v>21</v>
      </c>
      <c r="AE221" s="4">
        <v>23</v>
      </c>
      <c r="AF221" s="4">
        <v>6</v>
      </c>
      <c r="AG221" s="4">
        <v>8</v>
      </c>
      <c r="AH221" s="4">
        <v>5</v>
      </c>
      <c r="AI221" s="4">
        <v>5</v>
      </c>
      <c r="AJ221" s="4">
        <v>12</v>
      </c>
      <c r="AK221" s="4">
        <v>13</v>
      </c>
      <c r="AL221" s="4">
        <v>3</v>
      </c>
      <c r="AM221" s="4">
        <v>3</v>
      </c>
      <c r="AN221" s="4">
        <v>0</v>
      </c>
      <c r="AO221" s="4">
        <v>0</v>
      </c>
      <c r="AP221" s="3" t="s">
        <v>58</v>
      </c>
      <c r="AQ221" s="3" t="s">
        <v>68</v>
      </c>
      <c r="AR221" s="6" t="str">
        <f>HYPERLINK("http://catalog.hathitrust.org/Record/003950731","HathiTrust Record")</f>
        <v>HathiTrust Record</v>
      </c>
      <c r="AS221" s="6" t="str">
        <f>HYPERLINK("https://creighton-primo.hosted.exlibrisgroup.com/primo-explore/search?tab=default_tab&amp;search_scope=EVERYTHING&amp;vid=01CRU&amp;lang=en_US&amp;offset=0&amp;query=any,contains,991002845199702656","Catalog Record")</f>
        <v>Catalog Record</v>
      </c>
      <c r="AT221" s="6" t="str">
        <f>HYPERLINK("http://www.worldcat.org/oclc/37492513","WorldCat Record")</f>
        <v>WorldCat Record</v>
      </c>
      <c r="AU221" s="3" t="s">
        <v>2685</v>
      </c>
      <c r="AV221" s="3" t="s">
        <v>2686</v>
      </c>
      <c r="AW221" s="3" t="s">
        <v>2687</v>
      </c>
      <c r="AX221" s="3" t="s">
        <v>2687</v>
      </c>
      <c r="AY221" s="3" t="s">
        <v>2688</v>
      </c>
      <c r="AZ221" s="3" t="s">
        <v>73</v>
      </c>
      <c r="BB221" s="3" t="s">
        <v>2689</v>
      </c>
      <c r="BC221" s="3" t="s">
        <v>2690</v>
      </c>
      <c r="BD221" s="3" t="s">
        <v>2691</v>
      </c>
    </row>
    <row r="222" spans="1:56" ht="31.5" customHeight="1" x14ac:dyDescent="0.25">
      <c r="A222" s="7" t="s">
        <v>58</v>
      </c>
      <c r="B222" s="2" t="s">
        <v>2692</v>
      </c>
      <c r="C222" s="2" t="s">
        <v>2693</v>
      </c>
      <c r="D222" s="2" t="s">
        <v>2694</v>
      </c>
      <c r="F222" s="3" t="s">
        <v>58</v>
      </c>
      <c r="G222" s="3" t="s">
        <v>59</v>
      </c>
      <c r="H222" s="3" t="s">
        <v>58</v>
      </c>
      <c r="I222" s="3" t="s">
        <v>58</v>
      </c>
      <c r="J222" s="3" t="s">
        <v>60</v>
      </c>
      <c r="K222" s="2" t="s">
        <v>2681</v>
      </c>
      <c r="L222" s="2" t="s">
        <v>2695</v>
      </c>
      <c r="M222" s="3" t="s">
        <v>633</v>
      </c>
      <c r="O222" s="3" t="s">
        <v>63</v>
      </c>
      <c r="P222" s="3" t="s">
        <v>64</v>
      </c>
      <c r="R222" s="3" t="s">
        <v>65</v>
      </c>
      <c r="S222" s="4">
        <v>7</v>
      </c>
      <c r="T222" s="4">
        <v>7</v>
      </c>
      <c r="U222" s="5" t="s">
        <v>2683</v>
      </c>
      <c r="V222" s="5" t="s">
        <v>2683</v>
      </c>
      <c r="W222" s="5" t="s">
        <v>1098</v>
      </c>
      <c r="X222" s="5" t="s">
        <v>1098</v>
      </c>
      <c r="Y222" s="4">
        <v>1529</v>
      </c>
      <c r="Z222" s="4">
        <v>1435</v>
      </c>
      <c r="AA222" s="4">
        <v>2114</v>
      </c>
      <c r="AB222" s="4">
        <v>8</v>
      </c>
      <c r="AC222" s="4">
        <v>13</v>
      </c>
      <c r="AD222" s="4">
        <v>34</v>
      </c>
      <c r="AE222" s="4">
        <v>50</v>
      </c>
      <c r="AF222" s="4">
        <v>16</v>
      </c>
      <c r="AG222" s="4">
        <v>23</v>
      </c>
      <c r="AH222" s="4">
        <v>7</v>
      </c>
      <c r="AI222" s="4">
        <v>10</v>
      </c>
      <c r="AJ222" s="4">
        <v>19</v>
      </c>
      <c r="AK222" s="4">
        <v>22</v>
      </c>
      <c r="AL222" s="4">
        <v>3</v>
      </c>
      <c r="AM222" s="4">
        <v>7</v>
      </c>
      <c r="AN222" s="4">
        <v>0</v>
      </c>
      <c r="AO222" s="4">
        <v>1</v>
      </c>
      <c r="AP222" s="3" t="s">
        <v>58</v>
      </c>
      <c r="AQ222" s="3" t="s">
        <v>68</v>
      </c>
      <c r="AR222" s="6" t="str">
        <f>HYPERLINK("http://catalog.hathitrust.org/Record/003065101","HathiTrust Record")</f>
        <v>HathiTrust Record</v>
      </c>
      <c r="AS222" s="6" t="str">
        <f>HYPERLINK("https://creighton-primo.hosted.exlibrisgroup.com/primo-explore/search?tab=default_tab&amp;search_scope=EVERYTHING&amp;vid=01CRU&amp;lang=en_US&amp;offset=0&amp;query=any,contains,991002534509702656","Catalog Record")</f>
        <v>Catalog Record</v>
      </c>
      <c r="AT222" s="6" t="str">
        <f>HYPERLINK("http://www.worldcat.org/oclc/32925425","WorldCat Record")</f>
        <v>WorldCat Record</v>
      </c>
      <c r="AU222" s="3" t="s">
        <v>2696</v>
      </c>
      <c r="AV222" s="3" t="s">
        <v>2697</v>
      </c>
      <c r="AW222" s="3" t="s">
        <v>2698</v>
      </c>
      <c r="AX222" s="3" t="s">
        <v>2698</v>
      </c>
      <c r="AY222" s="3" t="s">
        <v>2699</v>
      </c>
      <c r="AZ222" s="3" t="s">
        <v>73</v>
      </c>
      <c r="BB222" s="3" t="s">
        <v>2700</v>
      </c>
      <c r="BC222" s="3" t="s">
        <v>2701</v>
      </c>
      <c r="BD222" s="3" t="s">
        <v>2702</v>
      </c>
    </row>
    <row r="223" spans="1:56" ht="31.5" customHeight="1" x14ac:dyDescent="0.25">
      <c r="A223" s="7" t="s">
        <v>58</v>
      </c>
      <c r="B223" s="2" t="s">
        <v>2703</v>
      </c>
      <c r="C223" s="2" t="s">
        <v>2704</v>
      </c>
      <c r="D223" s="2" t="s">
        <v>2705</v>
      </c>
      <c r="F223" s="3" t="s">
        <v>58</v>
      </c>
      <c r="G223" s="3" t="s">
        <v>59</v>
      </c>
      <c r="H223" s="3" t="s">
        <v>58</v>
      </c>
      <c r="I223" s="3" t="s">
        <v>58</v>
      </c>
      <c r="J223" s="3" t="s">
        <v>60</v>
      </c>
      <c r="L223" s="2" t="s">
        <v>2706</v>
      </c>
      <c r="M223" s="3" t="s">
        <v>1939</v>
      </c>
      <c r="O223" s="3" t="s">
        <v>63</v>
      </c>
      <c r="P223" s="3" t="s">
        <v>64</v>
      </c>
      <c r="Q223" s="2" t="s">
        <v>2707</v>
      </c>
      <c r="R223" s="3" t="s">
        <v>65</v>
      </c>
      <c r="S223" s="4">
        <v>8</v>
      </c>
      <c r="T223" s="4">
        <v>8</v>
      </c>
      <c r="U223" s="5" t="s">
        <v>2708</v>
      </c>
      <c r="V223" s="5" t="s">
        <v>2708</v>
      </c>
      <c r="W223" s="5" t="s">
        <v>2709</v>
      </c>
      <c r="X223" s="5" t="s">
        <v>2709</v>
      </c>
      <c r="Y223" s="4">
        <v>177</v>
      </c>
      <c r="Z223" s="4">
        <v>147</v>
      </c>
      <c r="AA223" s="4">
        <v>147</v>
      </c>
      <c r="AB223" s="4">
        <v>3</v>
      </c>
      <c r="AC223" s="4">
        <v>3</v>
      </c>
      <c r="AD223" s="4">
        <v>5</v>
      </c>
      <c r="AE223" s="4">
        <v>5</v>
      </c>
      <c r="AF223" s="4">
        <v>1</v>
      </c>
      <c r="AG223" s="4">
        <v>1</v>
      </c>
      <c r="AH223" s="4">
        <v>1</v>
      </c>
      <c r="AI223" s="4">
        <v>1</v>
      </c>
      <c r="AJ223" s="4">
        <v>3</v>
      </c>
      <c r="AK223" s="4">
        <v>3</v>
      </c>
      <c r="AL223" s="4">
        <v>1</v>
      </c>
      <c r="AM223" s="4">
        <v>1</v>
      </c>
      <c r="AN223" s="4">
        <v>0</v>
      </c>
      <c r="AO223" s="4">
        <v>0</v>
      </c>
      <c r="AP223" s="3" t="s">
        <v>58</v>
      </c>
      <c r="AQ223" s="3" t="s">
        <v>58</v>
      </c>
      <c r="AS223" s="6" t="str">
        <f>HYPERLINK("https://creighton-primo.hosted.exlibrisgroup.com/primo-explore/search?tab=default_tab&amp;search_scope=EVERYTHING&amp;vid=01CRU&amp;lang=en_US&amp;offset=0&amp;query=any,contains,991002524129702656","Catalog Record")</f>
        <v>Catalog Record</v>
      </c>
      <c r="AT223" s="6" t="str">
        <f>HYPERLINK("http://www.worldcat.org/oclc/32820952","WorldCat Record")</f>
        <v>WorldCat Record</v>
      </c>
      <c r="AU223" s="3" t="s">
        <v>2710</v>
      </c>
      <c r="AV223" s="3" t="s">
        <v>2711</v>
      </c>
      <c r="AW223" s="3" t="s">
        <v>2712</v>
      </c>
      <c r="AX223" s="3" t="s">
        <v>2712</v>
      </c>
      <c r="AY223" s="3" t="s">
        <v>2713</v>
      </c>
      <c r="AZ223" s="3" t="s">
        <v>73</v>
      </c>
      <c r="BB223" s="3" t="s">
        <v>2714</v>
      </c>
      <c r="BC223" s="3" t="s">
        <v>2715</v>
      </c>
      <c r="BD223" s="3" t="s">
        <v>2716</v>
      </c>
    </row>
    <row r="224" spans="1:56" ht="31.5" customHeight="1" x14ac:dyDescent="0.25">
      <c r="A224" s="7" t="s">
        <v>58</v>
      </c>
      <c r="B224" s="2" t="s">
        <v>2717</v>
      </c>
      <c r="C224" s="2" t="s">
        <v>2718</v>
      </c>
      <c r="D224" s="2" t="s">
        <v>2719</v>
      </c>
      <c r="F224" s="3" t="s">
        <v>58</v>
      </c>
      <c r="G224" s="3" t="s">
        <v>59</v>
      </c>
      <c r="H224" s="3" t="s">
        <v>58</v>
      </c>
      <c r="I224" s="3" t="s">
        <v>58</v>
      </c>
      <c r="J224" s="3" t="s">
        <v>60</v>
      </c>
      <c r="K224" s="2" t="s">
        <v>2720</v>
      </c>
      <c r="L224" s="2" t="s">
        <v>2721</v>
      </c>
      <c r="M224" s="3" t="s">
        <v>2722</v>
      </c>
      <c r="O224" s="3" t="s">
        <v>63</v>
      </c>
      <c r="P224" s="3" t="s">
        <v>129</v>
      </c>
      <c r="R224" s="3" t="s">
        <v>65</v>
      </c>
      <c r="S224" s="4">
        <v>4</v>
      </c>
      <c r="T224" s="4">
        <v>4</v>
      </c>
      <c r="U224" s="5" t="s">
        <v>2723</v>
      </c>
      <c r="V224" s="5" t="s">
        <v>2723</v>
      </c>
      <c r="W224" s="5" t="s">
        <v>518</v>
      </c>
      <c r="X224" s="5" t="s">
        <v>518</v>
      </c>
      <c r="Y224" s="4">
        <v>214</v>
      </c>
      <c r="Z224" s="4">
        <v>174</v>
      </c>
      <c r="AA224" s="4">
        <v>179</v>
      </c>
      <c r="AB224" s="4">
        <v>1</v>
      </c>
      <c r="AC224" s="4">
        <v>1</v>
      </c>
      <c r="AD224" s="4">
        <v>6</v>
      </c>
      <c r="AE224" s="4">
        <v>6</v>
      </c>
      <c r="AF224" s="4">
        <v>2</v>
      </c>
      <c r="AG224" s="4">
        <v>2</v>
      </c>
      <c r="AH224" s="4">
        <v>1</v>
      </c>
      <c r="AI224" s="4">
        <v>1</v>
      </c>
      <c r="AJ224" s="4">
        <v>4</v>
      </c>
      <c r="AK224" s="4">
        <v>4</v>
      </c>
      <c r="AL224" s="4">
        <v>0</v>
      </c>
      <c r="AM224" s="4">
        <v>0</v>
      </c>
      <c r="AN224" s="4">
        <v>0</v>
      </c>
      <c r="AO224" s="4">
        <v>0</v>
      </c>
      <c r="AP224" s="3" t="s">
        <v>58</v>
      </c>
      <c r="AQ224" s="3" t="s">
        <v>58</v>
      </c>
      <c r="AR224" s="6" t="str">
        <f>HYPERLINK("http://catalog.hathitrust.org/Record/001475425","HathiTrust Record")</f>
        <v>HathiTrust Record</v>
      </c>
      <c r="AS224" s="6" t="str">
        <f>HYPERLINK("https://creighton-primo.hosted.exlibrisgroup.com/primo-explore/search?tab=default_tab&amp;search_scope=EVERYTHING&amp;vid=01CRU&amp;lang=en_US&amp;offset=0&amp;query=any,contains,991003848569702656","Catalog Record")</f>
        <v>Catalog Record</v>
      </c>
      <c r="AT224" s="6" t="str">
        <f>HYPERLINK("http://www.worldcat.org/oclc/1636375","WorldCat Record")</f>
        <v>WorldCat Record</v>
      </c>
      <c r="AU224" s="3" t="s">
        <v>2724</v>
      </c>
      <c r="AV224" s="3" t="s">
        <v>2725</v>
      </c>
      <c r="AW224" s="3" t="s">
        <v>2726</v>
      </c>
      <c r="AX224" s="3" t="s">
        <v>2726</v>
      </c>
      <c r="AY224" s="3" t="s">
        <v>2727</v>
      </c>
      <c r="AZ224" s="3" t="s">
        <v>73</v>
      </c>
      <c r="BC224" s="3" t="s">
        <v>2728</v>
      </c>
      <c r="BD224" s="3" t="s">
        <v>2729</v>
      </c>
    </row>
    <row r="225" spans="1:56" ht="31.5" customHeight="1" x14ac:dyDescent="0.25">
      <c r="A225" s="7" t="s">
        <v>58</v>
      </c>
      <c r="B225" s="2" t="s">
        <v>2730</v>
      </c>
      <c r="C225" s="2" t="s">
        <v>2731</v>
      </c>
      <c r="D225" s="2" t="s">
        <v>2732</v>
      </c>
      <c r="F225" s="3" t="s">
        <v>58</v>
      </c>
      <c r="G225" s="3" t="s">
        <v>59</v>
      </c>
      <c r="H225" s="3" t="s">
        <v>58</v>
      </c>
      <c r="I225" s="3" t="s">
        <v>58</v>
      </c>
      <c r="J225" s="3" t="s">
        <v>60</v>
      </c>
      <c r="L225" s="2" t="s">
        <v>2733</v>
      </c>
      <c r="M225" s="3" t="s">
        <v>1235</v>
      </c>
      <c r="O225" s="3" t="s">
        <v>63</v>
      </c>
      <c r="P225" s="3" t="s">
        <v>186</v>
      </c>
      <c r="R225" s="3" t="s">
        <v>65</v>
      </c>
      <c r="S225" s="4">
        <v>2</v>
      </c>
      <c r="T225" s="4">
        <v>2</v>
      </c>
      <c r="U225" s="5" t="s">
        <v>2734</v>
      </c>
      <c r="V225" s="5" t="s">
        <v>2734</v>
      </c>
      <c r="W225" s="5" t="s">
        <v>2735</v>
      </c>
      <c r="X225" s="5" t="s">
        <v>2735</v>
      </c>
      <c r="Y225" s="4">
        <v>184</v>
      </c>
      <c r="Z225" s="4">
        <v>114</v>
      </c>
      <c r="AA225" s="4">
        <v>796</v>
      </c>
      <c r="AB225" s="4">
        <v>3</v>
      </c>
      <c r="AC225" s="4">
        <v>30</v>
      </c>
      <c r="AD225" s="4">
        <v>4</v>
      </c>
      <c r="AE225" s="4">
        <v>22</v>
      </c>
      <c r="AF225" s="4">
        <v>1</v>
      </c>
      <c r="AG225" s="4">
        <v>7</v>
      </c>
      <c r="AH225" s="4">
        <v>1</v>
      </c>
      <c r="AI225" s="4">
        <v>3</v>
      </c>
      <c r="AJ225" s="4">
        <v>2</v>
      </c>
      <c r="AK225" s="4">
        <v>6</v>
      </c>
      <c r="AL225" s="4">
        <v>2</v>
      </c>
      <c r="AM225" s="4">
        <v>11</v>
      </c>
      <c r="AN225" s="4">
        <v>0</v>
      </c>
      <c r="AO225" s="4">
        <v>0</v>
      </c>
      <c r="AP225" s="3" t="s">
        <v>58</v>
      </c>
      <c r="AQ225" s="3" t="s">
        <v>58</v>
      </c>
      <c r="AS225" s="6" t="str">
        <f>HYPERLINK("https://creighton-primo.hosted.exlibrisgroup.com/primo-explore/search?tab=default_tab&amp;search_scope=EVERYTHING&amp;vid=01CRU&amp;lang=en_US&amp;offset=0&amp;query=any,contains,991004361079702656","Catalog Record")</f>
        <v>Catalog Record</v>
      </c>
      <c r="AT225" s="6" t="str">
        <f>HYPERLINK("http://www.worldcat.org/oclc/55141653","WorldCat Record")</f>
        <v>WorldCat Record</v>
      </c>
      <c r="AU225" s="3" t="s">
        <v>2736</v>
      </c>
      <c r="AV225" s="3" t="s">
        <v>2737</v>
      </c>
      <c r="AW225" s="3" t="s">
        <v>2738</v>
      </c>
      <c r="AX225" s="3" t="s">
        <v>2738</v>
      </c>
      <c r="AY225" s="3" t="s">
        <v>2739</v>
      </c>
      <c r="AZ225" s="3" t="s">
        <v>73</v>
      </c>
      <c r="BB225" s="3" t="s">
        <v>2740</v>
      </c>
      <c r="BC225" s="3" t="s">
        <v>2741</v>
      </c>
      <c r="BD225" s="3" t="s">
        <v>2742</v>
      </c>
    </row>
    <row r="226" spans="1:56" ht="31.5" customHeight="1" x14ac:dyDescent="0.25">
      <c r="A226" s="7" t="s">
        <v>58</v>
      </c>
      <c r="B226" s="2" t="s">
        <v>2743</v>
      </c>
      <c r="C226" s="2" t="s">
        <v>2744</v>
      </c>
      <c r="D226" s="2" t="s">
        <v>2745</v>
      </c>
      <c r="F226" s="3" t="s">
        <v>58</v>
      </c>
      <c r="G226" s="3" t="s">
        <v>59</v>
      </c>
      <c r="H226" s="3" t="s">
        <v>58</v>
      </c>
      <c r="I226" s="3" t="s">
        <v>58</v>
      </c>
      <c r="J226" s="3" t="s">
        <v>60</v>
      </c>
      <c r="K226" s="2" t="s">
        <v>2746</v>
      </c>
      <c r="L226" s="2" t="s">
        <v>2747</v>
      </c>
      <c r="M226" s="3" t="s">
        <v>863</v>
      </c>
      <c r="N226" s="2" t="s">
        <v>2748</v>
      </c>
      <c r="O226" s="3" t="s">
        <v>63</v>
      </c>
      <c r="P226" s="3" t="s">
        <v>64</v>
      </c>
      <c r="R226" s="3" t="s">
        <v>65</v>
      </c>
      <c r="S226" s="4">
        <v>2</v>
      </c>
      <c r="T226" s="4">
        <v>2</v>
      </c>
      <c r="U226" s="5" t="s">
        <v>2749</v>
      </c>
      <c r="V226" s="5" t="s">
        <v>2749</v>
      </c>
      <c r="W226" s="5" t="s">
        <v>1658</v>
      </c>
      <c r="X226" s="5" t="s">
        <v>1658</v>
      </c>
      <c r="Y226" s="4">
        <v>322</v>
      </c>
      <c r="Z226" s="4">
        <v>270</v>
      </c>
      <c r="AA226" s="4">
        <v>390</v>
      </c>
      <c r="AB226" s="4">
        <v>3</v>
      </c>
      <c r="AC226" s="4">
        <v>3</v>
      </c>
      <c r="AD226" s="4">
        <v>16</v>
      </c>
      <c r="AE226" s="4">
        <v>16</v>
      </c>
      <c r="AF226" s="4">
        <v>4</v>
      </c>
      <c r="AG226" s="4">
        <v>4</v>
      </c>
      <c r="AH226" s="4">
        <v>5</v>
      </c>
      <c r="AI226" s="4">
        <v>5</v>
      </c>
      <c r="AJ226" s="4">
        <v>11</v>
      </c>
      <c r="AK226" s="4">
        <v>11</v>
      </c>
      <c r="AL226" s="4">
        <v>2</v>
      </c>
      <c r="AM226" s="4">
        <v>2</v>
      </c>
      <c r="AN226" s="4">
        <v>0</v>
      </c>
      <c r="AO226" s="4">
        <v>0</v>
      </c>
      <c r="AP226" s="3" t="s">
        <v>58</v>
      </c>
      <c r="AQ226" s="3" t="s">
        <v>68</v>
      </c>
      <c r="AR226" s="6" t="str">
        <f>HYPERLINK("http://catalog.hathitrust.org/Record/001476716","HathiTrust Record")</f>
        <v>HathiTrust Record</v>
      </c>
      <c r="AS226" s="6" t="str">
        <f>HYPERLINK("https://creighton-primo.hosted.exlibrisgroup.com/primo-explore/search?tab=default_tab&amp;search_scope=EVERYTHING&amp;vid=01CRU&amp;lang=en_US&amp;offset=0&amp;query=any,contains,991002790149702656","Catalog Record")</f>
        <v>Catalog Record</v>
      </c>
      <c r="AT226" s="6" t="str">
        <f>HYPERLINK("http://www.worldcat.org/oclc/442967","WorldCat Record")</f>
        <v>WorldCat Record</v>
      </c>
      <c r="AU226" s="3" t="s">
        <v>2750</v>
      </c>
      <c r="AV226" s="3" t="s">
        <v>2751</v>
      </c>
      <c r="AW226" s="3" t="s">
        <v>2752</v>
      </c>
      <c r="AX226" s="3" t="s">
        <v>2752</v>
      </c>
      <c r="AY226" s="3" t="s">
        <v>2753</v>
      </c>
      <c r="AZ226" s="3" t="s">
        <v>73</v>
      </c>
      <c r="BC226" s="3" t="s">
        <v>2754</v>
      </c>
      <c r="BD226" s="3" t="s">
        <v>2755</v>
      </c>
    </row>
    <row r="227" spans="1:56" ht="31.5" customHeight="1" x14ac:dyDescent="0.25">
      <c r="A227" s="7" t="s">
        <v>58</v>
      </c>
      <c r="B227" s="2" t="s">
        <v>2756</v>
      </c>
      <c r="C227" s="2" t="s">
        <v>2757</v>
      </c>
      <c r="D227" s="2" t="s">
        <v>2758</v>
      </c>
      <c r="F227" s="3" t="s">
        <v>58</v>
      </c>
      <c r="G227" s="3" t="s">
        <v>59</v>
      </c>
      <c r="H227" s="3" t="s">
        <v>58</v>
      </c>
      <c r="I227" s="3" t="s">
        <v>58</v>
      </c>
      <c r="J227" s="3" t="s">
        <v>60</v>
      </c>
      <c r="K227" s="2" t="s">
        <v>2759</v>
      </c>
      <c r="L227" s="2" t="s">
        <v>2760</v>
      </c>
      <c r="M227" s="3" t="s">
        <v>835</v>
      </c>
      <c r="O227" s="3" t="s">
        <v>63</v>
      </c>
      <c r="P227" s="3" t="s">
        <v>580</v>
      </c>
      <c r="Q227" s="2" t="s">
        <v>2761</v>
      </c>
      <c r="R227" s="3" t="s">
        <v>65</v>
      </c>
      <c r="S227" s="4">
        <v>4</v>
      </c>
      <c r="T227" s="4">
        <v>4</v>
      </c>
      <c r="U227" s="5" t="s">
        <v>2762</v>
      </c>
      <c r="V227" s="5" t="s">
        <v>2762</v>
      </c>
      <c r="W227" s="5" t="s">
        <v>2763</v>
      </c>
      <c r="X227" s="5" t="s">
        <v>2763</v>
      </c>
      <c r="Y227" s="4">
        <v>757</v>
      </c>
      <c r="Z227" s="4">
        <v>723</v>
      </c>
      <c r="AA227" s="4">
        <v>1219</v>
      </c>
      <c r="AB227" s="4">
        <v>6</v>
      </c>
      <c r="AC227" s="4">
        <v>31</v>
      </c>
      <c r="AD227" s="4">
        <v>17</v>
      </c>
      <c r="AE227" s="4">
        <v>33</v>
      </c>
      <c r="AF227" s="4">
        <v>8</v>
      </c>
      <c r="AG227" s="4">
        <v>12</v>
      </c>
      <c r="AH227" s="4">
        <v>4</v>
      </c>
      <c r="AI227" s="4">
        <v>4</v>
      </c>
      <c r="AJ227" s="4">
        <v>6</v>
      </c>
      <c r="AK227" s="4">
        <v>9</v>
      </c>
      <c r="AL227" s="4">
        <v>3</v>
      </c>
      <c r="AM227" s="4">
        <v>14</v>
      </c>
      <c r="AN227" s="4">
        <v>0</v>
      </c>
      <c r="AO227" s="4">
        <v>0</v>
      </c>
      <c r="AP227" s="3" t="s">
        <v>58</v>
      </c>
      <c r="AQ227" s="3" t="s">
        <v>68</v>
      </c>
      <c r="AR227" s="6" t="str">
        <f>HYPERLINK("http://catalog.hathitrust.org/Record/003980446","HathiTrust Record")</f>
        <v>HathiTrust Record</v>
      </c>
      <c r="AS227" s="6" t="str">
        <f>HYPERLINK("https://creighton-primo.hosted.exlibrisgroup.com/primo-explore/search?tab=default_tab&amp;search_scope=EVERYTHING&amp;vid=01CRU&amp;lang=en_US&amp;offset=0&amp;query=any,contains,991002850969702656","Catalog Record")</f>
        <v>Catalog Record</v>
      </c>
      <c r="AT227" s="6" t="str">
        <f>HYPERLINK("http://www.worldcat.org/oclc/37567235","WorldCat Record")</f>
        <v>WorldCat Record</v>
      </c>
      <c r="AU227" s="3" t="s">
        <v>2764</v>
      </c>
      <c r="AV227" s="3" t="s">
        <v>2765</v>
      </c>
      <c r="AW227" s="3" t="s">
        <v>2766</v>
      </c>
      <c r="AX227" s="3" t="s">
        <v>2766</v>
      </c>
      <c r="AY227" s="3" t="s">
        <v>2767</v>
      </c>
      <c r="AZ227" s="3" t="s">
        <v>73</v>
      </c>
      <c r="BB227" s="3" t="s">
        <v>2768</v>
      </c>
      <c r="BC227" s="3" t="s">
        <v>2769</v>
      </c>
      <c r="BD227" s="3" t="s">
        <v>2770</v>
      </c>
    </row>
    <row r="228" spans="1:56" ht="31.5" customHeight="1" x14ac:dyDescent="0.25">
      <c r="A228" s="7" t="s">
        <v>58</v>
      </c>
      <c r="B228" s="2" t="s">
        <v>2771</v>
      </c>
      <c r="C228" s="2" t="s">
        <v>2772</v>
      </c>
      <c r="D228" s="2" t="s">
        <v>2773</v>
      </c>
      <c r="F228" s="3" t="s">
        <v>58</v>
      </c>
      <c r="G228" s="3" t="s">
        <v>59</v>
      </c>
      <c r="H228" s="3" t="s">
        <v>58</v>
      </c>
      <c r="I228" s="3" t="s">
        <v>58</v>
      </c>
      <c r="J228" s="3" t="s">
        <v>60</v>
      </c>
      <c r="K228" s="2" t="s">
        <v>2774</v>
      </c>
      <c r="L228" s="2" t="s">
        <v>2775</v>
      </c>
      <c r="M228" s="3" t="s">
        <v>97</v>
      </c>
      <c r="O228" s="3" t="s">
        <v>63</v>
      </c>
      <c r="P228" s="3" t="s">
        <v>186</v>
      </c>
      <c r="R228" s="3" t="s">
        <v>65</v>
      </c>
      <c r="S228" s="4">
        <v>4</v>
      </c>
      <c r="T228" s="4">
        <v>4</v>
      </c>
      <c r="U228" s="5" t="s">
        <v>2776</v>
      </c>
      <c r="V228" s="5" t="s">
        <v>2776</v>
      </c>
      <c r="W228" s="5" t="s">
        <v>2777</v>
      </c>
      <c r="X228" s="5" t="s">
        <v>2777</v>
      </c>
      <c r="Y228" s="4">
        <v>831</v>
      </c>
      <c r="Z228" s="4">
        <v>696</v>
      </c>
      <c r="AA228" s="4">
        <v>736</v>
      </c>
      <c r="AB228" s="4">
        <v>4</v>
      </c>
      <c r="AC228" s="4">
        <v>4</v>
      </c>
      <c r="AD228" s="4">
        <v>23</v>
      </c>
      <c r="AE228" s="4">
        <v>23</v>
      </c>
      <c r="AF228" s="4">
        <v>9</v>
      </c>
      <c r="AG228" s="4">
        <v>9</v>
      </c>
      <c r="AH228" s="4">
        <v>6</v>
      </c>
      <c r="AI228" s="4">
        <v>6</v>
      </c>
      <c r="AJ228" s="4">
        <v>10</v>
      </c>
      <c r="AK228" s="4">
        <v>10</v>
      </c>
      <c r="AL228" s="4">
        <v>3</v>
      </c>
      <c r="AM228" s="4">
        <v>3</v>
      </c>
      <c r="AN228" s="4">
        <v>0</v>
      </c>
      <c r="AO228" s="4">
        <v>0</v>
      </c>
      <c r="AP228" s="3" t="s">
        <v>58</v>
      </c>
      <c r="AQ228" s="3" t="s">
        <v>58</v>
      </c>
      <c r="AS228" s="6" t="str">
        <f>HYPERLINK("https://creighton-primo.hosted.exlibrisgroup.com/primo-explore/search?tab=default_tab&amp;search_scope=EVERYTHING&amp;vid=01CRU&amp;lang=en_US&amp;offset=0&amp;query=any,contains,991001441779702656","Catalog Record")</f>
        <v>Catalog Record</v>
      </c>
      <c r="AT228" s="6" t="str">
        <f>HYPERLINK("http://www.worldcat.org/oclc/19263128","WorldCat Record")</f>
        <v>WorldCat Record</v>
      </c>
      <c r="AU228" s="3" t="s">
        <v>2778</v>
      </c>
      <c r="AV228" s="3" t="s">
        <v>2779</v>
      </c>
      <c r="AW228" s="3" t="s">
        <v>2780</v>
      </c>
      <c r="AX228" s="3" t="s">
        <v>2780</v>
      </c>
      <c r="AY228" s="3" t="s">
        <v>2781</v>
      </c>
      <c r="AZ228" s="3" t="s">
        <v>73</v>
      </c>
      <c r="BB228" s="3" t="s">
        <v>2782</v>
      </c>
      <c r="BC228" s="3" t="s">
        <v>2783</v>
      </c>
      <c r="BD228" s="3" t="s">
        <v>2784</v>
      </c>
    </row>
    <row r="229" spans="1:56" ht="31.5" customHeight="1" x14ac:dyDescent="0.25">
      <c r="A229" s="7" t="s">
        <v>58</v>
      </c>
      <c r="B229" s="2" t="s">
        <v>2785</v>
      </c>
      <c r="C229" s="2" t="s">
        <v>2786</v>
      </c>
      <c r="D229" s="2" t="s">
        <v>2787</v>
      </c>
      <c r="F229" s="3" t="s">
        <v>58</v>
      </c>
      <c r="G229" s="3" t="s">
        <v>59</v>
      </c>
      <c r="H229" s="3" t="s">
        <v>58</v>
      </c>
      <c r="I229" s="3" t="s">
        <v>58</v>
      </c>
      <c r="J229" s="3" t="s">
        <v>60</v>
      </c>
      <c r="K229" s="2" t="s">
        <v>2788</v>
      </c>
      <c r="L229" s="2" t="s">
        <v>2789</v>
      </c>
      <c r="M229" s="3" t="s">
        <v>113</v>
      </c>
      <c r="O229" s="3" t="s">
        <v>63</v>
      </c>
      <c r="P229" s="3" t="s">
        <v>114</v>
      </c>
      <c r="R229" s="3" t="s">
        <v>65</v>
      </c>
      <c r="S229" s="4">
        <v>3</v>
      </c>
      <c r="T229" s="4">
        <v>3</v>
      </c>
      <c r="U229" s="5" t="s">
        <v>2790</v>
      </c>
      <c r="V229" s="5" t="s">
        <v>2790</v>
      </c>
      <c r="W229" s="5" t="s">
        <v>2791</v>
      </c>
      <c r="X229" s="5" t="s">
        <v>2791</v>
      </c>
      <c r="Y229" s="4">
        <v>631</v>
      </c>
      <c r="Z229" s="4">
        <v>569</v>
      </c>
      <c r="AA229" s="4">
        <v>1447</v>
      </c>
      <c r="AB229" s="4">
        <v>6</v>
      </c>
      <c r="AC229" s="4">
        <v>17</v>
      </c>
      <c r="AD229" s="4">
        <v>8</v>
      </c>
      <c r="AE229" s="4">
        <v>23</v>
      </c>
      <c r="AF229" s="4">
        <v>6</v>
      </c>
      <c r="AG229" s="4">
        <v>12</v>
      </c>
      <c r="AH229" s="4">
        <v>0</v>
      </c>
      <c r="AI229" s="4">
        <v>3</v>
      </c>
      <c r="AJ229" s="4">
        <v>2</v>
      </c>
      <c r="AK229" s="4">
        <v>11</v>
      </c>
      <c r="AL229" s="4">
        <v>1</v>
      </c>
      <c r="AM229" s="4">
        <v>4</v>
      </c>
      <c r="AN229" s="4">
        <v>0</v>
      </c>
      <c r="AO229" s="4">
        <v>0</v>
      </c>
      <c r="AP229" s="3" t="s">
        <v>58</v>
      </c>
      <c r="AQ229" s="3" t="s">
        <v>68</v>
      </c>
      <c r="AR229" s="6" t="str">
        <f>HYPERLINK("http://catalog.hathitrust.org/Record/004720397","HathiTrust Record")</f>
        <v>HathiTrust Record</v>
      </c>
      <c r="AS229" s="6" t="str">
        <f>HYPERLINK("https://creighton-primo.hosted.exlibrisgroup.com/primo-explore/search?tab=default_tab&amp;search_scope=EVERYTHING&amp;vid=01CRU&amp;lang=en_US&amp;offset=0&amp;query=any,contains,991004185029702656","Catalog Record")</f>
        <v>Catalog Record</v>
      </c>
      <c r="AT229" s="6" t="str">
        <f>HYPERLINK("http://www.worldcat.org/oclc/51800766","WorldCat Record")</f>
        <v>WorldCat Record</v>
      </c>
      <c r="AU229" s="3" t="s">
        <v>2792</v>
      </c>
      <c r="AV229" s="3" t="s">
        <v>2793</v>
      </c>
      <c r="AW229" s="3" t="s">
        <v>2794</v>
      </c>
      <c r="AX229" s="3" t="s">
        <v>2794</v>
      </c>
      <c r="AY229" s="3" t="s">
        <v>2795</v>
      </c>
      <c r="AZ229" s="3" t="s">
        <v>73</v>
      </c>
      <c r="BB229" s="3" t="s">
        <v>2796</v>
      </c>
      <c r="BC229" s="3" t="s">
        <v>2797</v>
      </c>
      <c r="BD229" s="3" t="s">
        <v>2798</v>
      </c>
    </row>
    <row r="230" spans="1:56" ht="31.5" customHeight="1" x14ac:dyDescent="0.25">
      <c r="A230" s="7" t="s">
        <v>58</v>
      </c>
      <c r="B230" s="2" t="s">
        <v>2799</v>
      </c>
      <c r="C230" s="2" t="s">
        <v>2800</v>
      </c>
      <c r="D230" s="2" t="s">
        <v>2801</v>
      </c>
      <c r="F230" s="3" t="s">
        <v>58</v>
      </c>
      <c r="G230" s="3" t="s">
        <v>59</v>
      </c>
      <c r="H230" s="3" t="s">
        <v>58</v>
      </c>
      <c r="I230" s="3" t="s">
        <v>58</v>
      </c>
      <c r="J230" s="3" t="s">
        <v>60</v>
      </c>
      <c r="K230" s="2" t="s">
        <v>2802</v>
      </c>
      <c r="L230" s="2" t="s">
        <v>2803</v>
      </c>
      <c r="M230" s="3" t="s">
        <v>633</v>
      </c>
      <c r="O230" s="3" t="s">
        <v>63</v>
      </c>
      <c r="P230" s="3" t="s">
        <v>186</v>
      </c>
      <c r="R230" s="3" t="s">
        <v>65</v>
      </c>
      <c r="S230" s="4">
        <v>6</v>
      </c>
      <c r="T230" s="4">
        <v>6</v>
      </c>
      <c r="U230" s="5" t="s">
        <v>2804</v>
      </c>
      <c r="V230" s="5" t="s">
        <v>2804</v>
      </c>
      <c r="W230" s="5" t="s">
        <v>2805</v>
      </c>
      <c r="X230" s="5" t="s">
        <v>2805</v>
      </c>
      <c r="Y230" s="4">
        <v>1095</v>
      </c>
      <c r="Z230" s="4">
        <v>953</v>
      </c>
      <c r="AA230" s="4">
        <v>962</v>
      </c>
      <c r="AB230" s="4">
        <v>4</v>
      </c>
      <c r="AC230" s="4">
        <v>4</v>
      </c>
      <c r="AD230" s="4">
        <v>22</v>
      </c>
      <c r="AE230" s="4">
        <v>22</v>
      </c>
      <c r="AF230" s="4">
        <v>8</v>
      </c>
      <c r="AG230" s="4">
        <v>8</v>
      </c>
      <c r="AH230" s="4">
        <v>6</v>
      </c>
      <c r="AI230" s="4">
        <v>6</v>
      </c>
      <c r="AJ230" s="4">
        <v>11</v>
      </c>
      <c r="AK230" s="4">
        <v>11</v>
      </c>
      <c r="AL230" s="4">
        <v>2</v>
      </c>
      <c r="AM230" s="4">
        <v>2</v>
      </c>
      <c r="AN230" s="4">
        <v>0</v>
      </c>
      <c r="AO230" s="4">
        <v>0</v>
      </c>
      <c r="AP230" s="3" t="s">
        <v>58</v>
      </c>
      <c r="AQ230" s="3" t="s">
        <v>58</v>
      </c>
      <c r="AS230" s="6" t="str">
        <f>HYPERLINK("https://creighton-primo.hosted.exlibrisgroup.com/primo-explore/search?tab=default_tab&amp;search_scope=EVERYTHING&amp;vid=01CRU&amp;lang=en_US&amp;offset=0&amp;query=any,contains,991002520119702656","Catalog Record")</f>
        <v>Catalog Record</v>
      </c>
      <c r="AT230" s="6" t="str">
        <f>HYPERLINK("http://www.worldcat.org/oclc/32778994","WorldCat Record")</f>
        <v>WorldCat Record</v>
      </c>
      <c r="AU230" s="3" t="s">
        <v>2806</v>
      </c>
      <c r="AV230" s="3" t="s">
        <v>2807</v>
      </c>
      <c r="AW230" s="3" t="s">
        <v>2808</v>
      </c>
      <c r="AX230" s="3" t="s">
        <v>2808</v>
      </c>
      <c r="AY230" s="3" t="s">
        <v>2809</v>
      </c>
      <c r="AZ230" s="3" t="s">
        <v>73</v>
      </c>
      <c r="BB230" s="3" t="s">
        <v>2810</v>
      </c>
      <c r="BC230" s="3" t="s">
        <v>2811</v>
      </c>
      <c r="BD230" s="3" t="s">
        <v>2812</v>
      </c>
    </row>
    <row r="231" spans="1:56" ht="31.5" customHeight="1" x14ac:dyDescent="0.25">
      <c r="A231" s="7" t="s">
        <v>58</v>
      </c>
      <c r="B231" s="2" t="s">
        <v>2813</v>
      </c>
      <c r="C231" s="2" t="s">
        <v>2814</v>
      </c>
      <c r="D231" s="2" t="s">
        <v>2815</v>
      </c>
      <c r="F231" s="3" t="s">
        <v>58</v>
      </c>
      <c r="G231" s="3" t="s">
        <v>59</v>
      </c>
      <c r="H231" s="3" t="s">
        <v>58</v>
      </c>
      <c r="I231" s="3" t="s">
        <v>58</v>
      </c>
      <c r="J231" s="3" t="s">
        <v>60</v>
      </c>
      <c r="L231" s="2" t="s">
        <v>2816</v>
      </c>
      <c r="M231" s="3" t="s">
        <v>1912</v>
      </c>
      <c r="O231" s="3" t="s">
        <v>63</v>
      </c>
      <c r="P231" s="3" t="s">
        <v>360</v>
      </c>
      <c r="Q231" s="2" t="s">
        <v>2817</v>
      </c>
      <c r="R231" s="3" t="s">
        <v>65</v>
      </c>
      <c r="S231" s="4">
        <v>2</v>
      </c>
      <c r="T231" s="4">
        <v>2</v>
      </c>
      <c r="U231" s="5" t="s">
        <v>2818</v>
      </c>
      <c r="V231" s="5" t="s">
        <v>2818</v>
      </c>
      <c r="W231" s="5" t="s">
        <v>1658</v>
      </c>
      <c r="X231" s="5" t="s">
        <v>1658</v>
      </c>
      <c r="Y231" s="4">
        <v>320</v>
      </c>
      <c r="Z231" s="4">
        <v>272</v>
      </c>
      <c r="AA231" s="4">
        <v>273</v>
      </c>
      <c r="AB231" s="4">
        <v>2</v>
      </c>
      <c r="AC231" s="4">
        <v>2</v>
      </c>
      <c r="AD231" s="4">
        <v>14</v>
      </c>
      <c r="AE231" s="4">
        <v>14</v>
      </c>
      <c r="AF231" s="4">
        <v>6</v>
      </c>
      <c r="AG231" s="4">
        <v>6</v>
      </c>
      <c r="AH231" s="4">
        <v>4</v>
      </c>
      <c r="AI231" s="4">
        <v>4</v>
      </c>
      <c r="AJ231" s="4">
        <v>7</v>
      </c>
      <c r="AK231" s="4">
        <v>7</v>
      </c>
      <c r="AL231" s="4">
        <v>1</v>
      </c>
      <c r="AM231" s="4">
        <v>1</v>
      </c>
      <c r="AN231" s="4">
        <v>0</v>
      </c>
      <c r="AO231" s="4">
        <v>0</v>
      </c>
      <c r="AP231" s="3" t="s">
        <v>58</v>
      </c>
      <c r="AQ231" s="3" t="s">
        <v>68</v>
      </c>
      <c r="AR231" s="6" t="str">
        <f>HYPERLINK("http://catalog.hathitrust.org/Record/000583508","HathiTrust Record")</f>
        <v>HathiTrust Record</v>
      </c>
      <c r="AS231" s="6" t="str">
        <f>HYPERLINK("https://creighton-primo.hosted.exlibrisgroup.com/primo-explore/search?tab=default_tab&amp;search_scope=EVERYTHING&amp;vid=01CRU&amp;lang=en_US&amp;offset=0&amp;query=any,contains,991000664299702656","Catalog Record")</f>
        <v>Catalog Record</v>
      </c>
      <c r="AT231" s="6" t="str">
        <f>HYPERLINK("http://www.worldcat.org/oclc/12262834","WorldCat Record")</f>
        <v>WorldCat Record</v>
      </c>
      <c r="AU231" s="3" t="s">
        <v>2819</v>
      </c>
      <c r="AV231" s="3" t="s">
        <v>2820</v>
      </c>
      <c r="AW231" s="3" t="s">
        <v>2821</v>
      </c>
      <c r="AX231" s="3" t="s">
        <v>2821</v>
      </c>
      <c r="AY231" s="3" t="s">
        <v>2822</v>
      </c>
      <c r="AZ231" s="3" t="s">
        <v>73</v>
      </c>
      <c r="BB231" s="3" t="s">
        <v>2823</v>
      </c>
      <c r="BC231" s="3" t="s">
        <v>2824</v>
      </c>
      <c r="BD231" s="3" t="s">
        <v>2825</v>
      </c>
    </row>
    <row r="232" spans="1:56" ht="31.5" customHeight="1" x14ac:dyDescent="0.25">
      <c r="A232" s="7" t="s">
        <v>58</v>
      </c>
      <c r="B232" s="2" t="s">
        <v>2826</v>
      </c>
      <c r="C232" s="2" t="s">
        <v>2827</v>
      </c>
      <c r="D232" s="2" t="s">
        <v>2828</v>
      </c>
      <c r="F232" s="3" t="s">
        <v>58</v>
      </c>
      <c r="G232" s="3" t="s">
        <v>59</v>
      </c>
      <c r="H232" s="3" t="s">
        <v>58</v>
      </c>
      <c r="I232" s="3" t="s">
        <v>58</v>
      </c>
      <c r="J232" s="3" t="s">
        <v>60</v>
      </c>
      <c r="K232" s="2" t="s">
        <v>2829</v>
      </c>
      <c r="L232" s="2" t="s">
        <v>2830</v>
      </c>
      <c r="M232" s="3" t="s">
        <v>944</v>
      </c>
      <c r="O232" s="3" t="s">
        <v>63</v>
      </c>
      <c r="P232" s="3" t="s">
        <v>459</v>
      </c>
      <c r="Q232" s="2" t="s">
        <v>2831</v>
      </c>
      <c r="R232" s="3" t="s">
        <v>65</v>
      </c>
      <c r="S232" s="4">
        <v>7</v>
      </c>
      <c r="T232" s="4">
        <v>7</v>
      </c>
      <c r="U232" s="5" t="s">
        <v>1044</v>
      </c>
      <c r="V232" s="5" t="s">
        <v>1044</v>
      </c>
      <c r="W232" s="5" t="s">
        <v>2832</v>
      </c>
      <c r="X232" s="5" t="s">
        <v>2832</v>
      </c>
      <c r="Y232" s="4">
        <v>261</v>
      </c>
      <c r="Z232" s="4">
        <v>182</v>
      </c>
      <c r="AA232" s="4">
        <v>244</v>
      </c>
      <c r="AB232" s="4">
        <v>2</v>
      </c>
      <c r="AC232" s="4">
        <v>2</v>
      </c>
      <c r="AD232" s="4">
        <v>6</v>
      </c>
      <c r="AE232" s="4">
        <v>8</v>
      </c>
      <c r="AF232" s="4">
        <v>1</v>
      </c>
      <c r="AG232" s="4">
        <v>2</v>
      </c>
      <c r="AH232" s="4">
        <v>2</v>
      </c>
      <c r="AI232" s="4">
        <v>3</v>
      </c>
      <c r="AJ232" s="4">
        <v>4</v>
      </c>
      <c r="AK232" s="4">
        <v>5</v>
      </c>
      <c r="AL232" s="4">
        <v>1</v>
      </c>
      <c r="AM232" s="4">
        <v>1</v>
      </c>
      <c r="AN232" s="4">
        <v>0</v>
      </c>
      <c r="AO232" s="4">
        <v>0</v>
      </c>
      <c r="AP232" s="3" t="s">
        <v>58</v>
      </c>
      <c r="AQ232" s="3" t="s">
        <v>58</v>
      </c>
      <c r="AS232" s="6" t="str">
        <f>HYPERLINK("https://creighton-primo.hosted.exlibrisgroup.com/primo-explore/search?tab=default_tab&amp;search_scope=EVERYTHING&amp;vid=01CRU&amp;lang=en_US&amp;offset=0&amp;query=any,contains,991001581229702656","Catalog Record")</f>
        <v>Catalog Record</v>
      </c>
      <c r="AT232" s="6" t="str">
        <f>HYPERLINK("http://www.worldcat.org/oclc/20490513","WorldCat Record")</f>
        <v>WorldCat Record</v>
      </c>
      <c r="AU232" s="3" t="s">
        <v>2833</v>
      </c>
      <c r="AV232" s="3" t="s">
        <v>2834</v>
      </c>
      <c r="AW232" s="3" t="s">
        <v>2835</v>
      </c>
      <c r="AX232" s="3" t="s">
        <v>2835</v>
      </c>
      <c r="AY232" s="3" t="s">
        <v>2836</v>
      </c>
      <c r="AZ232" s="3" t="s">
        <v>73</v>
      </c>
      <c r="BB232" s="3" t="s">
        <v>2837</v>
      </c>
      <c r="BC232" s="3" t="s">
        <v>2838</v>
      </c>
      <c r="BD232" s="3" t="s">
        <v>2839</v>
      </c>
    </row>
    <row r="233" spans="1:56" ht="31.5" customHeight="1" x14ac:dyDescent="0.25">
      <c r="A233" s="7" t="s">
        <v>58</v>
      </c>
      <c r="B233" s="2" t="s">
        <v>2840</v>
      </c>
      <c r="C233" s="2" t="s">
        <v>2841</v>
      </c>
      <c r="D233" s="2" t="s">
        <v>2842</v>
      </c>
      <c r="F233" s="3" t="s">
        <v>58</v>
      </c>
      <c r="G233" s="3" t="s">
        <v>59</v>
      </c>
      <c r="H233" s="3" t="s">
        <v>58</v>
      </c>
      <c r="I233" s="3" t="s">
        <v>58</v>
      </c>
      <c r="J233" s="3" t="s">
        <v>60</v>
      </c>
      <c r="K233" s="2" t="s">
        <v>2843</v>
      </c>
      <c r="L233" s="2" t="s">
        <v>2844</v>
      </c>
      <c r="M233" s="3" t="s">
        <v>2353</v>
      </c>
      <c r="O233" s="3" t="s">
        <v>63</v>
      </c>
      <c r="P233" s="3" t="s">
        <v>796</v>
      </c>
      <c r="Q233" s="2" t="s">
        <v>2845</v>
      </c>
      <c r="R233" s="3" t="s">
        <v>65</v>
      </c>
      <c r="S233" s="4">
        <v>3</v>
      </c>
      <c r="T233" s="4">
        <v>3</v>
      </c>
      <c r="U233" s="5" t="s">
        <v>402</v>
      </c>
      <c r="V233" s="5" t="s">
        <v>402</v>
      </c>
      <c r="W233" s="5" t="s">
        <v>1031</v>
      </c>
      <c r="X233" s="5" t="s">
        <v>1031</v>
      </c>
      <c r="Y233" s="4">
        <v>521</v>
      </c>
      <c r="Z233" s="4">
        <v>420</v>
      </c>
      <c r="AA233" s="4">
        <v>426</v>
      </c>
      <c r="AB233" s="4">
        <v>5</v>
      </c>
      <c r="AC233" s="4">
        <v>5</v>
      </c>
      <c r="AD233" s="4">
        <v>16</v>
      </c>
      <c r="AE233" s="4">
        <v>16</v>
      </c>
      <c r="AF233" s="4">
        <v>9</v>
      </c>
      <c r="AG233" s="4">
        <v>9</v>
      </c>
      <c r="AH233" s="4">
        <v>2</v>
      </c>
      <c r="AI233" s="4">
        <v>2</v>
      </c>
      <c r="AJ233" s="4">
        <v>7</v>
      </c>
      <c r="AK233" s="4">
        <v>7</v>
      </c>
      <c r="AL233" s="4">
        <v>4</v>
      </c>
      <c r="AM233" s="4">
        <v>4</v>
      </c>
      <c r="AN233" s="4">
        <v>0</v>
      </c>
      <c r="AO233" s="4">
        <v>0</v>
      </c>
      <c r="AP233" s="3" t="s">
        <v>58</v>
      </c>
      <c r="AQ233" s="3" t="s">
        <v>68</v>
      </c>
      <c r="AR233" s="6" t="str">
        <f>HYPERLINK("http://catalog.hathitrust.org/Record/001476724","HathiTrust Record")</f>
        <v>HathiTrust Record</v>
      </c>
      <c r="AS233" s="6" t="str">
        <f>HYPERLINK("https://creighton-primo.hosted.exlibrisgroup.com/primo-explore/search?tab=default_tab&amp;search_scope=EVERYTHING&amp;vid=01CRU&amp;lang=en_US&amp;offset=0&amp;query=any,contains,991002912719702656","Catalog Record")</f>
        <v>Catalog Record</v>
      </c>
      <c r="AT233" s="6" t="str">
        <f>HYPERLINK("http://www.worldcat.org/oclc/522737","WorldCat Record")</f>
        <v>WorldCat Record</v>
      </c>
      <c r="AU233" s="3" t="s">
        <v>2846</v>
      </c>
      <c r="AV233" s="3" t="s">
        <v>2847</v>
      </c>
      <c r="AW233" s="3" t="s">
        <v>2848</v>
      </c>
      <c r="AX233" s="3" t="s">
        <v>2848</v>
      </c>
      <c r="AY233" s="3" t="s">
        <v>2849</v>
      </c>
      <c r="AZ233" s="3" t="s">
        <v>73</v>
      </c>
      <c r="BC233" s="3" t="s">
        <v>2850</v>
      </c>
      <c r="BD233" s="3" t="s">
        <v>2851</v>
      </c>
    </row>
    <row r="234" spans="1:56" ht="31.5" customHeight="1" x14ac:dyDescent="0.25">
      <c r="A234" s="7" t="s">
        <v>58</v>
      </c>
      <c r="B234" s="2" t="s">
        <v>2852</v>
      </c>
      <c r="C234" s="2" t="s">
        <v>2853</v>
      </c>
      <c r="D234" s="2" t="s">
        <v>2854</v>
      </c>
      <c r="F234" s="3" t="s">
        <v>58</v>
      </c>
      <c r="G234" s="3" t="s">
        <v>59</v>
      </c>
      <c r="H234" s="3" t="s">
        <v>58</v>
      </c>
      <c r="I234" s="3" t="s">
        <v>58</v>
      </c>
      <c r="J234" s="3" t="s">
        <v>60</v>
      </c>
      <c r="K234" s="2" t="s">
        <v>2855</v>
      </c>
      <c r="L234" s="2" t="s">
        <v>2856</v>
      </c>
      <c r="M234" s="3" t="s">
        <v>1939</v>
      </c>
      <c r="O234" s="3" t="s">
        <v>63</v>
      </c>
      <c r="P234" s="3" t="s">
        <v>186</v>
      </c>
      <c r="R234" s="3" t="s">
        <v>65</v>
      </c>
      <c r="S234" s="4">
        <v>4</v>
      </c>
      <c r="T234" s="4">
        <v>4</v>
      </c>
      <c r="U234" s="5" t="s">
        <v>2038</v>
      </c>
      <c r="V234" s="5" t="s">
        <v>2038</v>
      </c>
      <c r="W234" s="5" t="s">
        <v>2857</v>
      </c>
      <c r="X234" s="5" t="s">
        <v>2857</v>
      </c>
      <c r="Y234" s="4">
        <v>832</v>
      </c>
      <c r="Z234" s="4">
        <v>802</v>
      </c>
      <c r="AA234" s="4">
        <v>821</v>
      </c>
      <c r="AB234" s="4">
        <v>4</v>
      </c>
      <c r="AC234" s="4">
        <v>4</v>
      </c>
      <c r="AD234" s="4">
        <v>14</v>
      </c>
      <c r="AE234" s="4">
        <v>14</v>
      </c>
      <c r="AF234" s="4">
        <v>6</v>
      </c>
      <c r="AG234" s="4">
        <v>6</v>
      </c>
      <c r="AH234" s="4">
        <v>2</v>
      </c>
      <c r="AI234" s="4">
        <v>2</v>
      </c>
      <c r="AJ234" s="4">
        <v>7</v>
      </c>
      <c r="AK234" s="4">
        <v>7</v>
      </c>
      <c r="AL234" s="4">
        <v>2</v>
      </c>
      <c r="AM234" s="4">
        <v>2</v>
      </c>
      <c r="AN234" s="4">
        <v>0</v>
      </c>
      <c r="AO234" s="4">
        <v>0</v>
      </c>
      <c r="AP234" s="3" t="s">
        <v>58</v>
      </c>
      <c r="AQ234" s="3" t="s">
        <v>58</v>
      </c>
      <c r="AS234" s="6" t="str">
        <f>HYPERLINK("https://creighton-primo.hosted.exlibrisgroup.com/primo-explore/search?tab=default_tab&amp;search_scope=EVERYTHING&amp;vid=01CRU&amp;lang=en_US&amp;offset=0&amp;query=any,contains,991002633849702656","Catalog Record")</f>
        <v>Catalog Record</v>
      </c>
      <c r="AT234" s="6" t="str">
        <f>HYPERLINK("http://www.worldcat.org/oclc/34515346","WorldCat Record")</f>
        <v>WorldCat Record</v>
      </c>
      <c r="AU234" s="3" t="s">
        <v>2858</v>
      </c>
      <c r="AV234" s="3" t="s">
        <v>2859</v>
      </c>
      <c r="AW234" s="3" t="s">
        <v>2860</v>
      </c>
      <c r="AX234" s="3" t="s">
        <v>2860</v>
      </c>
      <c r="AY234" s="3" t="s">
        <v>2861</v>
      </c>
      <c r="AZ234" s="3" t="s">
        <v>73</v>
      </c>
      <c r="BB234" s="3" t="s">
        <v>2862</v>
      </c>
      <c r="BC234" s="3" t="s">
        <v>2863</v>
      </c>
      <c r="BD234" s="3" t="s">
        <v>2864</v>
      </c>
    </row>
    <row r="235" spans="1:56" ht="31.5" customHeight="1" x14ac:dyDescent="0.25">
      <c r="A235" s="7" t="s">
        <v>58</v>
      </c>
      <c r="B235" s="2" t="s">
        <v>2865</v>
      </c>
      <c r="C235" s="2" t="s">
        <v>2866</v>
      </c>
      <c r="D235" s="2" t="s">
        <v>2867</v>
      </c>
      <c r="F235" s="3" t="s">
        <v>58</v>
      </c>
      <c r="G235" s="3" t="s">
        <v>59</v>
      </c>
      <c r="H235" s="3" t="s">
        <v>58</v>
      </c>
      <c r="I235" s="3" t="s">
        <v>58</v>
      </c>
      <c r="J235" s="3" t="s">
        <v>60</v>
      </c>
      <c r="K235" s="2" t="s">
        <v>2868</v>
      </c>
      <c r="L235" s="2" t="s">
        <v>2869</v>
      </c>
      <c r="M235" s="3" t="s">
        <v>62</v>
      </c>
      <c r="O235" s="3" t="s">
        <v>63</v>
      </c>
      <c r="P235" s="3" t="s">
        <v>186</v>
      </c>
      <c r="R235" s="3" t="s">
        <v>65</v>
      </c>
      <c r="S235" s="4">
        <v>5</v>
      </c>
      <c r="T235" s="4">
        <v>5</v>
      </c>
      <c r="U235" s="5" t="s">
        <v>2328</v>
      </c>
      <c r="V235" s="5" t="s">
        <v>2328</v>
      </c>
      <c r="W235" s="5" t="s">
        <v>2870</v>
      </c>
      <c r="X235" s="5" t="s">
        <v>2870</v>
      </c>
      <c r="Y235" s="4">
        <v>437</v>
      </c>
      <c r="Z235" s="4">
        <v>357</v>
      </c>
      <c r="AA235" s="4">
        <v>497</v>
      </c>
      <c r="AB235" s="4">
        <v>4</v>
      </c>
      <c r="AC235" s="4">
        <v>4</v>
      </c>
      <c r="AD235" s="4">
        <v>16</v>
      </c>
      <c r="AE235" s="4">
        <v>20</v>
      </c>
      <c r="AF235" s="4">
        <v>7</v>
      </c>
      <c r="AG235" s="4">
        <v>10</v>
      </c>
      <c r="AH235" s="4">
        <v>1</v>
      </c>
      <c r="AI235" s="4">
        <v>2</v>
      </c>
      <c r="AJ235" s="4">
        <v>6</v>
      </c>
      <c r="AK235" s="4">
        <v>7</v>
      </c>
      <c r="AL235" s="4">
        <v>3</v>
      </c>
      <c r="AM235" s="4">
        <v>3</v>
      </c>
      <c r="AN235" s="4">
        <v>0</v>
      </c>
      <c r="AO235" s="4">
        <v>0</v>
      </c>
      <c r="AP235" s="3" t="s">
        <v>58</v>
      </c>
      <c r="AQ235" s="3" t="s">
        <v>68</v>
      </c>
      <c r="AR235" s="6" t="str">
        <f>HYPERLINK("http://catalog.hathitrust.org/Record/004580132","HathiTrust Record")</f>
        <v>HathiTrust Record</v>
      </c>
      <c r="AS235" s="6" t="str">
        <f>HYPERLINK("https://creighton-primo.hosted.exlibrisgroup.com/primo-explore/search?tab=default_tab&amp;search_scope=EVERYTHING&amp;vid=01CRU&amp;lang=en_US&amp;offset=0&amp;query=any,contains,991002966259702656","Catalog Record")</f>
        <v>Catalog Record</v>
      </c>
      <c r="AT235" s="6" t="str">
        <f>HYPERLINK("http://www.worldcat.org/oclc/39695667","WorldCat Record")</f>
        <v>WorldCat Record</v>
      </c>
      <c r="AU235" s="3" t="s">
        <v>2871</v>
      </c>
      <c r="AV235" s="3" t="s">
        <v>2872</v>
      </c>
      <c r="AW235" s="3" t="s">
        <v>2873</v>
      </c>
      <c r="AX235" s="3" t="s">
        <v>2873</v>
      </c>
      <c r="AY235" s="3" t="s">
        <v>2874</v>
      </c>
      <c r="AZ235" s="3" t="s">
        <v>73</v>
      </c>
      <c r="BB235" s="3" t="s">
        <v>2875</v>
      </c>
      <c r="BC235" s="3" t="s">
        <v>2876</v>
      </c>
      <c r="BD235" s="3" t="s">
        <v>2877</v>
      </c>
    </row>
    <row r="236" spans="1:56" ht="31.5" customHeight="1" x14ac:dyDescent="0.25">
      <c r="A236" s="7" t="s">
        <v>58</v>
      </c>
      <c r="B236" s="2" t="s">
        <v>2878</v>
      </c>
      <c r="C236" s="2" t="s">
        <v>2879</v>
      </c>
      <c r="D236" s="2" t="s">
        <v>2880</v>
      </c>
      <c r="F236" s="3" t="s">
        <v>58</v>
      </c>
      <c r="G236" s="3" t="s">
        <v>59</v>
      </c>
      <c r="H236" s="3" t="s">
        <v>58</v>
      </c>
      <c r="I236" s="3" t="s">
        <v>58</v>
      </c>
      <c r="J236" s="3" t="s">
        <v>60</v>
      </c>
      <c r="K236" s="2" t="s">
        <v>2881</v>
      </c>
      <c r="L236" s="2" t="s">
        <v>2882</v>
      </c>
      <c r="M236" s="3" t="s">
        <v>201</v>
      </c>
      <c r="O236" s="3" t="s">
        <v>63</v>
      </c>
      <c r="P236" s="3" t="s">
        <v>64</v>
      </c>
      <c r="R236" s="3" t="s">
        <v>65</v>
      </c>
      <c r="S236" s="4">
        <v>1</v>
      </c>
      <c r="T236" s="4">
        <v>1</v>
      </c>
      <c r="U236" s="5" t="s">
        <v>2424</v>
      </c>
      <c r="V236" s="5" t="s">
        <v>2424</v>
      </c>
      <c r="W236" s="5" t="s">
        <v>518</v>
      </c>
      <c r="X236" s="5" t="s">
        <v>518</v>
      </c>
      <c r="Y236" s="4">
        <v>581</v>
      </c>
      <c r="Z236" s="4">
        <v>445</v>
      </c>
      <c r="AA236" s="4">
        <v>451</v>
      </c>
      <c r="AB236" s="4">
        <v>3</v>
      </c>
      <c r="AC236" s="4">
        <v>3</v>
      </c>
      <c r="AD236" s="4">
        <v>12</v>
      </c>
      <c r="AE236" s="4">
        <v>12</v>
      </c>
      <c r="AF236" s="4">
        <v>5</v>
      </c>
      <c r="AG236" s="4">
        <v>5</v>
      </c>
      <c r="AH236" s="4">
        <v>3</v>
      </c>
      <c r="AI236" s="4">
        <v>3</v>
      </c>
      <c r="AJ236" s="4">
        <v>5</v>
      </c>
      <c r="AK236" s="4">
        <v>5</v>
      </c>
      <c r="AL236" s="4">
        <v>2</v>
      </c>
      <c r="AM236" s="4">
        <v>2</v>
      </c>
      <c r="AN236" s="4">
        <v>0</v>
      </c>
      <c r="AO236" s="4">
        <v>0</v>
      </c>
      <c r="AP236" s="3" t="s">
        <v>58</v>
      </c>
      <c r="AQ236" s="3" t="s">
        <v>68</v>
      </c>
      <c r="AR236" s="6" t="str">
        <f>HYPERLINK("http://catalog.hathitrust.org/Record/000694233","HathiTrust Record")</f>
        <v>HathiTrust Record</v>
      </c>
      <c r="AS236" s="6" t="str">
        <f>HYPERLINK("https://creighton-primo.hosted.exlibrisgroup.com/primo-explore/search?tab=default_tab&amp;search_scope=EVERYTHING&amp;vid=01CRU&amp;lang=en_US&amp;offset=0&amp;query=any,contains,991003970779702656","Catalog Record")</f>
        <v>Catalog Record</v>
      </c>
      <c r="AT236" s="6" t="str">
        <f>HYPERLINK("http://www.worldcat.org/oclc/1992143","WorldCat Record")</f>
        <v>WorldCat Record</v>
      </c>
      <c r="AU236" s="3" t="s">
        <v>2883</v>
      </c>
      <c r="AV236" s="3" t="s">
        <v>2884</v>
      </c>
      <c r="AW236" s="3" t="s">
        <v>2885</v>
      </c>
      <c r="AX236" s="3" t="s">
        <v>2885</v>
      </c>
      <c r="AY236" s="3" t="s">
        <v>2886</v>
      </c>
      <c r="AZ236" s="3" t="s">
        <v>73</v>
      </c>
      <c r="BB236" s="3" t="s">
        <v>2887</v>
      </c>
      <c r="BC236" s="3" t="s">
        <v>2888</v>
      </c>
      <c r="BD236" s="3" t="s">
        <v>2889</v>
      </c>
    </row>
    <row r="237" spans="1:56" ht="31.5" customHeight="1" x14ac:dyDescent="0.25">
      <c r="A237" s="7" t="s">
        <v>58</v>
      </c>
      <c r="B237" s="2" t="s">
        <v>2890</v>
      </c>
      <c r="C237" s="2" t="s">
        <v>2891</v>
      </c>
      <c r="D237" s="2" t="s">
        <v>2892</v>
      </c>
      <c r="F237" s="3" t="s">
        <v>58</v>
      </c>
      <c r="G237" s="3" t="s">
        <v>59</v>
      </c>
      <c r="H237" s="3" t="s">
        <v>58</v>
      </c>
      <c r="I237" s="3" t="s">
        <v>58</v>
      </c>
      <c r="J237" s="3" t="s">
        <v>60</v>
      </c>
      <c r="K237" s="2" t="s">
        <v>2893</v>
      </c>
      <c r="L237" s="2" t="s">
        <v>2894</v>
      </c>
      <c r="M237" s="3" t="s">
        <v>401</v>
      </c>
      <c r="O237" s="3" t="s">
        <v>63</v>
      </c>
      <c r="P237" s="3" t="s">
        <v>186</v>
      </c>
      <c r="R237" s="3" t="s">
        <v>65</v>
      </c>
      <c r="S237" s="4">
        <v>1</v>
      </c>
      <c r="T237" s="4">
        <v>1</v>
      </c>
      <c r="U237" s="5" t="s">
        <v>2895</v>
      </c>
      <c r="V237" s="5" t="s">
        <v>2895</v>
      </c>
      <c r="W237" s="5" t="s">
        <v>2896</v>
      </c>
      <c r="X237" s="5" t="s">
        <v>2896</v>
      </c>
      <c r="Y237" s="4">
        <v>510</v>
      </c>
      <c r="Z237" s="4">
        <v>376</v>
      </c>
      <c r="AA237" s="4">
        <v>511</v>
      </c>
      <c r="AB237" s="4">
        <v>6</v>
      </c>
      <c r="AC237" s="4">
        <v>7</v>
      </c>
      <c r="AD237" s="4">
        <v>14</v>
      </c>
      <c r="AE237" s="4">
        <v>17</v>
      </c>
      <c r="AF237" s="4">
        <v>2</v>
      </c>
      <c r="AG237" s="4">
        <v>3</v>
      </c>
      <c r="AH237" s="4">
        <v>1</v>
      </c>
      <c r="AI237" s="4">
        <v>2</v>
      </c>
      <c r="AJ237" s="4">
        <v>8</v>
      </c>
      <c r="AK237" s="4">
        <v>9</v>
      </c>
      <c r="AL237" s="4">
        <v>5</v>
      </c>
      <c r="AM237" s="4">
        <v>6</v>
      </c>
      <c r="AN237" s="4">
        <v>0</v>
      </c>
      <c r="AO237" s="4">
        <v>0</v>
      </c>
      <c r="AP237" s="3" t="s">
        <v>68</v>
      </c>
      <c r="AQ237" s="3" t="s">
        <v>58</v>
      </c>
      <c r="AR237" s="6" t="str">
        <f>HYPERLINK("http://catalog.hathitrust.org/Record/102073826","HathiTrust Record")</f>
        <v>HathiTrust Record</v>
      </c>
      <c r="AS237" s="6" t="str">
        <f>HYPERLINK("https://creighton-primo.hosted.exlibrisgroup.com/primo-explore/search?tab=default_tab&amp;search_scope=EVERYTHING&amp;vid=01CRU&amp;lang=en_US&amp;offset=0&amp;query=any,contains,991003201909702656","Catalog Record")</f>
        <v>Catalog Record</v>
      </c>
      <c r="AT237" s="6" t="str">
        <f>HYPERLINK("http://www.worldcat.org/oclc/726854","WorldCat Record")</f>
        <v>WorldCat Record</v>
      </c>
      <c r="AU237" s="3" t="s">
        <v>2897</v>
      </c>
      <c r="AV237" s="3" t="s">
        <v>2898</v>
      </c>
      <c r="AW237" s="3" t="s">
        <v>2899</v>
      </c>
      <c r="AX237" s="3" t="s">
        <v>2899</v>
      </c>
      <c r="AY237" s="3" t="s">
        <v>2900</v>
      </c>
      <c r="AZ237" s="3" t="s">
        <v>73</v>
      </c>
      <c r="BB237" s="3" t="s">
        <v>2901</v>
      </c>
      <c r="BC237" s="3" t="s">
        <v>2902</v>
      </c>
      <c r="BD237" s="3" t="s">
        <v>2903</v>
      </c>
    </row>
    <row r="238" spans="1:56" ht="31.5" customHeight="1" x14ac:dyDescent="0.25">
      <c r="A238" s="7" t="s">
        <v>58</v>
      </c>
      <c r="B238" s="2" t="s">
        <v>2904</v>
      </c>
      <c r="C238" s="2" t="s">
        <v>2905</v>
      </c>
      <c r="D238" s="2" t="s">
        <v>2906</v>
      </c>
      <c r="F238" s="3" t="s">
        <v>58</v>
      </c>
      <c r="G238" s="3" t="s">
        <v>59</v>
      </c>
      <c r="H238" s="3" t="s">
        <v>58</v>
      </c>
      <c r="I238" s="3" t="s">
        <v>58</v>
      </c>
      <c r="J238" s="3" t="s">
        <v>60</v>
      </c>
      <c r="K238" s="2" t="s">
        <v>2338</v>
      </c>
      <c r="L238" s="2" t="s">
        <v>2280</v>
      </c>
      <c r="M238" s="3" t="s">
        <v>537</v>
      </c>
      <c r="O238" s="3" t="s">
        <v>63</v>
      </c>
      <c r="P238" s="3" t="s">
        <v>186</v>
      </c>
      <c r="R238" s="3" t="s">
        <v>65</v>
      </c>
      <c r="S238" s="4">
        <v>3</v>
      </c>
      <c r="T238" s="4">
        <v>3</v>
      </c>
      <c r="U238" s="5" t="s">
        <v>2907</v>
      </c>
      <c r="V238" s="5" t="s">
        <v>2907</v>
      </c>
      <c r="W238" s="5" t="s">
        <v>2908</v>
      </c>
      <c r="X238" s="5" t="s">
        <v>2908</v>
      </c>
      <c r="Y238" s="4">
        <v>351</v>
      </c>
      <c r="Z238" s="4">
        <v>249</v>
      </c>
      <c r="AA238" s="4">
        <v>256</v>
      </c>
      <c r="AB238" s="4">
        <v>4</v>
      </c>
      <c r="AC238" s="4">
        <v>4</v>
      </c>
      <c r="AD238" s="4">
        <v>10</v>
      </c>
      <c r="AE238" s="4">
        <v>10</v>
      </c>
      <c r="AF238" s="4">
        <v>4</v>
      </c>
      <c r="AG238" s="4">
        <v>4</v>
      </c>
      <c r="AH238" s="4">
        <v>2</v>
      </c>
      <c r="AI238" s="4">
        <v>2</v>
      </c>
      <c r="AJ238" s="4">
        <v>4</v>
      </c>
      <c r="AK238" s="4">
        <v>4</v>
      </c>
      <c r="AL238" s="4">
        <v>3</v>
      </c>
      <c r="AM238" s="4">
        <v>3</v>
      </c>
      <c r="AN238" s="4">
        <v>0</v>
      </c>
      <c r="AO238" s="4">
        <v>0</v>
      </c>
      <c r="AP238" s="3" t="s">
        <v>58</v>
      </c>
      <c r="AQ238" s="3" t="s">
        <v>58</v>
      </c>
      <c r="AS238" s="6" t="str">
        <f>HYPERLINK("https://creighton-primo.hosted.exlibrisgroup.com/primo-explore/search?tab=default_tab&amp;search_scope=EVERYTHING&amp;vid=01CRU&amp;lang=en_US&amp;offset=0&amp;query=any,contains,991001653109702656","Catalog Record")</f>
        <v>Catalog Record</v>
      </c>
      <c r="AT238" s="6" t="str">
        <f>HYPERLINK("http://www.worldcat.org/oclc/21116717","WorldCat Record")</f>
        <v>WorldCat Record</v>
      </c>
      <c r="AU238" s="3" t="s">
        <v>2909</v>
      </c>
      <c r="AV238" s="3" t="s">
        <v>2910</v>
      </c>
      <c r="AW238" s="3" t="s">
        <v>2911</v>
      </c>
      <c r="AX238" s="3" t="s">
        <v>2911</v>
      </c>
      <c r="AY238" s="3" t="s">
        <v>2912</v>
      </c>
      <c r="AZ238" s="3" t="s">
        <v>73</v>
      </c>
      <c r="BB238" s="3" t="s">
        <v>2913</v>
      </c>
      <c r="BC238" s="3" t="s">
        <v>2914</v>
      </c>
      <c r="BD238" s="3" t="s">
        <v>2915</v>
      </c>
    </row>
    <row r="239" spans="1:56" ht="31.5" customHeight="1" x14ac:dyDescent="0.25">
      <c r="A239" s="7" t="s">
        <v>58</v>
      </c>
      <c r="B239" s="2" t="s">
        <v>2916</v>
      </c>
      <c r="C239" s="2" t="s">
        <v>2917</v>
      </c>
      <c r="D239" s="2" t="s">
        <v>2918</v>
      </c>
      <c r="F239" s="3" t="s">
        <v>58</v>
      </c>
      <c r="G239" s="3" t="s">
        <v>59</v>
      </c>
      <c r="H239" s="3" t="s">
        <v>58</v>
      </c>
      <c r="I239" s="3" t="s">
        <v>58</v>
      </c>
      <c r="J239" s="3" t="s">
        <v>60</v>
      </c>
      <c r="K239" s="2" t="s">
        <v>2919</v>
      </c>
      <c r="L239" s="2" t="s">
        <v>2920</v>
      </c>
      <c r="M239" s="3" t="s">
        <v>230</v>
      </c>
      <c r="O239" s="3" t="s">
        <v>63</v>
      </c>
      <c r="P239" s="3" t="s">
        <v>186</v>
      </c>
      <c r="R239" s="3" t="s">
        <v>65</v>
      </c>
      <c r="S239" s="4">
        <v>2</v>
      </c>
      <c r="T239" s="4">
        <v>2</v>
      </c>
      <c r="U239" s="5" t="s">
        <v>2328</v>
      </c>
      <c r="V239" s="5" t="s">
        <v>2328</v>
      </c>
      <c r="W239" s="5" t="s">
        <v>1658</v>
      </c>
      <c r="X239" s="5" t="s">
        <v>1658</v>
      </c>
      <c r="Y239" s="4">
        <v>423</v>
      </c>
      <c r="Z239" s="4">
        <v>302</v>
      </c>
      <c r="AA239" s="4">
        <v>315</v>
      </c>
      <c r="AB239" s="4">
        <v>2</v>
      </c>
      <c r="AC239" s="4">
        <v>3</v>
      </c>
      <c r="AD239" s="4">
        <v>7</v>
      </c>
      <c r="AE239" s="4">
        <v>8</v>
      </c>
      <c r="AF239" s="4">
        <v>1</v>
      </c>
      <c r="AG239" s="4">
        <v>1</v>
      </c>
      <c r="AH239" s="4">
        <v>2</v>
      </c>
      <c r="AI239" s="4">
        <v>3</v>
      </c>
      <c r="AJ239" s="4">
        <v>4</v>
      </c>
      <c r="AK239" s="4">
        <v>5</v>
      </c>
      <c r="AL239" s="4">
        <v>1</v>
      </c>
      <c r="AM239" s="4">
        <v>1</v>
      </c>
      <c r="AN239" s="4">
        <v>0</v>
      </c>
      <c r="AO239" s="4">
        <v>0</v>
      </c>
      <c r="AP239" s="3" t="s">
        <v>58</v>
      </c>
      <c r="AQ239" s="3" t="s">
        <v>68</v>
      </c>
      <c r="AR239" s="6" t="str">
        <f>HYPERLINK("http://catalog.hathitrust.org/Record/000213489","HathiTrust Record")</f>
        <v>HathiTrust Record</v>
      </c>
      <c r="AS239" s="6" t="str">
        <f>HYPERLINK("https://creighton-primo.hosted.exlibrisgroup.com/primo-explore/search?tab=default_tab&amp;search_scope=EVERYTHING&amp;vid=01CRU&amp;lang=en_US&amp;offset=0&amp;query=any,contains,991004295879702656","Catalog Record")</f>
        <v>Catalog Record</v>
      </c>
      <c r="AT239" s="6" t="str">
        <f>HYPERLINK("http://www.worldcat.org/oclc/2964147","WorldCat Record")</f>
        <v>WorldCat Record</v>
      </c>
      <c r="AU239" s="3" t="s">
        <v>2921</v>
      </c>
      <c r="AV239" s="3" t="s">
        <v>2922</v>
      </c>
      <c r="AW239" s="3" t="s">
        <v>2923</v>
      </c>
      <c r="AX239" s="3" t="s">
        <v>2923</v>
      </c>
      <c r="AY239" s="3" t="s">
        <v>2924</v>
      </c>
      <c r="AZ239" s="3" t="s">
        <v>73</v>
      </c>
      <c r="BB239" s="3" t="s">
        <v>2925</v>
      </c>
      <c r="BC239" s="3" t="s">
        <v>2926</v>
      </c>
      <c r="BD239" s="3" t="s">
        <v>2927</v>
      </c>
    </row>
    <row r="240" spans="1:56" ht="31.5" customHeight="1" x14ac:dyDescent="0.25">
      <c r="A240" s="7" t="s">
        <v>58</v>
      </c>
      <c r="B240" s="2" t="s">
        <v>2928</v>
      </c>
      <c r="C240" s="2" t="s">
        <v>2929</v>
      </c>
      <c r="D240" s="2" t="s">
        <v>2930</v>
      </c>
      <c r="F240" s="3" t="s">
        <v>58</v>
      </c>
      <c r="G240" s="3" t="s">
        <v>59</v>
      </c>
      <c r="H240" s="3" t="s">
        <v>58</v>
      </c>
      <c r="I240" s="3" t="s">
        <v>58</v>
      </c>
      <c r="J240" s="3" t="s">
        <v>60</v>
      </c>
      <c r="L240" s="2" t="s">
        <v>2931</v>
      </c>
      <c r="M240" s="3" t="s">
        <v>944</v>
      </c>
      <c r="N240" s="2" t="s">
        <v>2281</v>
      </c>
      <c r="O240" s="3" t="s">
        <v>63</v>
      </c>
      <c r="P240" s="3" t="s">
        <v>186</v>
      </c>
      <c r="R240" s="3" t="s">
        <v>65</v>
      </c>
      <c r="S240" s="4">
        <v>8</v>
      </c>
      <c r="T240" s="4">
        <v>8</v>
      </c>
      <c r="U240" s="5" t="s">
        <v>2932</v>
      </c>
      <c r="V240" s="5" t="s">
        <v>2932</v>
      </c>
      <c r="W240" s="5" t="s">
        <v>2933</v>
      </c>
      <c r="X240" s="5" t="s">
        <v>2933</v>
      </c>
      <c r="Y240" s="4">
        <v>599</v>
      </c>
      <c r="Z240" s="4">
        <v>464</v>
      </c>
      <c r="AA240" s="4">
        <v>1698</v>
      </c>
      <c r="AB240" s="4">
        <v>4</v>
      </c>
      <c r="AC240" s="4">
        <v>12</v>
      </c>
      <c r="AD240" s="4">
        <v>10</v>
      </c>
      <c r="AE240" s="4">
        <v>40</v>
      </c>
      <c r="AF240" s="4">
        <v>3</v>
      </c>
      <c r="AG240" s="4">
        <v>18</v>
      </c>
      <c r="AH240" s="4">
        <v>2</v>
      </c>
      <c r="AI240" s="4">
        <v>6</v>
      </c>
      <c r="AJ240" s="4">
        <v>5</v>
      </c>
      <c r="AK240" s="4">
        <v>19</v>
      </c>
      <c r="AL240" s="4">
        <v>2</v>
      </c>
      <c r="AM240" s="4">
        <v>6</v>
      </c>
      <c r="AN240" s="4">
        <v>0</v>
      </c>
      <c r="AO240" s="4">
        <v>0</v>
      </c>
      <c r="AP240" s="3" t="s">
        <v>58</v>
      </c>
      <c r="AQ240" s="3" t="s">
        <v>68</v>
      </c>
      <c r="AR240" s="6" t="str">
        <f>HYPERLINK("http://catalog.hathitrust.org/Record/002168722","HathiTrust Record")</f>
        <v>HathiTrust Record</v>
      </c>
      <c r="AS240" s="6" t="str">
        <f>HYPERLINK("https://creighton-primo.hosted.exlibrisgroup.com/primo-explore/search?tab=default_tab&amp;search_scope=EVERYTHING&amp;vid=01CRU&amp;lang=en_US&amp;offset=0&amp;query=any,contains,991001547529702656","Catalog Record")</f>
        <v>Catalog Record</v>
      </c>
      <c r="AT240" s="6" t="str">
        <f>HYPERLINK("http://www.worldcat.org/oclc/20170365","WorldCat Record")</f>
        <v>WorldCat Record</v>
      </c>
      <c r="AU240" s="3" t="s">
        <v>2934</v>
      </c>
      <c r="AV240" s="3" t="s">
        <v>2935</v>
      </c>
      <c r="AW240" s="3" t="s">
        <v>2936</v>
      </c>
      <c r="AX240" s="3" t="s">
        <v>2936</v>
      </c>
      <c r="AY240" s="3" t="s">
        <v>2937</v>
      </c>
      <c r="AZ240" s="3" t="s">
        <v>73</v>
      </c>
      <c r="BB240" s="3" t="s">
        <v>2938</v>
      </c>
      <c r="BC240" s="3" t="s">
        <v>2939</v>
      </c>
      <c r="BD240" s="3" t="s">
        <v>2940</v>
      </c>
    </row>
    <row r="241" spans="1:56" ht="31.5" customHeight="1" x14ac:dyDescent="0.25">
      <c r="A241" s="7" t="s">
        <v>58</v>
      </c>
      <c r="B241" s="2" t="s">
        <v>2941</v>
      </c>
      <c r="C241" s="2" t="s">
        <v>2942</v>
      </c>
      <c r="D241" s="2" t="s">
        <v>2943</v>
      </c>
      <c r="F241" s="3" t="s">
        <v>58</v>
      </c>
      <c r="G241" s="3" t="s">
        <v>59</v>
      </c>
      <c r="H241" s="3" t="s">
        <v>58</v>
      </c>
      <c r="I241" s="3" t="s">
        <v>58</v>
      </c>
      <c r="J241" s="3" t="s">
        <v>60</v>
      </c>
      <c r="K241" s="2" t="s">
        <v>2944</v>
      </c>
      <c r="L241" s="2" t="s">
        <v>2945</v>
      </c>
      <c r="M241" s="3" t="s">
        <v>1522</v>
      </c>
      <c r="O241" s="3" t="s">
        <v>63</v>
      </c>
      <c r="P241" s="3" t="s">
        <v>64</v>
      </c>
      <c r="Q241" s="2" t="s">
        <v>2946</v>
      </c>
      <c r="R241" s="3" t="s">
        <v>65</v>
      </c>
      <c r="S241" s="4">
        <v>2</v>
      </c>
      <c r="T241" s="4">
        <v>2</v>
      </c>
      <c r="U241" s="5" t="s">
        <v>402</v>
      </c>
      <c r="V241" s="5" t="s">
        <v>402</v>
      </c>
      <c r="W241" s="5" t="s">
        <v>1658</v>
      </c>
      <c r="X241" s="5" t="s">
        <v>1658</v>
      </c>
      <c r="Y241" s="4">
        <v>623</v>
      </c>
      <c r="Z241" s="4">
        <v>568</v>
      </c>
      <c r="AA241" s="4">
        <v>583</v>
      </c>
      <c r="AB241" s="4">
        <v>5</v>
      </c>
      <c r="AC241" s="4">
        <v>5</v>
      </c>
      <c r="AD241" s="4">
        <v>14</v>
      </c>
      <c r="AE241" s="4">
        <v>15</v>
      </c>
      <c r="AF241" s="4">
        <v>5</v>
      </c>
      <c r="AG241" s="4">
        <v>6</v>
      </c>
      <c r="AH241" s="4">
        <v>3</v>
      </c>
      <c r="AI241" s="4">
        <v>3</v>
      </c>
      <c r="AJ241" s="4">
        <v>5</v>
      </c>
      <c r="AK241" s="4">
        <v>6</v>
      </c>
      <c r="AL241" s="4">
        <v>4</v>
      </c>
      <c r="AM241" s="4">
        <v>4</v>
      </c>
      <c r="AN241" s="4">
        <v>0</v>
      </c>
      <c r="AO241" s="4">
        <v>0</v>
      </c>
      <c r="AP241" s="3" t="s">
        <v>58</v>
      </c>
      <c r="AQ241" s="3" t="s">
        <v>58</v>
      </c>
      <c r="AS241" s="6" t="str">
        <f>HYPERLINK("https://creighton-primo.hosted.exlibrisgroup.com/primo-explore/search?tab=default_tab&amp;search_scope=EVERYTHING&amp;vid=01CRU&amp;lang=en_US&amp;offset=0&amp;query=any,contains,991002910439702656","Catalog Record")</f>
        <v>Catalog Record</v>
      </c>
      <c r="AT241" s="6" t="str">
        <f>HYPERLINK("http://www.worldcat.org/oclc/521816","WorldCat Record")</f>
        <v>WorldCat Record</v>
      </c>
      <c r="AU241" s="3" t="s">
        <v>2947</v>
      </c>
      <c r="AV241" s="3" t="s">
        <v>2948</v>
      </c>
      <c r="AW241" s="3" t="s">
        <v>2949</v>
      </c>
      <c r="AX241" s="3" t="s">
        <v>2949</v>
      </c>
      <c r="AY241" s="3" t="s">
        <v>2950</v>
      </c>
      <c r="AZ241" s="3" t="s">
        <v>73</v>
      </c>
      <c r="BC241" s="3" t="s">
        <v>2951</v>
      </c>
      <c r="BD241" s="3" t="s">
        <v>2952</v>
      </c>
    </row>
    <row r="242" spans="1:56" ht="31.5" customHeight="1" x14ac:dyDescent="0.25">
      <c r="A242" s="7" t="s">
        <v>58</v>
      </c>
      <c r="B242" s="2" t="s">
        <v>2953</v>
      </c>
      <c r="C242" s="2" t="s">
        <v>2954</v>
      </c>
      <c r="D242" s="2" t="s">
        <v>2955</v>
      </c>
      <c r="F242" s="3" t="s">
        <v>58</v>
      </c>
      <c r="G242" s="3" t="s">
        <v>59</v>
      </c>
      <c r="H242" s="3" t="s">
        <v>58</v>
      </c>
      <c r="I242" s="3" t="s">
        <v>58</v>
      </c>
      <c r="J242" s="3" t="s">
        <v>60</v>
      </c>
      <c r="K242" s="2" t="s">
        <v>2956</v>
      </c>
      <c r="L242" s="2" t="s">
        <v>2957</v>
      </c>
      <c r="M242" s="3" t="s">
        <v>2117</v>
      </c>
      <c r="N242" s="2" t="s">
        <v>501</v>
      </c>
      <c r="O242" s="3" t="s">
        <v>63</v>
      </c>
      <c r="P242" s="3" t="s">
        <v>64</v>
      </c>
      <c r="R242" s="3" t="s">
        <v>65</v>
      </c>
      <c r="S242" s="4">
        <v>2</v>
      </c>
      <c r="T242" s="4">
        <v>2</v>
      </c>
      <c r="U242" s="5" t="s">
        <v>2958</v>
      </c>
      <c r="V242" s="5" t="s">
        <v>2958</v>
      </c>
      <c r="W242" s="5" t="s">
        <v>1658</v>
      </c>
      <c r="X242" s="5" t="s">
        <v>1658</v>
      </c>
      <c r="Y242" s="4">
        <v>757</v>
      </c>
      <c r="Z242" s="4">
        <v>700</v>
      </c>
      <c r="AA242" s="4">
        <v>707</v>
      </c>
      <c r="AB242" s="4">
        <v>4</v>
      </c>
      <c r="AC242" s="4">
        <v>4</v>
      </c>
      <c r="AD242" s="4">
        <v>14</v>
      </c>
      <c r="AE242" s="4">
        <v>14</v>
      </c>
      <c r="AF242" s="4">
        <v>9</v>
      </c>
      <c r="AG242" s="4">
        <v>9</v>
      </c>
      <c r="AH242" s="4">
        <v>5</v>
      </c>
      <c r="AI242" s="4">
        <v>5</v>
      </c>
      <c r="AJ242" s="4">
        <v>5</v>
      </c>
      <c r="AK242" s="4">
        <v>5</v>
      </c>
      <c r="AL242" s="4">
        <v>1</v>
      </c>
      <c r="AM242" s="4">
        <v>1</v>
      </c>
      <c r="AN242" s="4">
        <v>0</v>
      </c>
      <c r="AO242" s="4">
        <v>0</v>
      </c>
      <c r="AP242" s="3" t="s">
        <v>58</v>
      </c>
      <c r="AQ242" s="3" t="s">
        <v>68</v>
      </c>
      <c r="AR242" s="6" t="str">
        <f>HYPERLINK("http://catalog.hathitrust.org/Record/000043763","HathiTrust Record")</f>
        <v>HathiTrust Record</v>
      </c>
      <c r="AS242" s="6" t="str">
        <f>HYPERLINK("https://creighton-primo.hosted.exlibrisgroup.com/primo-explore/search?tab=default_tab&amp;search_scope=EVERYTHING&amp;vid=01CRU&amp;lang=en_US&amp;offset=0&amp;query=any,contains,991004659019702656","Catalog Record")</f>
        <v>Catalog Record</v>
      </c>
      <c r="AT242" s="6" t="str">
        <f>HYPERLINK("http://www.worldcat.org/oclc/4496184","WorldCat Record")</f>
        <v>WorldCat Record</v>
      </c>
      <c r="AU242" s="3" t="s">
        <v>2959</v>
      </c>
      <c r="AV242" s="3" t="s">
        <v>2960</v>
      </c>
      <c r="AW242" s="3" t="s">
        <v>2961</v>
      </c>
      <c r="AX242" s="3" t="s">
        <v>2961</v>
      </c>
      <c r="AY242" s="3" t="s">
        <v>2962</v>
      </c>
      <c r="AZ242" s="3" t="s">
        <v>73</v>
      </c>
      <c r="BB242" s="3" t="s">
        <v>2963</v>
      </c>
      <c r="BC242" s="3" t="s">
        <v>2964</v>
      </c>
      <c r="BD242" s="3" t="s">
        <v>2965</v>
      </c>
    </row>
    <row r="243" spans="1:56" ht="31.5" customHeight="1" x14ac:dyDescent="0.25">
      <c r="A243" s="7" t="s">
        <v>58</v>
      </c>
      <c r="B243" s="2" t="s">
        <v>2966</v>
      </c>
      <c r="C243" s="2" t="s">
        <v>2967</v>
      </c>
      <c r="D243" s="2" t="s">
        <v>2968</v>
      </c>
      <c r="F243" s="3" t="s">
        <v>58</v>
      </c>
      <c r="G243" s="3" t="s">
        <v>59</v>
      </c>
      <c r="H243" s="3" t="s">
        <v>58</v>
      </c>
      <c r="I243" s="3" t="s">
        <v>58</v>
      </c>
      <c r="J243" s="3" t="s">
        <v>60</v>
      </c>
      <c r="K243" s="2" t="s">
        <v>2969</v>
      </c>
      <c r="L243" s="2" t="s">
        <v>2970</v>
      </c>
      <c r="M243" s="3" t="s">
        <v>2117</v>
      </c>
      <c r="O243" s="3" t="s">
        <v>63</v>
      </c>
      <c r="P243" s="3" t="s">
        <v>360</v>
      </c>
      <c r="Q243" s="2" t="s">
        <v>2971</v>
      </c>
      <c r="R243" s="3" t="s">
        <v>65</v>
      </c>
      <c r="S243" s="4">
        <v>2</v>
      </c>
      <c r="T243" s="4">
        <v>2</v>
      </c>
      <c r="U243" s="5" t="s">
        <v>2972</v>
      </c>
      <c r="V243" s="5" t="s">
        <v>2972</v>
      </c>
      <c r="W243" s="5" t="s">
        <v>1658</v>
      </c>
      <c r="X243" s="5" t="s">
        <v>1658</v>
      </c>
      <c r="Y243" s="4">
        <v>618</v>
      </c>
      <c r="Z243" s="4">
        <v>473</v>
      </c>
      <c r="AA243" s="4">
        <v>530</v>
      </c>
      <c r="AB243" s="4">
        <v>3</v>
      </c>
      <c r="AC243" s="4">
        <v>3</v>
      </c>
      <c r="AD243" s="4">
        <v>11</v>
      </c>
      <c r="AE243" s="4">
        <v>13</v>
      </c>
      <c r="AF243" s="4">
        <v>4</v>
      </c>
      <c r="AG243" s="4">
        <v>5</v>
      </c>
      <c r="AH243" s="4">
        <v>3</v>
      </c>
      <c r="AI243" s="4">
        <v>4</v>
      </c>
      <c r="AJ243" s="4">
        <v>4</v>
      </c>
      <c r="AK243" s="4">
        <v>6</v>
      </c>
      <c r="AL243" s="4">
        <v>2</v>
      </c>
      <c r="AM243" s="4">
        <v>2</v>
      </c>
      <c r="AN243" s="4">
        <v>0</v>
      </c>
      <c r="AO243" s="4">
        <v>0</v>
      </c>
      <c r="AP243" s="3" t="s">
        <v>58</v>
      </c>
      <c r="AQ243" s="3" t="s">
        <v>68</v>
      </c>
      <c r="AR243" s="6" t="str">
        <f>HYPERLINK("http://catalog.hathitrust.org/Record/000137197","HathiTrust Record")</f>
        <v>HathiTrust Record</v>
      </c>
      <c r="AS243" s="6" t="str">
        <f>HYPERLINK("https://creighton-primo.hosted.exlibrisgroup.com/primo-explore/search?tab=default_tab&amp;search_scope=EVERYTHING&amp;vid=01CRU&amp;lang=en_US&amp;offset=0&amp;query=any,contains,991004540389702656","Catalog Record")</f>
        <v>Catalog Record</v>
      </c>
      <c r="AT243" s="6" t="str">
        <f>HYPERLINK("http://www.worldcat.org/oclc/3892863","WorldCat Record")</f>
        <v>WorldCat Record</v>
      </c>
      <c r="AU243" s="3" t="s">
        <v>2973</v>
      </c>
      <c r="AV243" s="3" t="s">
        <v>2974</v>
      </c>
      <c r="AW243" s="3" t="s">
        <v>2975</v>
      </c>
      <c r="AX243" s="3" t="s">
        <v>2975</v>
      </c>
      <c r="AY243" s="3" t="s">
        <v>2976</v>
      </c>
      <c r="AZ243" s="3" t="s">
        <v>73</v>
      </c>
      <c r="BB243" s="3" t="s">
        <v>2977</v>
      </c>
      <c r="BC243" s="3" t="s">
        <v>2978</v>
      </c>
      <c r="BD243" s="3" t="s">
        <v>2979</v>
      </c>
    </row>
    <row r="244" spans="1:56" ht="31.5" customHeight="1" x14ac:dyDescent="0.25">
      <c r="A244" s="7" t="s">
        <v>58</v>
      </c>
      <c r="B244" s="2" t="s">
        <v>2980</v>
      </c>
      <c r="C244" s="2" t="s">
        <v>2981</v>
      </c>
      <c r="D244" s="2" t="s">
        <v>2982</v>
      </c>
      <c r="F244" s="3" t="s">
        <v>58</v>
      </c>
      <c r="G244" s="3" t="s">
        <v>59</v>
      </c>
      <c r="H244" s="3" t="s">
        <v>58</v>
      </c>
      <c r="I244" s="3" t="s">
        <v>58</v>
      </c>
      <c r="J244" s="3" t="s">
        <v>60</v>
      </c>
      <c r="K244" s="2" t="s">
        <v>2983</v>
      </c>
      <c r="L244" s="2" t="s">
        <v>2984</v>
      </c>
      <c r="M244" s="3" t="s">
        <v>128</v>
      </c>
      <c r="N244" s="2" t="s">
        <v>2985</v>
      </c>
      <c r="O244" s="3" t="s">
        <v>63</v>
      </c>
      <c r="P244" s="3" t="s">
        <v>64</v>
      </c>
      <c r="R244" s="3" t="s">
        <v>65</v>
      </c>
      <c r="S244" s="4">
        <v>2</v>
      </c>
      <c r="T244" s="4">
        <v>2</v>
      </c>
      <c r="U244" s="5" t="s">
        <v>2986</v>
      </c>
      <c r="V244" s="5" t="s">
        <v>2986</v>
      </c>
      <c r="W244" s="5" t="s">
        <v>2987</v>
      </c>
      <c r="X244" s="5" t="s">
        <v>2987</v>
      </c>
      <c r="Y244" s="4">
        <v>275</v>
      </c>
      <c r="Z244" s="4">
        <v>246</v>
      </c>
      <c r="AA244" s="4">
        <v>1088</v>
      </c>
      <c r="AB244" s="4">
        <v>1</v>
      </c>
      <c r="AC244" s="4">
        <v>6</v>
      </c>
      <c r="AD244" s="4">
        <v>1</v>
      </c>
      <c r="AE244" s="4">
        <v>8</v>
      </c>
      <c r="AF244" s="4">
        <v>0</v>
      </c>
      <c r="AG244" s="4">
        <v>1</v>
      </c>
      <c r="AH244" s="4">
        <v>1</v>
      </c>
      <c r="AI244" s="4">
        <v>3</v>
      </c>
      <c r="AJ244" s="4">
        <v>1</v>
      </c>
      <c r="AK244" s="4">
        <v>5</v>
      </c>
      <c r="AL244" s="4">
        <v>0</v>
      </c>
      <c r="AM244" s="4">
        <v>2</v>
      </c>
      <c r="AN244" s="4">
        <v>0</v>
      </c>
      <c r="AO244" s="4">
        <v>0</v>
      </c>
      <c r="AP244" s="3" t="s">
        <v>58</v>
      </c>
      <c r="AQ244" s="3" t="s">
        <v>68</v>
      </c>
      <c r="AR244" s="6" t="str">
        <f>HYPERLINK("http://catalog.hathitrust.org/Record/007039456","HathiTrust Record")</f>
        <v>HathiTrust Record</v>
      </c>
      <c r="AS244" s="6" t="str">
        <f>HYPERLINK("https://creighton-primo.hosted.exlibrisgroup.com/primo-explore/search?tab=default_tab&amp;search_scope=EVERYTHING&amp;vid=01CRU&amp;lang=en_US&amp;offset=0&amp;query=any,contains,991002259439702656","Catalog Record")</f>
        <v>Catalog Record</v>
      </c>
      <c r="AT244" s="6" t="str">
        <f>HYPERLINK("http://www.worldcat.org/oclc/29289325","WorldCat Record")</f>
        <v>WorldCat Record</v>
      </c>
      <c r="AU244" s="3" t="s">
        <v>2988</v>
      </c>
      <c r="AV244" s="3" t="s">
        <v>2989</v>
      </c>
      <c r="AW244" s="3" t="s">
        <v>2990</v>
      </c>
      <c r="AX244" s="3" t="s">
        <v>2990</v>
      </c>
      <c r="AY244" s="3" t="s">
        <v>2991</v>
      </c>
      <c r="AZ244" s="3" t="s">
        <v>73</v>
      </c>
      <c r="BB244" s="3" t="s">
        <v>2992</v>
      </c>
      <c r="BC244" s="3" t="s">
        <v>2993</v>
      </c>
      <c r="BD244" s="3" t="s">
        <v>2994</v>
      </c>
    </row>
    <row r="245" spans="1:56" ht="31.5" customHeight="1" x14ac:dyDescent="0.25">
      <c r="A245" s="7" t="s">
        <v>58</v>
      </c>
      <c r="B245" s="2" t="s">
        <v>2995</v>
      </c>
      <c r="C245" s="2" t="s">
        <v>2996</v>
      </c>
      <c r="D245" s="2" t="s">
        <v>2997</v>
      </c>
      <c r="F245" s="3" t="s">
        <v>58</v>
      </c>
      <c r="G245" s="3" t="s">
        <v>59</v>
      </c>
      <c r="H245" s="3" t="s">
        <v>58</v>
      </c>
      <c r="I245" s="3" t="s">
        <v>58</v>
      </c>
      <c r="J245" s="3" t="s">
        <v>60</v>
      </c>
      <c r="K245" s="2" t="s">
        <v>2998</v>
      </c>
      <c r="L245" s="2" t="s">
        <v>2999</v>
      </c>
      <c r="M245" s="3" t="s">
        <v>159</v>
      </c>
      <c r="O245" s="3" t="s">
        <v>63</v>
      </c>
      <c r="P245" s="3" t="s">
        <v>64</v>
      </c>
      <c r="R245" s="3" t="s">
        <v>65</v>
      </c>
      <c r="S245" s="4">
        <v>2</v>
      </c>
      <c r="T245" s="4">
        <v>2</v>
      </c>
      <c r="U245" s="5" t="s">
        <v>2972</v>
      </c>
      <c r="V245" s="5" t="s">
        <v>2972</v>
      </c>
      <c r="W245" s="5" t="s">
        <v>1658</v>
      </c>
      <c r="X245" s="5" t="s">
        <v>1658</v>
      </c>
      <c r="Y245" s="4">
        <v>900</v>
      </c>
      <c r="Z245" s="4">
        <v>825</v>
      </c>
      <c r="AA245" s="4">
        <v>848</v>
      </c>
      <c r="AB245" s="4">
        <v>5</v>
      </c>
      <c r="AC245" s="4">
        <v>5</v>
      </c>
      <c r="AD245" s="4">
        <v>20</v>
      </c>
      <c r="AE245" s="4">
        <v>20</v>
      </c>
      <c r="AF245" s="4">
        <v>7</v>
      </c>
      <c r="AG245" s="4">
        <v>7</v>
      </c>
      <c r="AH245" s="4">
        <v>4</v>
      </c>
      <c r="AI245" s="4">
        <v>4</v>
      </c>
      <c r="AJ245" s="4">
        <v>11</v>
      </c>
      <c r="AK245" s="4">
        <v>11</v>
      </c>
      <c r="AL245" s="4">
        <v>3</v>
      </c>
      <c r="AM245" s="4">
        <v>3</v>
      </c>
      <c r="AN245" s="4">
        <v>0</v>
      </c>
      <c r="AO245" s="4">
        <v>0</v>
      </c>
      <c r="AP245" s="3" t="s">
        <v>58</v>
      </c>
      <c r="AQ245" s="3" t="s">
        <v>58</v>
      </c>
      <c r="AS245" s="6" t="str">
        <f>HYPERLINK("https://creighton-primo.hosted.exlibrisgroup.com/primo-explore/search?tab=default_tab&amp;search_scope=EVERYTHING&amp;vid=01CRU&amp;lang=en_US&amp;offset=0&amp;query=any,contains,991000238509702656","Catalog Record")</f>
        <v>Catalog Record</v>
      </c>
      <c r="AT245" s="6" t="str">
        <f>HYPERLINK("http://www.worldcat.org/oclc/9682272","WorldCat Record")</f>
        <v>WorldCat Record</v>
      </c>
      <c r="AU245" s="3" t="s">
        <v>3000</v>
      </c>
      <c r="AV245" s="3" t="s">
        <v>3001</v>
      </c>
      <c r="AW245" s="3" t="s">
        <v>3002</v>
      </c>
      <c r="AX245" s="3" t="s">
        <v>3002</v>
      </c>
      <c r="AY245" s="3" t="s">
        <v>3003</v>
      </c>
      <c r="AZ245" s="3" t="s">
        <v>73</v>
      </c>
      <c r="BB245" s="3" t="s">
        <v>3004</v>
      </c>
      <c r="BC245" s="3" t="s">
        <v>3005</v>
      </c>
      <c r="BD245" s="3" t="s">
        <v>3006</v>
      </c>
    </row>
    <row r="246" spans="1:56" ht="31.5" customHeight="1" x14ac:dyDescent="0.25">
      <c r="A246" s="7" t="s">
        <v>58</v>
      </c>
      <c r="B246" s="2" t="s">
        <v>3007</v>
      </c>
      <c r="C246" s="2" t="s">
        <v>3008</v>
      </c>
      <c r="D246" s="2" t="s">
        <v>3009</v>
      </c>
      <c r="F246" s="3" t="s">
        <v>58</v>
      </c>
      <c r="G246" s="3" t="s">
        <v>59</v>
      </c>
      <c r="H246" s="3" t="s">
        <v>58</v>
      </c>
      <c r="I246" s="3" t="s">
        <v>58</v>
      </c>
      <c r="J246" s="3" t="s">
        <v>60</v>
      </c>
      <c r="K246" s="2" t="s">
        <v>3010</v>
      </c>
      <c r="L246" s="2" t="s">
        <v>3011</v>
      </c>
      <c r="M246" s="3" t="s">
        <v>128</v>
      </c>
      <c r="N246" s="2" t="s">
        <v>501</v>
      </c>
      <c r="O246" s="3" t="s">
        <v>63</v>
      </c>
      <c r="P246" s="3" t="s">
        <v>64</v>
      </c>
      <c r="R246" s="3" t="s">
        <v>65</v>
      </c>
      <c r="S246" s="4">
        <v>15</v>
      </c>
      <c r="T246" s="4">
        <v>15</v>
      </c>
      <c r="U246" s="5" t="s">
        <v>3012</v>
      </c>
      <c r="V246" s="5" t="s">
        <v>3012</v>
      </c>
      <c r="W246" s="5" t="s">
        <v>3013</v>
      </c>
      <c r="X246" s="5" t="s">
        <v>3013</v>
      </c>
      <c r="Y246" s="4">
        <v>726</v>
      </c>
      <c r="Z246" s="4">
        <v>691</v>
      </c>
      <c r="AA246" s="4">
        <v>783</v>
      </c>
      <c r="AB246" s="4">
        <v>3</v>
      </c>
      <c r="AC246" s="4">
        <v>4</v>
      </c>
      <c r="AD246" s="4">
        <v>6</v>
      </c>
      <c r="AE246" s="4">
        <v>6</v>
      </c>
      <c r="AF246" s="4">
        <v>4</v>
      </c>
      <c r="AG246" s="4">
        <v>4</v>
      </c>
      <c r="AH246" s="4">
        <v>0</v>
      </c>
      <c r="AI246" s="4">
        <v>0</v>
      </c>
      <c r="AJ246" s="4">
        <v>2</v>
      </c>
      <c r="AK246" s="4">
        <v>2</v>
      </c>
      <c r="AL246" s="4">
        <v>1</v>
      </c>
      <c r="AM246" s="4">
        <v>1</v>
      </c>
      <c r="AN246" s="4">
        <v>0</v>
      </c>
      <c r="AO246" s="4">
        <v>0</v>
      </c>
      <c r="AP246" s="3" t="s">
        <v>58</v>
      </c>
      <c r="AQ246" s="3" t="s">
        <v>58</v>
      </c>
      <c r="AS246" s="6" t="str">
        <f>HYPERLINK("https://creighton-primo.hosted.exlibrisgroup.com/primo-explore/search?tab=default_tab&amp;search_scope=EVERYTHING&amp;vid=01CRU&amp;lang=en_US&amp;offset=0&amp;query=any,contains,991004565859702656","Catalog Record")</f>
        <v>Catalog Record</v>
      </c>
      <c r="AT246" s="6" t="str">
        <f>HYPERLINK("http://www.worldcat.org/oclc/26586841","WorldCat Record")</f>
        <v>WorldCat Record</v>
      </c>
      <c r="AU246" s="3" t="s">
        <v>3014</v>
      </c>
      <c r="AV246" s="3" t="s">
        <v>3015</v>
      </c>
      <c r="AW246" s="3" t="s">
        <v>3016</v>
      </c>
      <c r="AX246" s="3" t="s">
        <v>3016</v>
      </c>
      <c r="AY246" s="3" t="s">
        <v>3017</v>
      </c>
      <c r="AZ246" s="3" t="s">
        <v>73</v>
      </c>
      <c r="BB246" s="3" t="s">
        <v>3018</v>
      </c>
      <c r="BC246" s="3" t="s">
        <v>3019</v>
      </c>
      <c r="BD246" s="3" t="s">
        <v>3020</v>
      </c>
    </row>
    <row r="247" spans="1:56" ht="31.5" customHeight="1" x14ac:dyDescent="0.25">
      <c r="A247" s="7" t="s">
        <v>58</v>
      </c>
      <c r="B247" s="2" t="s">
        <v>3021</v>
      </c>
      <c r="C247" s="2" t="s">
        <v>3022</v>
      </c>
      <c r="D247" s="2" t="s">
        <v>3023</v>
      </c>
      <c r="F247" s="3" t="s">
        <v>58</v>
      </c>
      <c r="G247" s="3" t="s">
        <v>59</v>
      </c>
      <c r="H247" s="3" t="s">
        <v>58</v>
      </c>
      <c r="I247" s="3" t="s">
        <v>58</v>
      </c>
      <c r="J247" s="3" t="s">
        <v>60</v>
      </c>
      <c r="L247" s="2" t="s">
        <v>3024</v>
      </c>
      <c r="M247" s="3" t="s">
        <v>1912</v>
      </c>
      <c r="O247" s="3" t="s">
        <v>63</v>
      </c>
      <c r="P247" s="3" t="s">
        <v>444</v>
      </c>
      <c r="R247" s="3" t="s">
        <v>65</v>
      </c>
      <c r="S247" s="4">
        <v>2</v>
      </c>
      <c r="T247" s="4">
        <v>2</v>
      </c>
      <c r="U247" s="5" t="s">
        <v>3025</v>
      </c>
      <c r="V247" s="5" t="s">
        <v>3025</v>
      </c>
      <c r="W247" s="5" t="s">
        <v>3026</v>
      </c>
      <c r="X247" s="5" t="s">
        <v>3026</v>
      </c>
      <c r="Y247" s="4">
        <v>706</v>
      </c>
      <c r="Z247" s="4">
        <v>644</v>
      </c>
      <c r="AA247" s="4">
        <v>650</v>
      </c>
      <c r="AB247" s="4">
        <v>6</v>
      </c>
      <c r="AC247" s="4">
        <v>6</v>
      </c>
      <c r="AD247" s="4">
        <v>24</v>
      </c>
      <c r="AE247" s="4">
        <v>24</v>
      </c>
      <c r="AF247" s="4">
        <v>10</v>
      </c>
      <c r="AG247" s="4">
        <v>10</v>
      </c>
      <c r="AH247" s="4">
        <v>3</v>
      </c>
      <c r="AI247" s="4">
        <v>3</v>
      </c>
      <c r="AJ247" s="4">
        <v>11</v>
      </c>
      <c r="AK247" s="4">
        <v>11</v>
      </c>
      <c r="AL247" s="4">
        <v>5</v>
      </c>
      <c r="AM247" s="4">
        <v>5</v>
      </c>
      <c r="AN247" s="4">
        <v>0</v>
      </c>
      <c r="AO247" s="4">
        <v>0</v>
      </c>
      <c r="AP247" s="3" t="s">
        <v>58</v>
      </c>
      <c r="AQ247" s="3" t="s">
        <v>68</v>
      </c>
      <c r="AR247" s="6" t="str">
        <f>HYPERLINK("http://catalog.hathitrust.org/Record/000493263","HathiTrust Record")</f>
        <v>HathiTrust Record</v>
      </c>
      <c r="AS247" s="6" t="str">
        <f>HYPERLINK("https://creighton-primo.hosted.exlibrisgroup.com/primo-explore/search?tab=default_tab&amp;search_scope=EVERYTHING&amp;vid=01CRU&amp;lang=en_US&amp;offset=0&amp;query=any,contains,991000810499702656","Catalog Record")</f>
        <v>Catalog Record</v>
      </c>
      <c r="AT247" s="6" t="str">
        <f>HYPERLINK("http://www.worldcat.org/oclc/13331461","WorldCat Record")</f>
        <v>WorldCat Record</v>
      </c>
      <c r="AU247" s="3" t="s">
        <v>3027</v>
      </c>
      <c r="AV247" s="3" t="s">
        <v>3028</v>
      </c>
      <c r="AW247" s="3" t="s">
        <v>3029</v>
      </c>
      <c r="AX247" s="3" t="s">
        <v>3029</v>
      </c>
      <c r="AY247" s="3" t="s">
        <v>3030</v>
      </c>
      <c r="AZ247" s="3" t="s">
        <v>73</v>
      </c>
      <c r="BB247" s="3" t="s">
        <v>3031</v>
      </c>
      <c r="BC247" s="3" t="s">
        <v>3032</v>
      </c>
      <c r="BD247" s="3" t="s">
        <v>3033</v>
      </c>
    </row>
    <row r="248" spans="1:56" ht="31.5" customHeight="1" x14ac:dyDescent="0.25">
      <c r="A248" s="7" t="s">
        <v>58</v>
      </c>
      <c r="B248" s="2" t="s">
        <v>3034</v>
      </c>
      <c r="C248" s="2" t="s">
        <v>3035</v>
      </c>
      <c r="D248" s="2" t="s">
        <v>3036</v>
      </c>
      <c r="F248" s="3" t="s">
        <v>58</v>
      </c>
      <c r="G248" s="3" t="s">
        <v>59</v>
      </c>
      <c r="H248" s="3" t="s">
        <v>58</v>
      </c>
      <c r="I248" s="3" t="s">
        <v>58</v>
      </c>
      <c r="J248" s="3" t="s">
        <v>60</v>
      </c>
      <c r="K248" s="2" t="s">
        <v>3037</v>
      </c>
      <c r="L248" s="2" t="s">
        <v>3038</v>
      </c>
      <c r="M248" s="3" t="s">
        <v>416</v>
      </c>
      <c r="O248" s="3" t="s">
        <v>63</v>
      </c>
      <c r="P248" s="3" t="s">
        <v>444</v>
      </c>
      <c r="Q248" s="2" t="s">
        <v>3039</v>
      </c>
      <c r="R248" s="3" t="s">
        <v>65</v>
      </c>
      <c r="S248" s="4">
        <v>2</v>
      </c>
      <c r="T248" s="4">
        <v>2</v>
      </c>
      <c r="U248" s="5" t="s">
        <v>3040</v>
      </c>
      <c r="V248" s="5" t="s">
        <v>3040</v>
      </c>
      <c r="W248" s="5" t="s">
        <v>3041</v>
      </c>
      <c r="X248" s="5" t="s">
        <v>3041</v>
      </c>
      <c r="Y248" s="4">
        <v>635</v>
      </c>
      <c r="Z248" s="4">
        <v>500</v>
      </c>
      <c r="AA248" s="4">
        <v>506</v>
      </c>
      <c r="AB248" s="4">
        <v>5</v>
      </c>
      <c r="AC248" s="4">
        <v>5</v>
      </c>
      <c r="AD248" s="4">
        <v>20</v>
      </c>
      <c r="AE248" s="4">
        <v>20</v>
      </c>
      <c r="AF248" s="4">
        <v>7</v>
      </c>
      <c r="AG248" s="4">
        <v>7</v>
      </c>
      <c r="AH248" s="4">
        <v>3</v>
      </c>
      <c r="AI248" s="4">
        <v>3</v>
      </c>
      <c r="AJ248" s="4">
        <v>10</v>
      </c>
      <c r="AK248" s="4">
        <v>10</v>
      </c>
      <c r="AL248" s="4">
        <v>4</v>
      </c>
      <c r="AM248" s="4">
        <v>4</v>
      </c>
      <c r="AN248" s="4">
        <v>0</v>
      </c>
      <c r="AO248" s="4">
        <v>0</v>
      </c>
      <c r="AP248" s="3" t="s">
        <v>58</v>
      </c>
      <c r="AQ248" s="3" t="s">
        <v>58</v>
      </c>
      <c r="AS248" s="6" t="str">
        <f>HYPERLINK("https://creighton-primo.hosted.exlibrisgroup.com/primo-explore/search?tab=default_tab&amp;search_scope=EVERYTHING&amp;vid=01CRU&amp;lang=en_US&amp;offset=0&amp;query=any,contains,991000159839702656","Catalog Record")</f>
        <v>Catalog Record</v>
      </c>
      <c r="AT248" s="6" t="str">
        <f>HYPERLINK("http://www.worldcat.org/oclc/61313","WorldCat Record")</f>
        <v>WorldCat Record</v>
      </c>
      <c r="AU248" s="3" t="s">
        <v>3042</v>
      </c>
      <c r="AV248" s="3" t="s">
        <v>3043</v>
      </c>
      <c r="AW248" s="3" t="s">
        <v>3044</v>
      </c>
      <c r="AX248" s="3" t="s">
        <v>3044</v>
      </c>
      <c r="AY248" s="3" t="s">
        <v>3045</v>
      </c>
      <c r="AZ248" s="3" t="s">
        <v>73</v>
      </c>
      <c r="BB248" s="3" t="s">
        <v>3046</v>
      </c>
      <c r="BC248" s="3" t="s">
        <v>3047</v>
      </c>
      <c r="BD248" s="3" t="s">
        <v>3048</v>
      </c>
    </row>
    <row r="249" spans="1:56" ht="31.5" customHeight="1" x14ac:dyDescent="0.25">
      <c r="A249" s="7" t="s">
        <v>58</v>
      </c>
      <c r="B249" s="2" t="s">
        <v>3049</v>
      </c>
      <c r="C249" s="2" t="s">
        <v>3050</v>
      </c>
      <c r="D249" s="2" t="s">
        <v>3051</v>
      </c>
      <c r="F249" s="3" t="s">
        <v>58</v>
      </c>
      <c r="G249" s="3" t="s">
        <v>59</v>
      </c>
      <c r="H249" s="3" t="s">
        <v>58</v>
      </c>
      <c r="I249" s="3" t="s">
        <v>58</v>
      </c>
      <c r="J249" s="3" t="s">
        <v>60</v>
      </c>
      <c r="K249" s="2" t="s">
        <v>3052</v>
      </c>
      <c r="L249" s="2" t="s">
        <v>3053</v>
      </c>
      <c r="M249" s="3" t="s">
        <v>2546</v>
      </c>
      <c r="O249" s="3" t="s">
        <v>63</v>
      </c>
      <c r="P249" s="3" t="s">
        <v>186</v>
      </c>
      <c r="R249" s="3" t="s">
        <v>65</v>
      </c>
      <c r="S249" s="4">
        <v>2</v>
      </c>
      <c r="T249" s="4">
        <v>2</v>
      </c>
      <c r="U249" s="5" t="s">
        <v>3054</v>
      </c>
      <c r="V249" s="5" t="s">
        <v>3054</v>
      </c>
      <c r="W249" s="5" t="s">
        <v>3055</v>
      </c>
      <c r="X249" s="5" t="s">
        <v>3055</v>
      </c>
      <c r="Y249" s="4">
        <v>467</v>
      </c>
      <c r="Z249" s="4">
        <v>402</v>
      </c>
      <c r="AA249" s="4">
        <v>407</v>
      </c>
      <c r="AB249" s="4">
        <v>4</v>
      </c>
      <c r="AC249" s="4">
        <v>4</v>
      </c>
      <c r="AD249" s="4">
        <v>18</v>
      </c>
      <c r="AE249" s="4">
        <v>18</v>
      </c>
      <c r="AF249" s="4">
        <v>10</v>
      </c>
      <c r="AG249" s="4">
        <v>10</v>
      </c>
      <c r="AH249" s="4">
        <v>2</v>
      </c>
      <c r="AI249" s="4">
        <v>2</v>
      </c>
      <c r="AJ249" s="4">
        <v>10</v>
      </c>
      <c r="AK249" s="4">
        <v>10</v>
      </c>
      <c r="AL249" s="4">
        <v>3</v>
      </c>
      <c r="AM249" s="4">
        <v>3</v>
      </c>
      <c r="AN249" s="4">
        <v>0</v>
      </c>
      <c r="AO249" s="4">
        <v>0</v>
      </c>
      <c r="AP249" s="3" t="s">
        <v>58</v>
      </c>
      <c r="AQ249" s="3" t="s">
        <v>58</v>
      </c>
      <c r="AS249" s="6" t="str">
        <f>HYPERLINK("https://creighton-primo.hosted.exlibrisgroup.com/primo-explore/search?tab=default_tab&amp;search_scope=EVERYTHING&amp;vid=01CRU&amp;lang=en_US&amp;offset=0&amp;query=any,contains,991003886689702656","Catalog Record")</f>
        <v>Catalog Record</v>
      </c>
      <c r="AT249" s="6" t="str">
        <f>HYPERLINK("http://www.worldcat.org/oclc/46462807","WorldCat Record")</f>
        <v>WorldCat Record</v>
      </c>
      <c r="AU249" s="3" t="s">
        <v>3056</v>
      </c>
      <c r="AV249" s="3" t="s">
        <v>3057</v>
      </c>
      <c r="AW249" s="3" t="s">
        <v>3058</v>
      </c>
      <c r="AX249" s="3" t="s">
        <v>3058</v>
      </c>
      <c r="AY249" s="3" t="s">
        <v>3059</v>
      </c>
      <c r="AZ249" s="3" t="s">
        <v>73</v>
      </c>
      <c r="BB249" s="3" t="s">
        <v>3060</v>
      </c>
      <c r="BC249" s="3" t="s">
        <v>3061</v>
      </c>
      <c r="BD249" s="3" t="s">
        <v>3062</v>
      </c>
    </row>
    <row r="250" spans="1:56" ht="31.5" customHeight="1" x14ac:dyDescent="0.25">
      <c r="A250" s="7" t="s">
        <v>58</v>
      </c>
      <c r="B250" s="2" t="s">
        <v>3063</v>
      </c>
      <c r="C250" s="2" t="s">
        <v>3064</v>
      </c>
      <c r="D250" s="2" t="s">
        <v>3065</v>
      </c>
      <c r="F250" s="3" t="s">
        <v>58</v>
      </c>
      <c r="G250" s="3" t="s">
        <v>59</v>
      </c>
      <c r="H250" s="3" t="s">
        <v>58</v>
      </c>
      <c r="I250" s="3" t="s">
        <v>58</v>
      </c>
      <c r="J250" s="3" t="s">
        <v>60</v>
      </c>
      <c r="K250" s="2" t="s">
        <v>3066</v>
      </c>
      <c r="L250" s="2" t="s">
        <v>3067</v>
      </c>
      <c r="M250" s="3" t="s">
        <v>1235</v>
      </c>
      <c r="O250" s="3" t="s">
        <v>63</v>
      </c>
      <c r="P250" s="3" t="s">
        <v>64</v>
      </c>
      <c r="R250" s="3" t="s">
        <v>65</v>
      </c>
      <c r="S250" s="4">
        <v>1</v>
      </c>
      <c r="T250" s="4">
        <v>1</v>
      </c>
      <c r="U250" s="5" t="s">
        <v>3068</v>
      </c>
      <c r="V250" s="5" t="s">
        <v>3068</v>
      </c>
      <c r="W250" s="5" t="s">
        <v>3068</v>
      </c>
      <c r="X250" s="5" t="s">
        <v>3068</v>
      </c>
      <c r="Y250" s="4">
        <v>391</v>
      </c>
      <c r="Z250" s="4">
        <v>343</v>
      </c>
      <c r="AA250" s="4">
        <v>350</v>
      </c>
      <c r="AB250" s="4">
        <v>4</v>
      </c>
      <c r="AC250" s="4">
        <v>4</v>
      </c>
      <c r="AD250" s="4">
        <v>12</v>
      </c>
      <c r="AE250" s="4">
        <v>12</v>
      </c>
      <c r="AF250" s="4">
        <v>4</v>
      </c>
      <c r="AG250" s="4">
        <v>4</v>
      </c>
      <c r="AH250" s="4">
        <v>3</v>
      </c>
      <c r="AI250" s="4">
        <v>3</v>
      </c>
      <c r="AJ250" s="4">
        <v>6</v>
      </c>
      <c r="AK250" s="4">
        <v>6</v>
      </c>
      <c r="AL250" s="4">
        <v>2</v>
      </c>
      <c r="AM250" s="4">
        <v>2</v>
      </c>
      <c r="AN250" s="4">
        <v>0</v>
      </c>
      <c r="AO250" s="4">
        <v>0</v>
      </c>
      <c r="AP250" s="3" t="s">
        <v>58</v>
      </c>
      <c r="AQ250" s="3" t="s">
        <v>68</v>
      </c>
      <c r="AR250" s="6" t="str">
        <f>HYPERLINK("http://catalog.hathitrust.org/Record/004379562","HathiTrust Record")</f>
        <v>HathiTrust Record</v>
      </c>
      <c r="AS250" s="6" t="str">
        <f>HYPERLINK("https://creighton-primo.hosted.exlibrisgroup.com/primo-explore/search?tab=default_tab&amp;search_scope=EVERYTHING&amp;vid=01CRU&amp;lang=en_US&amp;offset=0&amp;query=any,contains,991004393919702656","Catalog Record")</f>
        <v>Catalog Record</v>
      </c>
      <c r="AT250" s="6" t="str">
        <f>HYPERLINK("http://www.worldcat.org/oclc/53223573","WorldCat Record")</f>
        <v>WorldCat Record</v>
      </c>
      <c r="AU250" s="3" t="s">
        <v>3069</v>
      </c>
      <c r="AV250" s="3" t="s">
        <v>3070</v>
      </c>
      <c r="AW250" s="3" t="s">
        <v>3071</v>
      </c>
      <c r="AX250" s="3" t="s">
        <v>3071</v>
      </c>
      <c r="AY250" s="3" t="s">
        <v>3072</v>
      </c>
      <c r="AZ250" s="3" t="s">
        <v>73</v>
      </c>
      <c r="BB250" s="3" t="s">
        <v>3073</v>
      </c>
      <c r="BC250" s="3" t="s">
        <v>3074</v>
      </c>
      <c r="BD250" s="3" t="s">
        <v>3075</v>
      </c>
    </row>
    <row r="251" spans="1:56" ht="31.5" customHeight="1" x14ac:dyDescent="0.25">
      <c r="A251" s="7" t="s">
        <v>58</v>
      </c>
      <c r="B251" s="2" t="s">
        <v>3076</v>
      </c>
      <c r="C251" s="2" t="s">
        <v>3077</v>
      </c>
      <c r="D251" s="2" t="s">
        <v>3078</v>
      </c>
      <c r="F251" s="3" t="s">
        <v>58</v>
      </c>
      <c r="G251" s="3" t="s">
        <v>59</v>
      </c>
      <c r="H251" s="3" t="s">
        <v>58</v>
      </c>
      <c r="I251" s="3" t="s">
        <v>58</v>
      </c>
      <c r="J251" s="3" t="s">
        <v>60</v>
      </c>
      <c r="K251" s="2" t="s">
        <v>3079</v>
      </c>
      <c r="L251" s="2" t="s">
        <v>3080</v>
      </c>
      <c r="M251" s="3" t="s">
        <v>3081</v>
      </c>
      <c r="O251" s="3" t="s">
        <v>63</v>
      </c>
      <c r="P251" s="3" t="s">
        <v>1575</v>
      </c>
      <c r="R251" s="3" t="s">
        <v>65</v>
      </c>
      <c r="S251" s="4">
        <v>0</v>
      </c>
      <c r="T251" s="4">
        <v>0</v>
      </c>
      <c r="U251" s="5" t="s">
        <v>3082</v>
      </c>
      <c r="V251" s="5" t="s">
        <v>3082</v>
      </c>
      <c r="W251" s="5" t="s">
        <v>2026</v>
      </c>
      <c r="X251" s="5" t="s">
        <v>2026</v>
      </c>
      <c r="Y251" s="4">
        <v>78</v>
      </c>
      <c r="Z251" s="4">
        <v>69</v>
      </c>
      <c r="AA251" s="4">
        <v>193</v>
      </c>
      <c r="AB251" s="4">
        <v>1</v>
      </c>
      <c r="AC251" s="4">
        <v>1</v>
      </c>
      <c r="AD251" s="4">
        <v>2</v>
      </c>
      <c r="AE251" s="4">
        <v>4</v>
      </c>
      <c r="AF251" s="4">
        <v>1</v>
      </c>
      <c r="AG251" s="4">
        <v>1</v>
      </c>
      <c r="AH251" s="4">
        <v>0</v>
      </c>
      <c r="AI251" s="4">
        <v>1</v>
      </c>
      <c r="AJ251" s="4">
        <v>1</v>
      </c>
      <c r="AK251" s="4">
        <v>2</v>
      </c>
      <c r="AL251" s="4">
        <v>0</v>
      </c>
      <c r="AM251" s="4">
        <v>0</v>
      </c>
      <c r="AN251" s="4">
        <v>1</v>
      </c>
      <c r="AO251" s="4">
        <v>1</v>
      </c>
      <c r="AP251" s="3" t="s">
        <v>68</v>
      </c>
      <c r="AQ251" s="3" t="s">
        <v>58</v>
      </c>
      <c r="AR251" s="6" t="str">
        <f>HYPERLINK("http://catalog.hathitrust.org/Record/001475985","HathiTrust Record")</f>
        <v>HathiTrust Record</v>
      </c>
      <c r="AS251" s="6" t="str">
        <f>HYPERLINK("https://creighton-primo.hosted.exlibrisgroup.com/primo-explore/search?tab=default_tab&amp;search_scope=EVERYTHING&amp;vid=01CRU&amp;lang=en_US&amp;offset=0&amp;query=any,contains,991003390999702656","Catalog Record")</f>
        <v>Catalog Record</v>
      </c>
      <c r="AT251" s="6" t="str">
        <f>HYPERLINK("http://www.worldcat.org/oclc/928858","WorldCat Record")</f>
        <v>WorldCat Record</v>
      </c>
      <c r="AU251" s="3" t="s">
        <v>3083</v>
      </c>
      <c r="AV251" s="3" t="s">
        <v>3084</v>
      </c>
      <c r="AW251" s="3" t="s">
        <v>3085</v>
      </c>
      <c r="AX251" s="3" t="s">
        <v>3085</v>
      </c>
      <c r="AY251" s="3" t="s">
        <v>3086</v>
      </c>
      <c r="AZ251" s="3" t="s">
        <v>73</v>
      </c>
      <c r="BC251" s="3" t="s">
        <v>3087</v>
      </c>
      <c r="BD251" s="3" t="s">
        <v>3088</v>
      </c>
    </row>
    <row r="252" spans="1:56" ht="31.5" customHeight="1" x14ac:dyDescent="0.25">
      <c r="A252" s="7" t="s">
        <v>58</v>
      </c>
      <c r="B252" s="2" t="s">
        <v>3089</v>
      </c>
      <c r="C252" s="2" t="s">
        <v>3090</v>
      </c>
      <c r="D252" s="2" t="s">
        <v>3091</v>
      </c>
      <c r="F252" s="3" t="s">
        <v>58</v>
      </c>
      <c r="G252" s="3" t="s">
        <v>59</v>
      </c>
      <c r="H252" s="3" t="s">
        <v>58</v>
      </c>
      <c r="I252" s="3" t="s">
        <v>58</v>
      </c>
      <c r="J252" s="3" t="s">
        <v>60</v>
      </c>
      <c r="K252" s="2" t="s">
        <v>3092</v>
      </c>
      <c r="L252" s="2" t="s">
        <v>3093</v>
      </c>
      <c r="M252" s="3" t="s">
        <v>821</v>
      </c>
      <c r="O252" s="3" t="s">
        <v>63</v>
      </c>
      <c r="P252" s="3" t="s">
        <v>186</v>
      </c>
      <c r="R252" s="3" t="s">
        <v>65</v>
      </c>
      <c r="S252" s="4">
        <v>1</v>
      </c>
      <c r="T252" s="4">
        <v>1</v>
      </c>
      <c r="U252" s="5" t="s">
        <v>3094</v>
      </c>
      <c r="V252" s="5" t="s">
        <v>3094</v>
      </c>
      <c r="W252" s="5" t="s">
        <v>2091</v>
      </c>
      <c r="X252" s="5" t="s">
        <v>2091</v>
      </c>
      <c r="Y252" s="4">
        <v>418</v>
      </c>
      <c r="Z252" s="4">
        <v>343</v>
      </c>
      <c r="AA252" s="4">
        <v>345</v>
      </c>
      <c r="AB252" s="4">
        <v>3</v>
      </c>
      <c r="AC252" s="4">
        <v>3</v>
      </c>
      <c r="AD252" s="4">
        <v>5</v>
      </c>
      <c r="AE252" s="4">
        <v>5</v>
      </c>
      <c r="AF252" s="4">
        <v>0</v>
      </c>
      <c r="AG252" s="4">
        <v>0</v>
      </c>
      <c r="AH252" s="4">
        <v>0</v>
      </c>
      <c r="AI252" s="4">
        <v>0</v>
      </c>
      <c r="AJ252" s="4">
        <v>4</v>
      </c>
      <c r="AK252" s="4">
        <v>4</v>
      </c>
      <c r="AL252" s="4">
        <v>1</v>
      </c>
      <c r="AM252" s="4">
        <v>1</v>
      </c>
      <c r="AN252" s="4">
        <v>0</v>
      </c>
      <c r="AO252" s="4">
        <v>0</v>
      </c>
      <c r="AP252" s="3" t="s">
        <v>58</v>
      </c>
      <c r="AQ252" s="3" t="s">
        <v>68</v>
      </c>
      <c r="AR252" s="6" t="str">
        <f>HYPERLINK("http://catalog.hathitrust.org/Record/000603999","HathiTrust Record")</f>
        <v>HathiTrust Record</v>
      </c>
      <c r="AS252" s="6" t="str">
        <f>HYPERLINK("https://creighton-primo.hosted.exlibrisgroup.com/primo-explore/search?tab=default_tab&amp;search_scope=EVERYTHING&amp;vid=01CRU&amp;lang=en_US&amp;offset=0&amp;query=any,contains,991000551299702656","Catalog Record")</f>
        <v>Catalog Record</v>
      </c>
      <c r="AT252" s="6" t="str">
        <f>HYPERLINK("http://www.worldcat.org/oclc/11533367","WorldCat Record")</f>
        <v>WorldCat Record</v>
      </c>
      <c r="AU252" s="3" t="s">
        <v>3095</v>
      </c>
      <c r="AV252" s="3" t="s">
        <v>3096</v>
      </c>
      <c r="AW252" s="3" t="s">
        <v>3097</v>
      </c>
      <c r="AX252" s="3" t="s">
        <v>3097</v>
      </c>
      <c r="AY252" s="3" t="s">
        <v>3098</v>
      </c>
      <c r="AZ252" s="3" t="s">
        <v>73</v>
      </c>
      <c r="BB252" s="3" t="s">
        <v>3099</v>
      </c>
      <c r="BC252" s="3" t="s">
        <v>3100</v>
      </c>
      <c r="BD252" s="3" t="s">
        <v>3101</v>
      </c>
    </row>
    <row r="253" spans="1:56" ht="31.5" customHeight="1" x14ac:dyDescent="0.25">
      <c r="A253" s="7" t="s">
        <v>58</v>
      </c>
      <c r="B253" s="2" t="s">
        <v>3102</v>
      </c>
      <c r="C253" s="2" t="s">
        <v>3103</v>
      </c>
      <c r="D253" s="2" t="s">
        <v>3104</v>
      </c>
      <c r="F253" s="3" t="s">
        <v>58</v>
      </c>
      <c r="G253" s="3" t="s">
        <v>59</v>
      </c>
      <c r="H253" s="3" t="s">
        <v>58</v>
      </c>
      <c r="I253" s="3" t="s">
        <v>58</v>
      </c>
      <c r="J253" s="3" t="s">
        <v>60</v>
      </c>
      <c r="K253" s="2" t="s">
        <v>3105</v>
      </c>
      <c r="L253" s="2" t="s">
        <v>3106</v>
      </c>
      <c r="M253" s="3" t="s">
        <v>2117</v>
      </c>
      <c r="O253" s="3" t="s">
        <v>63</v>
      </c>
      <c r="P253" s="3" t="s">
        <v>64</v>
      </c>
      <c r="R253" s="3" t="s">
        <v>65</v>
      </c>
      <c r="S253" s="4">
        <v>2</v>
      </c>
      <c r="T253" s="4">
        <v>2</v>
      </c>
      <c r="U253" s="5" t="s">
        <v>3107</v>
      </c>
      <c r="V253" s="5" t="s">
        <v>3107</v>
      </c>
      <c r="W253" s="5" t="s">
        <v>2091</v>
      </c>
      <c r="X253" s="5" t="s">
        <v>2091</v>
      </c>
      <c r="Y253" s="4">
        <v>265</v>
      </c>
      <c r="Z253" s="4">
        <v>257</v>
      </c>
      <c r="AA253" s="4">
        <v>923</v>
      </c>
      <c r="AB253" s="4">
        <v>4</v>
      </c>
      <c r="AC253" s="4">
        <v>9</v>
      </c>
      <c r="AD253" s="4">
        <v>4</v>
      </c>
      <c r="AE253" s="4">
        <v>16</v>
      </c>
      <c r="AF253" s="4">
        <v>1</v>
      </c>
      <c r="AG253" s="4">
        <v>6</v>
      </c>
      <c r="AH253" s="4">
        <v>0</v>
      </c>
      <c r="AI253" s="4">
        <v>1</v>
      </c>
      <c r="AJ253" s="4">
        <v>2</v>
      </c>
      <c r="AK253" s="4">
        <v>8</v>
      </c>
      <c r="AL253" s="4">
        <v>1</v>
      </c>
      <c r="AM253" s="4">
        <v>5</v>
      </c>
      <c r="AN253" s="4">
        <v>0</v>
      </c>
      <c r="AO253" s="4">
        <v>0</v>
      </c>
      <c r="AP253" s="3" t="s">
        <v>58</v>
      </c>
      <c r="AQ253" s="3" t="s">
        <v>58</v>
      </c>
      <c r="AS253" s="6" t="str">
        <f>HYPERLINK("https://creighton-primo.hosted.exlibrisgroup.com/primo-explore/search?tab=default_tab&amp;search_scope=EVERYTHING&amp;vid=01CRU&amp;lang=en_US&amp;offset=0&amp;query=any,contains,991004777919702656","Catalog Record")</f>
        <v>Catalog Record</v>
      </c>
      <c r="AT253" s="6" t="str">
        <f>HYPERLINK("http://www.worldcat.org/oclc/5101723","WorldCat Record")</f>
        <v>WorldCat Record</v>
      </c>
      <c r="AU253" s="3" t="s">
        <v>3108</v>
      </c>
      <c r="AV253" s="3" t="s">
        <v>3109</v>
      </c>
      <c r="AW253" s="3" t="s">
        <v>3110</v>
      </c>
      <c r="AX253" s="3" t="s">
        <v>3110</v>
      </c>
      <c r="AY253" s="3" t="s">
        <v>3111</v>
      </c>
      <c r="AZ253" s="3" t="s">
        <v>73</v>
      </c>
      <c r="BB253" s="3" t="s">
        <v>3112</v>
      </c>
      <c r="BC253" s="3" t="s">
        <v>3113</v>
      </c>
      <c r="BD253" s="3" t="s">
        <v>3114</v>
      </c>
    </row>
    <row r="254" spans="1:56" ht="31.5" customHeight="1" x14ac:dyDescent="0.25">
      <c r="A254" s="7" t="s">
        <v>58</v>
      </c>
      <c r="B254" s="2" t="s">
        <v>3115</v>
      </c>
      <c r="C254" s="2" t="s">
        <v>3116</v>
      </c>
      <c r="D254" s="2" t="s">
        <v>3117</v>
      </c>
      <c r="F254" s="3" t="s">
        <v>58</v>
      </c>
      <c r="G254" s="3" t="s">
        <v>59</v>
      </c>
      <c r="H254" s="3" t="s">
        <v>58</v>
      </c>
      <c r="I254" s="3" t="s">
        <v>58</v>
      </c>
      <c r="J254" s="3" t="s">
        <v>60</v>
      </c>
      <c r="L254" s="2" t="s">
        <v>3118</v>
      </c>
      <c r="M254" s="3" t="s">
        <v>2117</v>
      </c>
      <c r="O254" s="3" t="s">
        <v>63</v>
      </c>
      <c r="P254" s="3" t="s">
        <v>129</v>
      </c>
      <c r="Q254" s="2" t="s">
        <v>3119</v>
      </c>
      <c r="R254" s="3" t="s">
        <v>65</v>
      </c>
      <c r="S254" s="4">
        <v>3</v>
      </c>
      <c r="T254" s="4">
        <v>3</v>
      </c>
      <c r="U254" s="5" t="s">
        <v>3120</v>
      </c>
      <c r="V254" s="5" t="s">
        <v>3120</v>
      </c>
      <c r="W254" s="5" t="s">
        <v>2091</v>
      </c>
      <c r="X254" s="5" t="s">
        <v>2091</v>
      </c>
      <c r="Y254" s="4">
        <v>563</v>
      </c>
      <c r="Z254" s="4">
        <v>438</v>
      </c>
      <c r="AA254" s="4">
        <v>443</v>
      </c>
      <c r="AB254" s="4">
        <v>4</v>
      </c>
      <c r="AC254" s="4">
        <v>4</v>
      </c>
      <c r="AD254" s="4">
        <v>15</v>
      </c>
      <c r="AE254" s="4">
        <v>15</v>
      </c>
      <c r="AF254" s="4">
        <v>3</v>
      </c>
      <c r="AG254" s="4">
        <v>3</v>
      </c>
      <c r="AH254" s="4">
        <v>5</v>
      </c>
      <c r="AI254" s="4">
        <v>5</v>
      </c>
      <c r="AJ254" s="4">
        <v>7</v>
      </c>
      <c r="AK254" s="4">
        <v>7</v>
      </c>
      <c r="AL254" s="4">
        <v>3</v>
      </c>
      <c r="AM254" s="4">
        <v>3</v>
      </c>
      <c r="AN254" s="4">
        <v>0</v>
      </c>
      <c r="AO254" s="4">
        <v>0</v>
      </c>
      <c r="AP254" s="3" t="s">
        <v>58</v>
      </c>
      <c r="AQ254" s="3" t="s">
        <v>68</v>
      </c>
      <c r="AR254" s="6" t="str">
        <f>HYPERLINK("http://catalog.hathitrust.org/Record/000174660","HathiTrust Record")</f>
        <v>HathiTrust Record</v>
      </c>
      <c r="AS254" s="6" t="str">
        <f>HYPERLINK("https://creighton-primo.hosted.exlibrisgroup.com/primo-explore/search?tab=default_tab&amp;search_scope=EVERYTHING&amp;vid=01CRU&amp;lang=en_US&amp;offset=0&amp;query=any,contains,991004550749702656","Catalog Record")</f>
        <v>Catalog Record</v>
      </c>
      <c r="AT254" s="6" t="str">
        <f>HYPERLINK("http://www.worldcat.org/oclc/3933662","WorldCat Record")</f>
        <v>WorldCat Record</v>
      </c>
      <c r="AU254" s="3" t="s">
        <v>3121</v>
      </c>
      <c r="AV254" s="3" t="s">
        <v>3122</v>
      </c>
      <c r="AW254" s="3" t="s">
        <v>3123</v>
      </c>
      <c r="AX254" s="3" t="s">
        <v>3123</v>
      </c>
      <c r="AY254" s="3" t="s">
        <v>3124</v>
      </c>
      <c r="AZ254" s="3" t="s">
        <v>73</v>
      </c>
      <c r="BB254" s="3" t="s">
        <v>3125</v>
      </c>
      <c r="BC254" s="3" t="s">
        <v>3126</v>
      </c>
      <c r="BD254" s="3" t="s">
        <v>3127</v>
      </c>
    </row>
    <row r="255" spans="1:56" ht="31.5" customHeight="1" x14ac:dyDescent="0.25">
      <c r="A255" s="7" t="s">
        <v>58</v>
      </c>
      <c r="B255" s="2" t="s">
        <v>3128</v>
      </c>
      <c r="C255" s="2" t="s">
        <v>3129</v>
      </c>
      <c r="D255" s="2" t="s">
        <v>3130</v>
      </c>
      <c r="F255" s="3" t="s">
        <v>58</v>
      </c>
      <c r="G255" s="3" t="s">
        <v>59</v>
      </c>
      <c r="H255" s="3" t="s">
        <v>58</v>
      </c>
      <c r="I255" s="3" t="s">
        <v>58</v>
      </c>
      <c r="J255" s="3" t="s">
        <v>60</v>
      </c>
      <c r="K255" s="2" t="s">
        <v>3131</v>
      </c>
      <c r="L255" s="2" t="s">
        <v>3132</v>
      </c>
      <c r="M255" s="3" t="s">
        <v>113</v>
      </c>
      <c r="O255" s="3" t="s">
        <v>63</v>
      </c>
      <c r="P255" s="3" t="s">
        <v>3133</v>
      </c>
      <c r="Q255" s="2" t="s">
        <v>3134</v>
      </c>
      <c r="R255" s="3" t="s">
        <v>65</v>
      </c>
      <c r="S255" s="4">
        <v>1</v>
      </c>
      <c r="T255" s="4">
        <v>1</v>
      </c>
      <c r="U255" s="5" t="s">
        <v>3135</v>
      </c>
      <c r="V255" s="5" t="s">
        <v>3135</v>
      </c>
      <c r="W255" s="5" t="s">
        <v>3136</v>
      </c>
      <c r="X255" s="5" t="s">
        <v>3136</v>
      </c>
      <c r="Y255" s="4">
        <v>161</v>
      </c>
      <c r="Z255" s="4">
        <v>119</v>
      </c>
      <c r="AA255" s="4">
        <v>147</v>
      </c>
      <c r="AB255" s="4">
        <v>3</v>
      </c>
      <c r="AC255" s="4">
        <v>3</v>
      </c>
      <c r="AD255" s="4">
        <v>10</v>
      </c>
      <c r="AE255" s="4">
        <v>12</v>
      </c>
      <c r="AF255" s="4">
        <v>4</v>
      </c>
      <c r="AG255" s="4">
        <v>5</v>
      </c>
      <c r="AH255" s="4">
        <v>2</v>
      </c>
      <c r="AI255" s="4">
        <v>3</v>
      </c>
      <c r="AJ255" s="4">
        <v>6</v>
      </c>
      <c r="AK255" s="4">
        <v>7</v>
      </c>
      <c r="AL255" s="4">
        <v>2</v>
      </c>
      <c r="AM255" s="4">
        <v>2</v>
      </c>
      <c r="AN255" s="4">
        <v>0</v>
      </c>
      <c r="AO255" s="4">
        <v>0</v>
      </c>
      <c r="AP255" s="3" t="s">
        <v>58</v>
      </c>
      <c r="AQ255" s="3" t="s">
        <v>58</v>
      </c>
      <c r="AS255" s="6" t="str">
        <f>HYPERLINK("https://creighton-primo.hosted.exlibrisgroup.com/primo-explore/search?tab=default_tab&amp;search_scope=EVERYTHING&amp;vid=01CRU&amp;lang=en_US&amp;offset=0&amp;query=any,contains,991004251029702656","Catalog Record")</f>
        <v>Catalog Record</v>
      </c>
      <c r="AT255" s="6" t="str">
        <f>HYPERLINK("http://www.worldcat.org/oclc/51098161","WorldCat Record")</f>
        <v>WorldCat Record</v>
      </c>
      <c r="AU255" s="3" t="s">
        <v>3137</v>
      </c>
      <c r="AV255" s="3" t="s">
        <v>3138</v>
      </c>
      <c r="AW255" s="3" t="s">
        <v>3139</v>
      </c>
      <c r="AX255" s="3" t="s">
        <v>3139</v>
      </c>
      <c r="AY255" s="3" t="s">
        <v>3140</v>
      </c>
      <c r="AZ255" s="3" t="s">
        <v>73</v>
      </c>
      <c r="BB255" s="3" t="s">
        <v>3141</v>
      </c>
      <c r="BC255" s="3" t="s">
        <v>3142</v>
      </c>
      <c r="BD255" s="3" t="s">
        <v>3143</v>
      </c>
    </row>
    <row r="256" spans="1:56" ht="31.5" customHeight="1" x14ac:dyDescent="0.25">
      <c r="A256" s="7" t="s">
        <v>58</v>
      </c>
      <c r="B256" s="2" t="s">
        <v>3144</v>
      </c>
      <c r="C256" s="2" t="s">
        <v>3145</v>
      </c>
      <c r="D256" s="2" t="s">
        <v>3146</v>
      </c>
      <c r="F256" s="3" t="s">
        <v>58</v>
      </c>
      <c r="G256" s="3" t="s">
        <v>59</v>
      </c>
      <c r="H256" s="3" t="s">
        <v>58</v>
      </c>
      <c r="I256" s="3" t="s">
        <v>58</v>
      </c>
      <c r="J256" s="3" t="s">
        <v>60</v>
      </c>
      <c r="K256" s="2" t="s">
        <v>3147</v>
      </c>
      <c r="L256" s="2" t="s">
        <v>3148</v>
      </c>
      <c r="M256" s="3" t="s">
        <v>3149</v>
      </c>
      <c r="O256" s="3" t="s">
        <v>63</v>
      </c>
      <c r="P256" s="3" t="s">
        <v>64</v>
      </c>
      <c r="R256" s="3" t="s">
        <v>65</v>
      </c>
      <c r="S256" s="4">
        <v>2</v>
      </c>
      <c r="T256" s="4">
        <v>2</v>
      </c>
      <c r="U256" s="5" t="s">
        <v>3150</v>
      </c>
      <c r="V256" s="5" t="s">
        <v>3150</v>
      </c>
      <c r="W256" s="5" t="s">
        <v>3151</v>
      </c>
      <c r="X256" s="5" t="s">
        <v>3151</v>
      </c>
      <c r="Y256" s="4">
        <v>110</v>
      </c>
      <c r="Z256" s="4">
        <v>89</v>
      </c>
      <c r="AA256" s="4">
        <v>168</v>
      </c>
      <c r="AB256" s="4">
        <v>2</v>
      </c>
      <c r="AC256" s="4">
        <v>2</v>
      </c>
      <c r="AD256" s="4">
        <v>2</v>
      </c>
      <c r="AE256" s="4">
        <v>4</v>
      </c>
      <c r="AF256" s="4">
        <v>0</v>
      </c>
      <c r="AG256" s="4">
        <v>0</v>
      </c>
      <c r="AH256" s="4">
        <v>0</v>
      </c>
      <c r="AI256" s="4">
        <v>0</v>
      </c>
      <c r="AJ256" s="4">
        <v>1</v>
      </c>
      <c r="AK256" s="4">
        <v>3</v>
      </c>
      <c r="AL256" s="4">
        <v>1</v>
      </c>
      <c r="AM256" s="4">
        <v>1</v>
      </c>
      <c r="AN256" s="4">
        <v>0</v>
      </c>
      <c r="AO256" s="4">
        <v>0</v>
      </c>
      <c r="AP256" s="3" t="s">
        <v>68</v>
      </c>
      <c r="AQ256" s="3" t="s">
        <v>58</v>
      </c>
      <c r="AR256" s="6" t="str">
        <f>HYPERLINK("http://catalog.hathitrust.org/Record/000159168","HathiTrust Record")</f>
        <v>HathiTrust Record</v>
      </c>
      <c r="AS256" s="6" t="str">
        <f>HYPERLINK("https://creighton-primo.hosted.exlibrisgroup.com/primo-explore/search?tab=default_tab&amp;search_scope=EVERYTHING&amp;vid=01CRU&amp;lang=en_US&amp;offset=0&amp;query=any,contains,991003854709702656","Catalog Record")</f>
        <v>Catalog Record</v>
      </c>
      <c r="AT256" s="6" t="str">
        <f>HYPERLINK("http://www.worldcat.org/oclc/1651890","WorldCat Record")</f>
        <v>WorldCat Record</v>
      </c>
      <c r="AU256" s="3" t="s">
        <v>3152</v>
      </c>
      <c r="AV256" s="3" t="s">
        <v>3153</v>
      </c>
      <c r="AW256" s="3" t="s">
        <v>3154</v>
      </c>
      <c r="AX256" s="3" t="s">
        <v>3154</v>
      </c>
      <c r="AY256" s="3" t="s">
        <v>3155</v>
      </c>
      <c r="AZ256" s="3" t="s">
        <v>73</v>
      </c>
      <c r="BC256" s="3" t="s">
        <v>3156</v>
      </c>
      <c r="BD256" s="3" t="s">
        <v>3157</v>
      </c>
    </row>
    <row r="257" spans="1:56" ht="31.5" customHeight="1" x14ac:dyDescent="0.25">
      <c r="A257" s="7" t="s">
        <v>58</v>
      </c>
      <c r="B257" s="2" t="s">
        <v>3158</v>
      </c>
      <c r="C257" s="2" t="s">
        <v>3159</v>
      </c>
      <c r="D257" s="2" t="s">
        <v>3160</v>
      </c>
      <c r="F257" s="3" t="s">
        <v>58</v>
      </c>
      <c r="G257" s="3" t="s">
        <v>59</v>
      </c>
      <c r="H257" s="3" t="s">
        <v>58</v>
      </c>
      <c r="I257" s="3" t="s">
        <v>58</v>
      </c>
      <c r="J257" s="3" t="s">
        <v>60</v>
      </c>
      <c r="K257" s="2" t="s">
        <v>3161</v>
      </c>
      <c r="L257" s="2" t="s">
        <v>3162</v>
      </c>
      <c r="M257" s="3" t="s">
        <v>944</v>
      </c>
      <c r="O257" s="3" t="s">
        <v>63</v>
      </c>
      <c r="P257" s="3" t="s">
        <v>64</v>
      </c>
      <c r="R257" s="3" t="s">
        <v>65</v>
      </c>
      <c r="S257" s="4">
        <v>5</v>
      </c>
      <c r="T257" s="4">
        <v>5</v>
      </c>
      <c r="U257" s="5" t="s">
        <v>3163</v>
      </c>
      <c r="V257" s="5" t="s">
        <v>3163</v>
      </c>
      <c r="W257" s="5" t="s">
        <v>3164</v>
      </c>
      <c r="X257" s="5" t="s">
        <v>3164</v>
      </c>
      <c r="Y257" s="4">
        <v>301</v>
      </c>
      <c r="Z257" s="4">
        <v>213</v>
      </c>
      <c r="AA257" s="4">
        <v>353</v>
      </c>
      <c r="AB257" s="4">
        <v>2</v>
      </c>
      <c r="AC257" s="4">
        <v>3</v>
      </c>
      <c r="AD257" s="4">
        <v>8</v>
      </c>
      <c r="AE257" s="4">
        <v>13</v>
      </c>
      <c r="AF257" s="4">
        <v>1</v>
      </c>
      <c r="AG257" s="4">
        <v>2</v>
      </c>
      <c r="AH257" s="4">
        <v>4</v>
      </c>
      <c r="AI257" s="4">
        <v>4</v>
      </c>
      <c r="AJ257" s="4">
        <v>3</v>
      </c>
      <c r="AK257" s="4">
        <v>6</v>
      </c>
      <c r="AL257" s="4">
        <v>1</v>
      </c>
      <c r="AM257" s="4">
        <v>2</v>
      </c>
      <c r="AN257" s="4">
        <v>0</v>
      </c>
      <c r="AO257" s="4">
        <v>0</v>
      </c>
      <c r="AP257" s="3" t="s">
        <v>58</v>
      </c>
      <c r="AQ257" s="3" t="s">
        <v>68</v>
      </c>
      <c r="AR257" s="6" t="str">
        <f>HYPERLINK("http://catalog.hathitrust.org/Record/002165345","HathiTrust Record")</f>
        <v>HathiTrust Record</v>
      </c>
      <c r="AS257" s="6" t="str">
        <f>HYPERLINK("https://creighton-primo.hosted.exlibrisgroup.com/primo-explore/search?tab=default_tab&amp;search_scope=EVERYTHING&amp;vid=01CRU&amp;lang=en_US&amp;offset=0&amp;query=any,contains,991001475499702656","Catalog Record")</f>
        <v>Catalog Record</v>
      </c>
      <c r="AT257" s="6" t="str">
        <f>HYPERLINK("http://www.worldcat.org/oclc/19556312","WorldCat Record")</f>
        <v>WorldCat Record</v>
      </c>
      <c r="AU257" s="3" t="s">
        <v>3165</v>
      </c>
      <c r="AV257" s="3" t="s">
        <v>3166</v>
      </c>
      <c r="AW257" s="3" t="s">
        <v>3167</v>
      </c>
      <c r="AX257" s="3" t="s">
        <v>3167</v>
      </c>
      <c r="AY257" s="3" t="s">
        <v>3168</v>
      </c>
      <c r="AZ257" s="3" t="s">
        <v>73</v>
      </c>
      <c r="BB257" s="3" t="s">
        <v>3169</v>
      </c>
      <c r="BC257" s="3" t="s">
        <v>3170</v>
      </c>
      <c r="BD257" s="3" t="s">
        <v>3171</v>
      </c>
    </row>
    <row r="258" spans="1:56" ht="31.5" customHeight="1" x14ac:dyDescent="0.25">
      <c r="A258" s="7" t="s">
        <v>58</v>
      </c>
      <c r="B258" s="2" t="s">
        <v>3172</v>
      </c>
      <c r="C258" s="2" t="s">
        <v>3173</v>
      </c>
      <c r="D258" s="2" t="s">
        <v>3174</v>
      </c>
      <c r="F258" s="3" t="s">
        <v>58</v>
      </c>
      <c r="G258" s="3" t="s">
        <v>59</v>
      </c>
      <c r="H258" s="3" t="s">
        <v>58</v>
      </c>
      <c r="I258" s="3" t="s">
        <v>58</v>
      </c>
      <c r="J258" s="3" t="s">
        <v>60</v>
      </c>
      <c r="K258" s="2" t="s">
        <v>3175</v>
      </c>
      <c r="L258" s="2" t="s">
        <v>3176</v>
      </c>
      <c r="M258" s="3" t="s">
        <v>144</v>
      </c>
      <c r="O258" s="3" t="s">
        <v>63</v>
      </c>
      <c r="P258" s="3" t="s">
        <v>360</v>
      </c>
      <c r="R258" s="3" t="s">
        <v>65</v>
      </c>
      <c r="S258" s="4">
        <v>4</v>
      </c>
      <c r="T258" s="4">
        <v>4</v>
      </c>
      <c r="U258" s="5" t="s">
        <v>3177</v>
      </c>
      <c r="V258" s="5" t="s">
        <v>3177</v>
      </c>
      <c r="W258" s="5" t="s">
        <v>1658</v>
      </c>
      <c r="X258" s="5" t="s">
        <v>1658</v>
      </c>
      <c r="Y258" s="4">
        <v>499</v>
      </c>
      <c r="Z258" s="4">
        <v>467</v>
      </c>
      <c r="AA258" s="4">
        <v>475</v>
      </c>
      <c r="AB258" s="4">
        <v>3</v>
      </c>
      <c r="AC258" s="4">
        <v>3</v>
      </c>
      <c r="AD258" s="4">
        <v>4</v>
      </c>
      <c r="AE258" s="4">
        <v>4</v>
      </c>
      <c r="AF258" s="4">
        <v>1</v>
      </c>
      <c r="AG258" s="4">
        <v>1</v>
      </c>
      <c r="AH258" s="4">
        <v>1</v>
      </c>
      <c r="AI258" s="4">
        <v>1</v>
      </c>
      <c r="AJ258" s="4">
        <v>2</v>
      </c>
      <c r="AK258" s="4">
        <v>2</v>
      </c>
      <c r="AL258" s="4">
        <v>1</v>
      </c>
      <c r="AM258" s="4">
        <v>1</v>
      </c>
      <c r="AN258" s="4">
        <v>0</v>
      </c>
      <c r="AO258" s="4">
        <v>0</v>
      </c>
      <c r="AP258" s="3" t="s">
        <v>58</v>
      </c>
      <c r="AQ258" s="3" t="s">
        <v>68</v>
      </c>
      <c r="AR258" s="6" t="str">
        <f>HYPERLINK("http://catalog.hathitrust.org/Record/000145422","HathiTrust Record")</f>
        <v>HathiTrust Record</v>
      </c>
      <c r="AS258" s="6" t="str">
        <f>HYPERLINK("https://creighton-primo.hosted.exlibrisgroup.com/primo-explore/search?tab=default_tab&amp;search_scope=EVERYTHING&amp;vid=01CRU&amp;lang=en_US&amp;offset=0&amp;query=any,contains,991005117149702656","Catalog Record")</f>
        <v>Catalog Record</v>
      </c>
      <c r="AT258" s="6" t="str">
        <f>HYPERLINK("http://www.worldcat.org/oclc/7463959","WorldCat Record")</f>
        <v>WorldCat Record</v>
      </c>
      <c r="AU258" s="3" t="s">
        <v>3178</v>
      </c>
      <c r="AV258" s="3" t="s">
        <v>3179</v>
      </c>
      <c r="AW258" s="3" t="s">
        <v>3180</v>
      </c>
      <c r="AX258" s="3" t="s">
        <v>3180</v>
      </c>
      <c r="AY258" s="3" t="s">
        <v>3181</v>
      </c>
      <c r="AZ258" s="3" t="s">
        <v>73</v>
      </c>
      <c r="BB258" s="3" t="s">
        <v>3182</v>
      </c>
      <c r="BC258" s="3" t="s">
        <v>3183</v>
      </c>
      <c r="BD258" s="3" t="s">
        <v>3184</v>
      </c>
    </row>
    <row r="259" spans="1:56" ht="31.5" customHeight="1" x14ac:dyDescent="0.25">
      <c r="A259" s="7" t="s">
        <v>58</v>
      </c>
      <c r="B259" s="2" t="s">
        <v>3185</v>
      </c>
      <c r="C259" s="2" t="s">
        <v>3186</v>
      </c>
      <c r="D259" s="2" t="s">
        <v>3187</v>
      </c>
      <c r="F259" s="3" t="s">
        <v>58</v>
      </c>
      <c r="G259" s="3" t="s">
        <v>59</v>
      </c>
      <c r="H259" s="3" t="s">
        <v>58</v>
      </c>
      <c r="I259" s="3" t="s">
        <v>58</v>
      </c>
      <c r="J259" s="3" t="s">
        <v>60</v>
      </c>
      <c r="K259" s="2" t="s">
        <v>3188</v>
      </c>
      <c r="L259" s="2" t="s">
        <v>3189</v>
      </c>
      <c r="M259" s="3" t="s">
        <v>474</v>
      </c>
      <c r="O259" s="3" t="s">
        <v>63</v>
      </c>
      <c r="P259" s="3" t="s">
        <v>64</v>
      </c>
      <c r="R259" s="3" t="s">
        <v>65</v>
      </c>
      <c r="S259" s="4">
        <v>3</v>
      </c>
      <c r="T259" s="4">
        <v>3</v>
      </c>
      <c r="U259" s="5" t="s">
        <v>3190</v>
      </c>
      <c r="V259" s="5" t="s">
        <v>3190</v>
      </c>
      <c r="W259" s="5" t="s">
        <v>3191</v>
      </c>
      <c r="X259" s="5" t="s">
        <v>3191</v>
      </c>
      <c r="Y259" s="4">
        <v>878</v>
      </c>
      <c r="Z259" s="4">
        <v>826</v>
      </c>
      <c r="AA259" s="4">
        <v>859</v>
      </c>
      <c r="AB259" s="4">
        <v>8</v>
      </c>
      <c r="AC259" s="4">
        <v>8</v>
      </c>
      <c r="AD259" s="4">
        <v>19</v>
      </c>
      <c r="AE259" s="4">
        <v>20</v>
      </c>
      <c r="AF259" s="4">
        <v>6</v>
      </c>
      <c r="AG259" s="4">
        <v>6</v>
      </c>
      <c r="AH259" s="4">
        <v>3</v>
      </c>
      <c r="AI259" s="4">
        <v>3</v>
      </c>
      <c r="AJ259" s="4">
        <v>9</v>
      </c>
      <c r="AK259" s="4">
        <v>10</v>
      </c>
      <c r="AL259" s="4">
        <v>5</v>
      </c>
      <c r="AM259" s="4">
        <v>5</v>
      </c>
      <c r="AN259" s="4">
        <v>0</v>
      </c>
      <c r="AO259" s="4">
        <v>0</v>
      </c>
      <c r="AP259" s="3" t="s">
        <v>58</v>
      </c>
      <c r="AQ259" s="3" t="s">
        <v>68</v>
      </c>
      <c r="AR259" s="6" t="str">
        <f>HYPERLINK("http://catalog.hathitrust.org/Record/001476788","HathiTrust Record")</f>
        <v>HathiTrust Record</v>
      </c>
      <c r="AS259" s="6" t="str">
        <f>HYPERLINK("https://creighton-primo.hosted.exlibrisgroup.com/primo-explore/search?tab=default_tab&amp;search_scope=EVERYTHING&amp;vid=01CRU&amp;lang=en_US&amp;offset=0&amp;query=any,contains,991002929389702656","Catalog Record")</f>
        <v>Catalog Record</v>
      </c>
      <c r="AT259" s="6" t="str">
        <f>HYPERLINK("http://www.worldcat.org/oclc/530403","WorldCat Record")</f>
        <v>WorldCat Record</v>
      </c>
      <c r="AU259" s="3" t="s">
        <v>3192</v>
      </c>
      <c r="AV259" s="3" t="s">
        <v>3193</v>
      </c>
      <c r="AW259" s="3" t="s">
        <v>3194</v>
      </c>
      <c r="AX259" s="3" t="s">
        <v>3194</v>
      </c>
      <c r="AY259" s="3" t="s">
        <v>3195</v>
      </c>
      <c r="AZ259" s="3" t="s">
        <v>73</v>
      </c>
      <c r="BC259" s="3" t="s">
        <v>3196</v>
      </c>
      <c r="BD259" s="3" t="s">
        <v>3197</v>
      </c>
    </row>
    <row r="260" spans="1:56" ht="31.5" customHeight="1" x14ac:dyDescent="0.25">
      <c r="A260" s="7" t="s">
        <v>58</v>
      </c>
      <c r="B260" s="2" t="s">
        <v>3198</v>
      </c>
      <c r="C260" s="2" t="s">
        <v>3199</v>
      </c>
      <c r="D260" s="2" t="s">
        <v>3200</v>
      </c>
      <c r="F260" s="3" t="s">
        <v>58</v>
      </c>
      <c r="G260" s="3" t="s">
        <v>59</v>
      </c>
      <c r="H260" s="3" t="s">
        <v>58</v>
      </c>
      <c r="I260" s="3" t="s">
        <v>58</v>
      </c>
      <c r="J260" s="3" t="s">
        <v>60</v>
      </c>
      <c r="K260" s="2" t="s">
        <v>3201</v>
      </c>
      <c r="L260" s="2" t="s">
        <v>3202</v>
      </c>
      <c r="M260" s="3" t="s">
        <v>537</v>
      </c>
      <c r="O260" s="3" t="s">
        <v>63</v>
      </c>
      <c r="P260" s="3" t="s">
        <v>83</v>
      </c>
      <c r="Q260" s="2" t="s">
        <v>3203</v>
      </c>
      <c r="R260" s="3" t="s">
        <v>65</v>
      </c>
      <c r="S260" s="4">
        <v>7</v>
      </c>
      <c r="T260" s="4">
        <v>7</v>
      </c>
      <c r="U260" s="5" t="s">
        <v>203</v>
      </c>
      <c r="V260" s="5" t="s">
        <v>203</v>
      </c>
      <c r="W260" s="5" t="s">
        <v>539</v>
      </c>
      <c r="X260" s="5" t="s">
        <v>539</v>
      </c>
      <c r="Y260" s="4">
        <v>608</v>
      </c>
      <c r="Z260" s="4">
        <v>524</v>
      </c>
      <c r="AA260" s="4">
        <v>547</v>
      </c>
      <c r="AB260" s="4">
        <v>6</v>
      </c>
      <c r="AC260" s="4">
        <v>6</v>
      </c>
      <c r="AD260" s="4">
        <v>23</v>
      </c>
      <c r="AE260" s="4">
        <v>23</v>
      </c>
      <c r="AF260" s="4">
        <v>10</v>
      </c>
      <c r="AG260" s="4">
        <v>10</v>
      </c>
      <c r="AH260" s="4">
        <v>4</v>
      </c>
      <c r="AI260" s="4">
        <v>4</v>
      </c>
      <c r="AJ260" s="4">
        <v>9</v>
      </c>
      <c r="AK260" s="4">
        <v>9</v>
      </c>
      <c r="AL260" s="4">
        <v>5</v>
      </c>
      <c r="AM260" s="4">
        <v>5</v>
      </c>
      <c r="AN260" s="4">
        <v>0</v>
      </c>
      <c r="AO260" s="4">
        <v>0</v>
      </c>
      <c r="AP260" s="3" t="s">
        <v>58</v>
      </c>
      <c r="AQ260" s="3" t="s">
        <v>58</v>
      </c>
      <c r="AS260" s="6" t="str">
        <f>HYPERLINK("https://creighton-primo.hosted.exlibrisgroup.com/primo-explore/search?tab=default_tab&amp;search_scope=EVERYTHING&amp;vid=01CRU&amp;lang=en_US&amp;offset=0&amp;query=any,contains,991001755019702656","Catalog Record")</f>
        <v>Catalog Record</v>
      </c>
      <c r="AT260" s="6" t="str">
        <f>HYPERLINK("http://www.worldcat.org/oclc/22207724","WorldCat Record")</f>
        <v>WorldCat Record</v>
      </c>
      <c r="AU260" s="3" t="s">
        <v>3204</v>
      </c>
      <c r="AV260" s="3" t="s">
        <v>3205</v>
      </c>
      <c r="AW260" s="3" t="s">
        <v>3206</v>
      </c>
      <c r="AX260" s="3" t="s">
        <v>3206</v>
      </c>
      <c r="AY260" s="3" t="s">
        <v>3207</v>
      </c>
      <c r="AZ260" s="3" t="s">
        <v>73</v>
      </c>
      <c r="BB260" s="3" t="s">
        <v>3208</v>
      </c>
      <c r="BC260" s="3" t="s">
        <v>3209</v>
      </c>
      <c r="BD260" s="3" t="s">
        <v>3210</v>
      </c>
    </row>
    <row r="261" spans="1:56" ht="31.5" customHeight="1" x14ac:dyDescent="0.25">
      <c r="A261" s="7" t="s">
        <v>58</v>
      </c>
      <c r="B261" s="2" t="s">
        <v>3211</v>
      </c>
      <c r="C261" s="2" t="s">
        <v>3212</v>
      </c>
      <c r="D261" s="2" t="s">
        <v>3213</v>
      </c>
      <c r="F261" s="3" t="s">
        <v>58</v>
      </c>
      <c r="G261" s="3" t="s">
        <v>59</v>
      </c>
      <c r="H261" s="3" t="s">
        <v>58</v>
      </c>
      <c r="I261" s="3" t="s">
        <v>58</v>
      </c>
      <c r="J261" s="3" t="s">
        <v>60</v>
      </c>
      <c r="K261" s="2" t="s">
        <v>3214</v>
      </c>
      <c r="L261" s="2" t="s">
        <v>3215</v>
      </c>
      <c r="M261" s="3" t="s">
        <v>1536</v>
      </c>
      <c r="O261" s="3" t="s">
        <v>63</v>
      </c>
      <c r="P261" s="3" t="s">
        <v>1789</v>
      </c>
      <c r="Q261" s="2" t="s">
        <v>1790</v>
      </c>
      <c r="R261" s="3" t="s">
        <v>65</v>
      </c>
      <c r="S261" s="4">
        <v>3</v>
      </c>
      <c r="T261" s="4">
        <v>3</v>
      </c>
      <c r="U261" s="5" t="s">
        <v>3190</v>
      </c>
      <c r="V261" s="5" t="s">
        <v>3190</v>
      </c>
      <c r="W261" s="5" t="s">
        <v>3216</v>
      </c>
      <c r="X261" s="5" t="s">
        <v>3216</v>
      </c>
      <c r="Y261" s="4">
        <v>480</v>
      </c>
      <c r="Z261" s="4">
        <v>437</v>
      </c>
      <c r="AA261" s="4">
        <v>446</v>
      </c>
      <c r="AB261" s="4">
        <v>2</v>
      </c>
      <c r="AC261" s="4">
        <v>2</v>
      </c>
      <c r="AD261" s="4">
        <v>11</v>
      </c>
      <c r="AE261" s="4">
        <v>11</v>
      </c>
      <c r="AF261" s="4">
        <v>5</v>
      </c>
      <c r="AG261" s="4">
        <v>5</v>
      </c>
      <c r="AH261" s="4">
        <v>2</v>
      </c>
      <c r="AI261" s="4">
        <v>2</v>
      </c>
      <c r="AJ261" s="4">
        <v>7</v>
      </c>
      <c r="AK261" s="4">
        <v>7</v>
      </c>
      <c r="AL261" s="4">
        <v>1</v>
      </c>
      <c r="AM261" s="4">
        <v>1</v>
      </c>
      <c r="AN261" s="4">
        <v>0</v>
      </c>
      <c r="AO261" s="4">
        <v>0</v>
      </c>
      <c r="AP261" s="3" t="s">
        <v>58</v>
      </c>
      <c r="AQ261" s="3" t="s">
        <v>68</v>
      </c>
      <c r="AR261" s="6" t="str">
        <f>HYPERLINK("http://catalog.hathitrust.org/Record/001476794","HathiTrust Record")</f>
        <v>HathiTrust Record</v>
      </c>
      <c r="AS261" s="6" t="str">
        <f>HYPERLINK("https://creighton-primo.hosted.exlibrisgroup.com/primo-explore/search?tab=default_tab&amp;search_scope=EVERYTHING&amp;vid=01CRU&amp;lang=en_US&amp;offset=0&amp;query=any,contains,991002966289702656","Catalog Record")</f>
        <v>Catalog Record</v>
      </c>
      <c r="AT261" s="6" t="str">
        <f>HYPERLINK("http://www.worldcat.org/oclc/546064","WorldCat Record")</f>
        <v>WorldCat Record</v>
      </c>
      <c r="AU261" s="3" t="s">
        <v>3217</v>
      </c>
      <c r="AV261" s="3" t="s">
        <v>3218</v>
      </c>
      <c r="AW261" s="3" t="s">
        <v>3219</v>
      </c>
      <c r="AX261" s="3" t="s">
        <v>3219</v>
      </c>
      <c r="AY261" s="3" t="s">
        <v>3220</v>
      </c>
      <c r="AZ261" s="3" t="s">
        <v>73</v>
      </c>
      <c r="BC261" s="3" t="s">
        <v>3221</v>
      </c>
      <c r="BD261" s="3" t="s">
        <v>3222</v>
      </c>
    </row>
    <row r="262" spans="1:56" ht="31.5" customHeight="1" x14ac:dyDescent="0.25">
      <c r="A262" s="7" t="s">
        <v>58</v>
      </c>
      <c r="B262" s="2" t="s">
        <v>3223</v>
      </c>
      <c r="C262" s="2" t="s">
        <v>3224</v>
      </c>
      <c r="D262" s="2" t="s">
        <v>3225</v>
      </c>
      <c r="F262" s="3" t="s">
        <v>58</v>
      </c>
      <c r="G262" s="3" t="s">
        <v>59</v>
      </c>
      <c r="H262" s="3" t="s">
        <v>58</v>
      </c>
      <c r="I262" s="3" t="s">
        <v>58</v>
      </c>
      <c r="J262" s="3" t="s">
        <v>60</v>
      </c>
      <c r="K262" s="2" t="s">
        <v>3226</v>
      </c>
      <c r="L262" s="2" t="s">
        <v>3227</v>
      </c>
      <c r="M262" s="3" t="s">
        <v>1536</v>
      </c>
      <c r="N262" s="2" t="s">
        <v>2985</v>
      </c>
      <c r="O262" s="3" t="s">
        <v>63</v>
      </c>
      <c r="P262" s="3" t="s">
        <v>129</v>
      </c>
      <c r="Q262" s="2" t="s">
        <v>3228</v>
      </c>
      <c r="R262" s="3" t="s">
        <v>65</v>
      </c>
      <c r="S262" s="4">
        <v>4</v>
      </c>
      <c r="T262" s="4">
        <v>4</v>
      </c>
      <c r="U262" s="5" t="s">
        <v>3229</v>
      </c>
      <c r="V262" s="5" t="s">
        <v>3229</v>
      </c>
      <c r="W262" s="5" t="s">
        <v>3230</v>
      </c>
      <c r="X262" s="5" t="s">
        <v>3230</v>
      </c>
      <c r="Y262" s="4">
        <v>600</v>
      </c>
      <c r="Z262" s="4">
        <v>517</v>
      </c>
      <c r="AA262" s="4">
        <v>669</v>
      </c>
      <c r="AB262" s="4">
        <v>5</v>
      </c>
      <c r="AC262" s="4">
        <v>5</v>
      </c>
      <c r="AD262" s="4">
        <v>18</v>
      </c>
      <c r="AE262" s="4">
        <v>22</v>
      </c>
      <c r="AF262" s="4">
        <v>7</v>
      </c>
      <c r="AG262" s="4">
        <v>10</v>
      </c>
      <c r="AH262" s="4">
        <v>4</v>
      </c>
      <c r="AI262" s="4">
        <v>4</v>
      </c>
      <c r="AJ262" s="4">
        <v>8</v>
      </c>
      <c r="AK262" s="4">
        <v>10</v>
      </c>
      <c r="AL262" s="4">
        <v>4</v>
      </c>
      <c r="AM262" s="4">
        <v>4</v>
      </c>
      <c r="AN262" s="4">
        <v>0</v>
      </c>
      <c r="AO262" s="4">
        <v>0</v>
      </c>
      <c r="AP262" s="3" t="s">
        <v>58</v>
      </c>
      <c r="AQ262" s="3" t="s">
        <v>68</v>
      </c>
      <c r="AR262" s="6" t="str">
        <f>HYPERLINK("http://catalog.hathitrust.org/Record/001483961","HathiTrust Record")</f>
        <v>HathiTrust Record</v>
      </c>
      <c r="AS262" s="6" t="str">
        <f>HYPERLINK("https://creighton-primo.hosted.exlibrisgroup.com/primo-explore/search?tab=default_tab&amp;search_scope=EVERYTHING&amp;vid=01CRU&amp;lang=en_US&amp;offset=0&amp;query=any,contains,991003370159702656","Catalog Record")</f>
        <v>Catalog Record</v>
      </c>
      <c r="AT262" s="6" t="str">
        <f>HYPERLINK("http://www.worldcat.org/oclc/905905","WorldCat Record")</f>
        <v>WorldCat Record</v>
      </c>
      <c r="AU262" s="3" t="s">
        <v>3231</v>
      </c>
      <c r="AV262" s="3" t="s">
        <v>3232</v>
      </c>
      <c r="AW262" s="3" t="s">
        <v>3233</v>
      </c>
      <c r="AX262" s="3" t="s">
        <v>3233</v>
      </c>
      <c r="AY262" s="3" t="s">
        <v>3234</v>
      </c>
      <c r="AZ262" s="3" t="s">
        <v>73</v>
      </c>
      <c r="BC262" s="3" t="s">
        <v>3235</v>
      </c>
      <c r="BD262" s="3" t="s">
        <v>3236</v>
      </c>
    </row>
    <row r="263" spans="1:56" ht="31.5" customHeight="1" x14ac:dyDescent="0.25">
      <c r="A263" s="7" t="s">
        <v>58</v>
      </c>
      <c r="B263" s="2" t="s">
        <v>3237</v>
      </c>
      <c r="C263" s="2" t="s">
        <v>3238</v>
      </c>
      <c r="D263" s="2" t="s">
        <v>3239</v>
      </c>
      <c r="F263" s="3" t="s">
        <v>58</v>
      </c>
      <c r="G263" s="3" t="s">
        <v>59</v>
      </c>
      <c r="H263" s="3" t="s">
        <v>58</v>
      </c>
      <c r="I263" s="3" t="s">
        <v>58</v>
      </c>
      <c r="J263" s="3" t="s">
        <v>60</v>
      </c>
      <c r="K263" s="2" t="s">
        <v>3240</v>
      </c>
      <c r="L263" s="2" t="s">
        <v>3241</v>
      </c>
      <c r="M263" s="3" t="s">
        <v>144</v>
      </c>
      <c r="O263" s="3" t="s">
        <v>63</v>
      </c>
      <c r="P263" s="3" t="s">
        <v>129</v>
      </c>
      <c r="Q263" s="2" t="s">
        <v>3228</v>
      </c>
      <c r="R263" s="3" t="s">
        <v>65</v>
      </c>
      <c r="S263" s="4">
        <v>2</v>
      </c>
      <c r="T263" s="4">
        <v>2</v>
      </c>
      <c r="U263" s="5" t="s">
        <v>3242</v>
      </c>
      <c r="V263" s="5" t="s">
        <v>3242</v>
      </c>
      <c r="W263" s="5" t="s">
        <v>3243</v>
      </c>
      <c r="X263" s="5" t="s">
        <v>3243</v>
      </c>
      <c r="Y263" s="4">
        <v>964</v>
      </c>
      <c r="Z263" s="4">
        <v>855</v>
      </c>
      <c r="AA263" s="4">
        <v>863</v>
      </c>
      <c r="AB263" s="4">
        <v>5</v>
      </c>
      <c r="AC263" s="4">
        <v>5</v>
      </c>
      <c r="AD263" s="4">
        <v>30</v>
      </c>
      <c r="AE263" s="4">
        <v>30</v>
      </c>
      <c r="AF263" s="4">
        <v>10</v>
      </c>
      <c r="AG263" s="4">
        <v>10</v>
      </c>
      <c r="AH263" s="4">
        <v>7</v>
      </c>
      <c r="AI263" s="4">
        <v>7</v>
      </c>
      <c r="AJ263" s="4">
        <v>14</v>
      </c>
      <c r="AK263" s="4">
        <v>14</v>
      </c>
      <c r="AL263" s="4">
        <v>4</v>
      </c>
      <c r="AM263" s="4">
        <v>4</v>
      </c>
      <c r="AN263" s="4">
        <v>0</v>
      </c>
      <c r="AO263" s="4">
        <v>0</v>
      </c>
      <c r="AP263" s="3" t="s">
        <v>58</v>
      </c>
      <c r="AQ263" s="3" t="s">
        <v>68</v>
      </c>
      <c r="AR263" s="6" t="str">
        <f>HYPERLINK("http://catalog.hathitrust.org/Record/000273212","HathiTrust Record")</f>
        <v>HathiTrust Record</v>
      </c>
      <c r="AS263" s="6" t="str">
        <f>HYPERLINK("https://creighton-primo.hosted.exlibrisgroup.com/primo-explore/search?tab=default_tab&amp;search_scope=EVERYTHING&amp;vid=01CRU&amp;lang=en_US&amp;offset=0&amp;query=any,contains,991000018809702656","Catalog Record")</f>
        <v>Catalog Record</v>
      </c>
      <c r="AT263" s="6" t="str">
        <f>HYPERLINK("http://www.worldcat.org/oclc/8554094","WorldCat Record")</f>
        <v>WorldCat Record</v>
      </c>
      <c r="AU263" s="3" t="s">
        <v>3244</v>
      </c>
      <c r="AV263" s="3" t="s">
        <v>3245</v>
      </c>
      <c r="AW263" s="3" t="s">
        <v>3246</v>
      </c>
      <c r="AX263" s="3" t="s">
        <v>3246</v>
      </c>
      <c r="AY263" s="3" t="s">
        <v>3247</v>
      </c>
      <c r="AZ263" s="3" t="s">
        <v>73</v>
      </c>
      <c r="BB263" s="3" t="s">
        <v>3248</v>
      </c>
      <c r="BC263" s="3" t="s">
        <v>3249</v>
      </c>
      <c r="BD263" s="3" t="s">
        <v>3250</v>
      </c>
    </row>
    <row r="264" spans="1:56" ht="31.5" customHeight="1" x14ac:dyDescent="0.25">
      <c r="A264" s="7" t="s">
        <v>58</v>
      </c>
      <c r="B264" s="2" t="s">
        <v>3251</v>
      </c>
      <c r="C264" s="2" t="s">
        <v>3252</v>
      </c>
      <c r="D264" s="2" t="s">
        <v>3253</v>
      </c>
      <c r="F264" s="3" t="s">
        <v>58</v>
      </c>
      <c r="G264" s="3" t="s">
        <v>59</v>
      </c>
      <c r="H264" s="3" t="s">
        <v>58</v>
      </c>
      <c r="I264" s="3" t="s">
        <v>58</v>
      </c>
      <c r="J264" s="3" t="s">
        <v>60</v>
      </c>
      <c r="K264" s="2" t="s">
        <v>3254</v>
      </c>
      <c r="L264" s="2" t="s">
        <v>3255</v>
      </c>
      <c r="M264" s="3" t="s">
        <v>301</v>
      </c>
      <c r="O264" s="3" t="s">
        <v>63</v>
      </c>
      <c r="P264" s="3" t="s">
        <v>186</v>
      </c>
      <c r="R264" s="3" t="s">
        <v>65</v>
      </c>
      <c r="S264" s="4">
        <v>11</v>
      </c>
      <c r="T264" s="4">
        <v>11</v>
      </c>
      <c r="U264" s="5" t="s">
        <v>3256</v>
      </c>
      <c r="V264" s="5" t="s">
        <v>3256</v>
      </c>
      <c r="W264" s="5" t="s">
        <v>3257</v>
      </c>
      <c r="X264" s="5" t="s">
        <v>3257</v>
      </c>
      <c r="Y264" s="4">
        <v>710</v>
      </c>
      <c r="Z264" s="4">
        <v>557</v>
      </c>
      <c r="AA264" s="4">
        <v>614</v>
      </c>
      <c r="AB264" s="4">
        <v>2</v>
      </c>
      <c r="AC264" s="4">
        <v>2</v>
      </c>
      <c r="AD264" s="4">
        <v>20</v>
      </c>
      <c r="AE264" s="4">
        <v>22</v>
      </c>
      <c r="AF264" s="4">
        <v>10</v>
      </c>
      <c r="AG264" s="4">
        <v>11</v>
      </c>
      <c r="AH264" s="4">
        <v>5</v>
      </c>
      <c r="AI264" s="4">
        <v>6</v>
      </c>
      <c r="AJ264" s="4">
        <v>8</v>
      </c>
      <c r="AK264" s="4">
        <v>8</v>
      </c>
      <c r="AL264" s="4">
        <v>1</v>
      </c>
      <c r="AM264" s="4">
        <v>1</v>
      </c>
      <c r="AN264" s="4">
        <v>0</v>
      </c>
      <c r="AO264" s="4">
        <v>0</v>
      </c>
      <c r="AP264" s="3" t="s">
        <v>58</v>
      </c>
      <c r="AQ264" s="3" t="s">
        <v>58</v>
      </c>
      <c r="AS264" s="6" t="str">
        <f>HYPERLINK("https://creighton-primo.hosted.exlibrisgroup.com/primo-explore/search?tab=default_tab&amp;search_scope=EVERYTHING&amp;vid=01CRU&amp;lang=en_US&amp;offset=0&amp;query=any,contains,991001951279702656","Catalog Record")</f>
        <v>Catalog Record</v>
      </c>
      <c r="AT264" s="6" t="str">
        <f>HYPERLINK("http://www.worldcat.org/oclc/24668571","WorldCat Record")</f>
        <v>WorldCat Record</v>
      </c>
      <c r="AU264" s="3" t="s">
        <v>3258</v>
      </c>
      <c r="AV264" s="3" t="s">
        <v>3259</v>
      </c>
      <c r="AW264" s="3" t="s">
        <v>3260</v>
      </c>
      <c r="AX264" s="3" t="s">
        <v>3260</v>
      </c>
      <c r="AY264" s="3" t="s">
        <v>3261</v>
      </c>
      <c r="AZ264" s="3" t="s">
        <v>73</v>
      </c>
      <c r="BB264" s="3" t="s">
        <v>3262</v>
      </c>
      <c r="BC264" s="3" t="s">
        <v>3263</v>
      </c>
      <c r="BD264" s="3" t="s">
        <v>3264</v>
      </c>
    </row>
    <row r="265" spans="1:56" ht="31.5" customHeight="1" x14ac:dyDescent="0.25">
      <c r="A265" s="7" t="s">
        <v>58</v>
      </c>
      <c r="B265" s="2" t="s">
        <v>3265</v>
      </c>
      <c r="C265" s="2" t="s">
        <v>3266</v>
      </c>
      <c r="D265" s="2" t="s">
        <v>3267</v>
      </c>
      <c r="F265" s="3" t="s">
        <v>58</v>
      </c>
      <c r="G265" s="3" t="s">
        <v>59</v>
      </c>
      <c r="H265" s="3" t="s">
        <v>58</v>
      </c>
      <c r="I265" s="3" t="s">
        <v>58</v>
      </c>
      <c r="J265" s="3" t="s">
        <v>60</v>
      </c>
      <c r="K265" s="2" t="s">
        <v>3268</v>
      </c>
      <c r="L265" s="2" t="s">
        <v>96</v>
      </c>
      <c r="M265" s="3" t="s">
        <v>97</v>
      </c>
      <c r="O265" s="3" t="s">
        <v>63</v>
      </c>
      <c r="P265" s="3" t="s">
        <v>98</v>
      </c>
      <c r="Q265" s="2" t="s">
        <v>2367</v>
      </c>
      <c r="R265" s="3" t="s">
        <v>65</v>
      </c>
      <c r="S265" s="4">
        <v>9</v>
      </c>
      <c r="T265" s="4">
        <v>9</v>
      </c>
      <c r="U265" s="5" t="s">
        <v>3256</v>
      </c>
      <c r="V265" s="5" t="s">
        <v>3256</v>
      </c>
      <c r="W265" s="5" t="s">
        <v>3269</v>
      </c>
      <c r="X265" s="5" t="s">
        <v>3269</v>
      </c>
      <c r="Y265" s="4">
        <v>358</v>
      </c>
      <c r="Z265" s="4">
        <v>238</v>
      </c>
      <c r="AA265" s="4">
        <v>334</v>
      </c>
      <c r="AB265" s="4">
        <v>3</v>
      </c>
      <c r="AC265" s="4">
        <v>4</v>
      </c>
      <c r="AD265" s="4">
        <v>12</v>
      </c>
      <c r="AE265" s="4">
        <v>16</v>
      </c>
      <c r="AF265" s="4">
        <v>2</v>
      </c>
      <c r="AG265" s="4">
        <v>2</v>
      </c>
      <c r="AH265" s="4">
        <v>4</v>
      </c>
      <c r="AI265" s="4">
        <v>6</v>
      </c>
      <c r="AJ265" s="4">
        <v>7</v>
      </c>
      <c r="AK265" s="4">
        <v>9</v>
      </c>
      <c r="AL265" s="4">
        <v>2</v>
      </c>
      <c r="AM265" s="4">
        <v>3</v>
      </c>
      <c r="AN265" s="4">
        <v>0</v>
      </c>
      <c r="AO265" s="4">
        <v>0</v>
      </c>
      <c r="AP265" s="3" t="s">
        <v>58</v>
      </c>
      <c r="AQ265" s="3" t="s">
        <v>68</v>
      </c>
      <c r="AR265" s="6" t="str">
        <f>HYPERLINK("http://catalog.hathitrust.org/Record/001539111","HathiTrust Record")</f>
        <v>HathiTrust Record</v>
      </c>
      <c r="AS265" s="6" t="str">
        <f>HYPERLINK("https://creighton-primo.hosted.exlibrisgroup.com/primo-explore/search?tab=default_tab&amp;search_scope=EVERYTHING&amp;vid=01CRU&amp;lang=en_US&amp;offset=0&amp;query=any,contains,991001406299702656","Catalog Record")</f>
        <v>Catalog Record</v>
      </c>
      <c r="AT265" s="6" t="str">
        <f>HYPERLINK("http://www.worldcat.org/oclc/18836778","WorldCat Record")</f>
        <v>WorldCat Record</v>
      </c>
      <c r="AU265" s="3" t="s">
        <v>3270</v>
      </c>
      <c r="AV265" s="3" t="s">
        <v>3271</v>
      </c>
      <c r="AW265" s="3" t="s">
        <v>3272</v>
      </c>
      <c r="AX265" s="3" t="s">
        <v>3272</v>
      </c>
      <c r="AY265" s="3" t="s">
        <v>3273</v>
      </c>
      <c r="AZ265" s="3" t="s">
        <v>73</v>
      </c>
      <c r="BB265" s="3" t="s">
        <v>3274</v>
      </c>
      <c r="BC265" s="3" t="s">
        <v>3275</v>
      </c>
      <c r="BD265" s="3" t="s">
        <v>3276</v>
      </c>
    </row>
    <row r="266" spans="1:56" ht="31.5" customHeight="1" x14ac:dyDescent="0.25">
      <c r="A266" s="7" t="s">
        <v>58</v>
      </c>
      <c r="B266" s="2" t="s">
        <v>3277</v>
      </c>
      <c r="C266" s="2" t="s">
        <v>3278</v>
      </c>
      <c r="D266" s="2" t="s">
        <v>3279</v>
      </c>
      <c r="F266" s="3" t="s">
        <v>58</v>
      </c>
      <c r="G266" s="3" t="s">
        <v>59</v>
      </c>
      <c r="H266" s="3" t="s">
        <v>58</v>
      </c>
      <c r="I266" s="3" t="s">
        <v>58</v>
      </c>
      <c r="J266" s="3" t="s">
        <v>60</v>
      </c>
      <c r="K266" s="2" t="s">
        <v>3280</v>
      </c>
      <c r="L266" s="2" t="s">
        <v>3281</v>
      </c>
      <c r="M266" s="3" t="s">
        <v>257</v>
      </c>
      <c r="O266" s="3" t="s">
        <v>63</v>
      </c>
      <c r="P266" s="3" t="s">
        <v>186</v>
      </c>
      <c r="R266" s="3" t="s">
        <v>65</v>
      </c>
      <c r="S266" s="4">
        <v>5</v>
      </c>
      <c r="T266" s="4">
        <v>5</v>
      </c>
      <c r="U266" s="5" t="s">
        <v>3229</v>
      </c>
      <c r="V266" s="5" t="s">
        <v>3229</v>
      </c>
      <c r="W266" s="5" t="s">
        <v>3282</v>
      </c>
      <c r="X266" s="5" t="s">
        <v>3282</v>
      </c>
      <c r="Y266" s="4">
        <v>394</v>
      </c>
      <c r="Z266" s="4">
        <v>305</v>
      </c>
      <c r="AA266" s="4">
        <v>310</v>
      </c>
      <c r="AB266" s="4">
        <v>2</v>
      </c>
      <c r="AC266" s="4">
        <v>2</v>
      </c>
      <c r="AD266" s="4">
        <v>13</v>
      </c>
      <c r="AE266" s="4">
        <v>13</v>
      </c>
      <c r="AF266" s="4">
        <v>2</v>
      </c>
      <c r="AG266" s="4">
        <v>2</v>
      </c>
      <c r="AH266" s="4">
        <v>3</v>
      </c>
      <c r="AI266" s="4">
        <v>3</v>
      </c>
      <c r="AJ266" s="4">
        <v>10</v>
      </c>
      <c r="AK266" s="4">
        <v>10</v>
      </c>
      <c r="AL266" s="4">
        <v>1</v>
      </c>
      <c r="AM266" s="4">
        <v>1</v>
      </c>
      <c r="AN266" s="4">
        <v>0</v>
      </c>
      <c r="AO266" s="4">
        <v>0</v>
      </c>
      <c r="AP266" s="3" t="s">
        <v>58</v>
      </c>
      <c r="AQ266" s="3" t="s">
        <v>58</v>
      </c>
      <c r="AS266" s="6" t="str">
        <f>HYPERLINK("https://creighton-primo.hosted.exlibrisgroup.com/primo-explore/search?tab=default_tab&amp;search_scope=EVERYTHING&amp;vid=01CRU&amp;lang=en_US&amp;offset=0&amp;query=any,contains,991002651279702656","Catalog Record")</f>
        <v>Catalog Record</v>
      </c>
      <c r="AT266" s="6" t="str">
        <f>HYPERLINK("http://www.worldcat.org/oclc/34674959","WorldCat Record")</f>
        <v>WorldCat Record</v>
      </c>
      <c r="AU266" s="3" t="s">
        <v>3283</v>
      </c>
      <c r="AV266" s="3" t="s">
        <v>3284</v>
      </c>
      <c r="AW266" s="3" t="s">
        <v>3285</v>
      </c>
      <c r="AX266" s="3" t="s">
        <v>3285</v>
      </c>
      <c r="AY266" s="3" t="s">
        <v>3286</v>
      </c>
      <c r="AZ266" s="3" t="s">
        <v>73</v>
      </c>
      <c r="BB266" s="3" t="s">
        <v>3287</v>
      </c>
      <c r="BC266" s="3" t="s">
        <v>3288</v>
      </c>
      <c r="BD266" s="3" t="s">
        <v>3289</v>
      </c>
    </row>
    <row r="267" spans="1:56" ht="31.5" customHeight="1" x14ac:dyDescent="0.25">
      <c r="A267" s="7" t="s">
        <v>58</v>
      </c>
      <c r="B267" s="2" t="s">
        <v>3290</v>
      </c>
      <c r="C267" s="2" t="s">
        <v>3291</v>
      </c>
      <c r="D267" s="2" t="s">
        <v>3292</v>
      </c>
      <c r="F267" s="3" t="s">
        <v>58</v>
      </c>
      <c r="G267" s="3" t="s">
        <v>59</v>
      </c>
      <c r="H267" s="3" t="s">
        <v>58</v>
      </c>
      <c r="I267" s="3" t="s">
        <v>58</v>
      </c>
      <c r="J267" s="3" t="s">
        <v>60</v>
      </c>
      <c r="K267" s="2" t="s">
        <v>3293</v>
      </c>
      <c r="L267" s="2" t="s">
        <v>3294</v>
      </c>
      <c r="M267" s="3" t="s">
        <v>97</v>
      </c>
      <c r="O267" s="3" t="s">
        <v>63</v>
      </c>
      <c r="P267" s="3" t="s">
        <v>1152</v>
      </c>
      <c r="Q267" s="2" t="s">
        <v>3295</v>
      </c>
      <c r="R267" s="3" t="s">
        <v>65</v>
      </c>
      <c r="S267" s="4">
        <v>4</v>
      </c>
      <c r="T267" s="4">
        <v>4</v>
      </c>
      <c r="U267" s="5" t="s">
        <v>3177</v>
      </c>
      <c r="V267" s="5" t="s">
        <v>3177</v>
      </c>
      <c r="W267" s="5" t="s">
        <v>3296</v>
      </c>
      <c r="X267" s="5" t="s">
        <v>3296</v>
      </c>
      <c r="Y267" s="4">
        <v>801</v>
      </c>
      <c r="Z267" s="4">
        <v>741</v>
      </c>
      <c r="AA267" s="4">
        <v>748</v>
      </c>
      <c r="AB267" s="4">
        <v>9</v>
      </c>
      <c r="AC267" s="4">
        <v>9</v>
      </c>
      <c r="AD267" s="4">
        <v>22</v>
      </c>
      <c r="AE267" s="4">
        <v>22</v>
      </c>
      <c r="AF267" s="4">
        <v>6</v>
      </c>
      <c r="AG267" s="4">
        <v>6</v>
      </c>
      <c r="AH267" s="4">
        <v>5</v>
      </c>
      <c r="AI267" s="4">
        <v>5</v>
      </c>
      <c r="AJ267" s="4">
        <v>9</v>
      </c>
      <c r="AK267" s="4">
        <v>9</v>
      </c>
      <c r="AL267" s="4">
        <v>7</v>
      </c>
      <c r="AM267" s="4">
        <v>7</v>
      </c>
      <c r="AN267" s="4">
        <v>0</v>
      </c>
      <c r="AO267" s="4">
        <v>0</v>
      </c>
      <c r="AP267" s="3" t="s">
        <v>58</v>
      </c>
      <c r="AQ267" s="3" t="s">
        <v>68</v>
      </c>
      <c r="AR267" s="6" t="str">
        <f>HYPERLINK("http://catalog.hathitrust.org/Record/001105035","HathiTrust Record")</f>
        <v>HathiTrust Record</v>
      </c>
      <c r="AS267" s="6" t="str">
        <f>HYPERLINK("https://creighton-primo.hosted.exlibrisgroup.com/primo-explore/search?tab=default_tab&amp;search_scope=EVERYTHING&amp;vid=01CRU&amp;lang=en_US&amp;offset=0&amp;query=any,contains,991001321439702656","Catalog Record")</f>
        <v>Catalog Record</v>
      </c>
      <c r="AT267" s="6" t="str">
        <f>HYPERLINK("http://www.worldcat.org/oclc/18225260","WorldCat Record")</f>
        <v>WorldCat Record</v>
      </c>
      <c r="AU267" s="3" t="s">
        <v>3297</v>
      </c>
      <c r="AV267" s="3" t="s">
        <v>3298</v>
      </c>
      <c r="AW267" s="3" t="s">
        <v>3299</v>
      </c>
      <c r="AX267" s="3" t="s">
        <v>3299</v>
      </c>
      <c r="AY267" s="3" t="s">
        <v>3300</v>
      </c>
      <c r="AZ267" s="3" t="s">
        <v>73</v>
      </c>
      <c r="BB267" s="3" t="s">
        <v>3301</v>
      </c>
      <c r="BC267" s="3" t="s">
        <v>3302</v>
      </c>
      <c r="BD267" s="3" t="s">
        <v>3303</v>
      </c>
    </row>
    <row r="268" spans="1:56" ht="31.5" customHeight="1" x14ac:dyDescent="0.25">
      <c r="A268" s="7" t="s">
        <v>58</v>
      </c>
      <c r="B268" s="2" t="s">
        <v>3304</v>
      </c>
      <c r="C268" s="2" t="s">
        <v>3305</v>
      </c>
      <c r="D268" s="2" t="s">
        <v>3306</v>
      </c>
      <c r="F268" s="3" t="s">
        <v>58</v>
      </c>
      <c r="G268" s="3" t="s">
        <v>59</v>
      </c>
      <c r="H268" s="3" t="s">
        <v>58</v>
      </c>
      <c r="I268" s="3" t="s">
        <v>58</v>
      </c>
      <c r="J268" s="3" t="s">
        <v>60</v>
      </c>
      <c r="K268" s="2" t="s">
        <v>3307</v>
      </c>
      <c r="L268" s="2" t="s">
        <v>3308</v>
      </c>
      <c r="M268" s="3" t="s">
        <v>185</v>
      </c>
      <c r="O268" s="3" t="s">
        <v>63</v>
      </c>
      <c r="P268" s="3" t="s">
        <v>186</v>
      </c>
      <c r="R268" s="3" t="s">
        <v>65</v>
      </c>
      <c r="S268" s="4">
        <v>3</v>
      </c>
      <c r="T268" s="4">
        <v>3</v>
      </c>
      <c r="U268" s="5" t="s">
        <v>3163</v>
      </c>
      <c r="V268" s="5" t="s">
        <v>3163</v>
      </c>
      <c r="W268" s="5" t="s">
        <v>1658</v>
      </c>
      <c r="X268" s="5" t="s">
        <v>1658</v>
      </c>
      <c r="Y268" s="4">
        <v>465</v>
      </c>
      <c r="Z268" s="4">
        <v>347</v>
      </c>
      <c r="AA268" s="4">
        <v>372</v>
      </c>
      <c r="AB268" s="4">
        <v>2</v>
      </c>
      <c r="AC268" s="4">
        <v>2</v>
      </c>
      <c r="AD268" s="4">
        <v>14</v>
      </c>
      <c r="AE268" s="4">
        <v>14</v>
      </c>
      <c r="AF268" s="4">
        <v>3</v>
      </c>
      <c r="AG268" s="4">
        <v>3</v>
      </c>
      <c r="AH268" s="4">
        <v>5</v>
      </c>
      <c r="AI268" s="4">
        <v>5</v>
      </c>
      <c r="AJ268" s="4">
        <v>8</v>
      </c>
      <c r="AK268" s="4">
        <v>8</v>
      </c>
      <c r="AL268" s="4">
        <v>1</v>
      </c>
      <c r="AM268" s="4">
        <v>1</v>
      </c>
      <c r="AN268" s="4">
        <v>0</v>
      </c>
      <c r="AO268" s="4">
        <v>0</v>
      </c>
      <c r="AP268" s="3" t="s">
        <v>58</v>
      </c>
      <c r="AQ268" s="3" t="s">
        <v>58</v>
      </c>
      <c r="AS268" s="6" t="str">
        <f>HYPERLINK("https://creighton-primo.hosted.exlibrisgroup.com/primo-explore/search?tab=default_tab&amp;search_scope=EVERYTHING&amp;vid=01CRU&amp;lang=en_US&amp;offset=0&amp;query=any,contains,991000937289702656","Catalog Record")</f>
        <v>Catalog Record</v>
      </c>
      <c r="AT268" s="6" t="str">
        <f>HYPERLINK("http://www.worldcat.org/oclc/14376571","WorldCat Record")</f>
        <v>WorldCat Record</v>
      </c>
      <c r="AU268" s="3" t="s">
        <v>3309</v>
      </c>
      <c r="AV268" s="3" t="s">
        <v>3310</v>
      </c>
      <c r="AW268" s="3" t="s">
        <v>3311</v>
      </c>
      <c r="AX268" s="3" t="s">
        <v>3311</v>
      </c>
      <c r="AY268" s="3" t="s">
        <v>3312</v>
      </c>
      <c r="AZ268" s="3" t="s">
        <v>73</v>
      </c>
      <c r="BB268" s="3" t="s">
        <v>3313</v>
      </c>
      <c r="BC268" s="3" t="s">
        <v>3314</v>
      </c>
      <c r="BD268" s="3" t="s">
        <v>3315</v>
      </c>
    </row>
    <row r="269" spans="1:56" ht="31.5" customHeight="1" x14ac:dyDescent="0.25">
      <c r="A269" s="7" t="s">
        <v>58</v>
      </c>
      <c r="B269" s="2" t="s">
        <v>3316</v>
      </c>
      <c r="C269" s="2" t="s">
        <v>3317</v>
      </c>
      <c r="D269" s="2" t="s">
        <v>3318</v>
      </c>
      <c r="F269" s="3" t="s">
        <v>58</v>
      </c>
      <c r="G269" s="3" t="s">
        <v>59</v>
      </c>
      <c r="H269" s="3" t="s">
        <v>58</v>
      </c>
      <c r="I269" s="3" t="s">
        <v>58</v>
      </c>
      <c r="J269" s="3" t="s">
        <v>60</v>
      </c>
      <c r="K269" s="2" t="s">
        <v>3319</v>
      </c>
      <c r="L269" s="2" t="s">
        <v>3320</v>
      </c>
      <c r="M269" s="3" t="s">
        <v>82</v>
      </c>
      <c r="O269" s="3" t="s">
        <v>63</v>
      </c>
      <c r="P269" s="3" t="s">
        <v>360</v>
      </c>
      <c r="R269" s="3" t="s">
        <v>65</v>
      </c>
      <c r="S269" s="4">
        <v>1</v>
      </c>
      <c r="T269" s="4">
        <v>1</v>
      </c>
      <c r="U269" s="5" t="s">
        <v>3321</v>
      </c>
      <c r="V269" s="5" t="s">
        <v>3321</v>
      </c>
      <c r="W269" s="5" t="s">
        <v>3055</v>
      </c>
      <c r="X269" s="5" t="s">
        <v>3055</v>
      </c>
      <c r="Y269" s="4">
        <v>631</v>
      </c>
      <c r="Z269" s="4">
        <v>552</v>
      </c>
      <c r="AA269" s="4">
        <v>562</v>
      </c>
      <c r="AB269" s="4">
        <v>4</v>
      </c>
      <c r="AC269" s="4">
        <v>4</v>
      </c>
      <c r="AD269" s="4">
        <v>23</v>
      </c>
      <c r="AE269" s="4">
        <v>23</v>
      </c>
      <c r="AF269" s="4">
        <v>8</v>
      </c>
      <c r="AG269" s="4">
        <v>8</v>
      </c>
      <c r="AH269" s="4">
        <v>6</v>
      </c>
      <c r="AI269" s="4">
        <v>6</v>
      </c>
      <c r="AJ269" s="4">
        <v>11</v>
      </c>
      <c r="AK269" s="4">
        <v>11</v>
      </c>
      <c r="AL269" s="4">
        <v>3</v>
      </c>
      <c r="AM269" s="4">
        <v>3</v>
      </c>
      <c r="AN269" s="4">
        <v>0</v>
      </c>
      <c r="AO269" s="4">
        <v>0</v>
      </c>
      <c r="AP269" s="3" t="s">
        <v>58</v>
      </c>
      <c r="AQ269" s="3" t="s">
        <v>58</v>
      </c>
      <c r="AS269" s="6" t="str">
        <f>HYPERLINK("https://creighton-primo.hosted.exlibrisgroup.com/primo-explore/search?tab=default_tab&amp;search_scope=EVERYTHING&amp;vid=01CRU&amp;lang=en_US&amp;offset=0&amp;query=any,contains,991003886659702656","Catalog Record")</f>
        <v>Catalog Record</v>
      </c>
      <c r="AT269" s="6" t="str">
        <f>HYPERLINK("http://www.worldcat.org/oclc/45202072","WorldCat Record")</f>
        <v>WorldCat Record</v>
      </c>
      <c r="AU269" s="3" t="s">
        <v>3322</v>
      </c>
      <c r="AV269" s="3" t="s">
        <v>3323</v>
      </c>
      <c r="AW269" s="3" t="s">
        <v>3324</v>
      </c>
      <c r="AX269" s="3" t="s">
        <v>3324</v>
      </c>
      <c r="AY269" s="3" t="s">
        <v>3325</v>
      </c>
      <c r="AZ269" s="3" t="s">
        <v>73</v>
      </c>
      <c r="BB269" s="3" t="s">
        <v>3326</v>
      </c>
      <c r="BC269" s="3" t="s">
        <v>3327</v>
      </c>
      <c r="BD269" s="3" t="s">
        <v>3328</v>
      </c>
    </row>
    <row r="270" spans="1:56" ht="31.5" customHeight="1" x14ac:dyDescent="0.25">
      <c r="A270" s="7" t="s">
        <v>58</v>
      </c>
      <c r="B270" s="2" t="s">
        <v>3329</v>
      </c>
      <c r="C270" s="2" t="s">
        <v>3330</v>
      </c>
      <c r="D270" s="2" t="s">
        <v>3331</v>
      </c>
      <c r="F270" s="3" t="s">
        <v>58</v>
      </c>
      <c r="G270" s="3" t="s">
        <v>59</v>
      </c>
      <c r="H270" s="3" t="s">
        <v>58</v>
      </c>
      <c r="I270" s="3" t="s">
        <v>58</v>
      </c>
      <c r="J270" s="3" t="s">
        <v>60</v>
      </c>
      <c r="K270" s="2" t="s">
        <v>3332</v>
      </c>
      <c r="L270" s="2" t="s">
        <v>3333</v>
      </c>
      <c r="M270" s="3" t="s">
        <v>821</v>
      </c>
      <c r="O270" s="3" t="s">
        <v>63</v>
      </c>
      <c r="P270" s="3" t="s">
        <v>186</v>
      </c>
      <c r="R270" s="3" t="s">
        <v>65</v>
      </c>
      <c r="S270" s="4">
        <v>3</v>
      </c>
      <c r="T270" s="4">
        <v>3</v>
      </c>
      <c r="U270" s="5" t="s">
        <v>3334</v>
      </c>
      <c r="V270" s="5" t="s">
        <v>3334</v>
      </c>
      <c r="W270" s="5" t="s">
        <v>1658</v>
      </c>
      <c r="X270" s="5" t="s">
        <v>1658</v>
      </c>
      <c r="Y270" s="4">
        <v>737</v>
      </c>
      <c r="Z270" s="4">
        <v>607</v>
      </c>
      <c r="AA270" s="4">
        <v>607</v>
      </c>
      <c r="AB270" s="4">
        <v>2</v>
      </c>
      <c r="AC270" s="4">
        <v>2</v>
      </c>
      <c r="AD270" s="4">
        <v>14</v>
      </c>
      <c r="AE270" s="4">
        <v>14</v>
      </c>
      <c r="AF270" s="4">
        <v>6</v>
      </c>
      <c r="AG270" s="4">
        <v>6</v>
      </c>
      <c r="AH270" s="4">
        <v>2</v>
      </c>
      <c r="AI270" s="4">
        <v>2</v>
      </c>
      <c r="AJ270" s="4">
        <v>6</v>
      </c>
      <c r="AK270" s="4">
        <v>6</v>
      </c>
      <c r="AL270" s="4">
        <v>1</v>
      </c>
      <c r="AM270" s="4">
        <v>1</v>
      </c>
      <c r="AN270" s="4">
        <v>0</v>
      </c>
      <c r="AO270" s="4">
        <v>0</v>
      </c>
      <c r="AP270" s="3" t="s">
        <v>58</v>
      </c>
      <c r="AQ270" s="3" t="s">
        <v>58</v>
      </c>
      <c r="AS270" s="6" t="str">
        <f>HYPERLINK("https://creighton-primo.hosted.exlibrisgroup.com/primo-explore/search?tab=default_tab&amp;search_scope=EVERYTHING&amp;vid=01CRU&amp;lang=en_US&amp;offset=0&amp;query=any,contains,991000415269702656","Catalog Record")</f>
        <v>Catalog Record</v>
      </c>
      <c r="AT270" s="6" t="str">
        <f>HYPERLINK("http://www.worldcat.org/oclc/10724147","WorldCat Record")</f>
        <v>WorldCat Record</v>
      </c>
      <c r="AU270" s="3" t="s">
        <v>3335</v>
      </c>
      <c r="AV270" s="3" t="s">
        <v>3336</v>
      </c>
      <c r="AW270" s="3" t="s">
        <v>3337</v>
      </c>
      <c r="AX270" s="3" t="s">
        <v>3337</v>
      </c>
      <c r="AY270" s="3" t="s">
        <v>3338</v>
      </c>
      <c r="AZ270" s="3" t="s">
        <v>73</v>
      </c>
      <c r="BB270" s="3" t="s">
        <v>3339</v>
      </c>
      <c r="BC270" s="3" t="s">
        <v>3340</v>
      </c>
      <c r="BD270" s="3" t="s">
        <v>3341</v>
      </c>
    </row>
    <row r="271" spans="1:56" ht="31.5" customHeight="1" x14ac:dyDescent="0.25">
      <c r="A271" s="7" t="s">
        <v>58</v>
      </c>
      <c r="B271" s="2" t="s">
        <v>3342</v>
      </c>
      <c r="C271" s="2" t="s">
        <v>3343</v>
      </c>
      <c r="D271" s="2" t="s">
        <v>3344</v>
      </c>
      <c r="F271" s="3" t="s">
        <v>58</v>
      </c>
      <c r="G271" s="3" t="s">
        <v>59</v>
      </c>
      <c r="H271" s="3" t="s">
        <v>58</v>
      </c>
      <c r="I271" s="3" t="s">
        <v>58</v>
      </c>
      <c r="J271" s="3" t="s">
        <v>60</v>
      </c>
      <c r="K271" s="2" t="s">
        <v>3345</v>
      </c>
      <c r="L271" s="2" t="s">
        <v>3346</v>
      </c>
      <c r="M271" s="3" t="s">
        <v>1737</v>
      </c>
      <c r="O271" s="3" t="s">
        <v>63</v>
      </c>
      <c r="P271" s="3" t="s">
        <v>64</v>
      </c>
      <c r="R271" s="3" t="s">
        <v>65</v>
      </c>
      <c r="S271" s="4">
        <v>1</v>
      </c>
      <c r="T271" s="4">
        <v>1</v>
      </c>
      <c r="U271" s="5" t="s">
        <v>3190</v>
      </c>
      <c r="V271" s="5" t="s">
        <v>3190</v>
      </c>
      <c r="W271" s="5" t="s">
        <v>2896</v>
      </c>
      <c r="X271" s="5" t="s">
        <v>2896</v>
      </c>
      <c r="Y271" s="4">
        <v>266</v>
      </c>
      <c r="Z271" s="4">
        <v>257</v>
      </c>
      <c r="AA271" s="4">
        <v>452</v>
      </c>
      <c r="AB271" s="4">
        <v>2</v>
      </c>
      <c r="AC271" s="4">
        <v>3</v>
      </c>
      <c r="AD271" s="4">
        <v>10</v>
      </c>
      <c r="AE271" s="4">
        <v>19</v>
      </c>
      <c r="AF271" s="4">
        <v>2</v>
      </c>
      <c r="AG271" s="4">
        <v>3</v>
      </c>
      <c r="AH271" s="4">
        <v>1</v>
      </c>
      <c r="AI271" s="4">
        <v>5</v>
      </c>
      <c r="AJ271" s="4">
        <v>6</v>
      </c>
      <c r="AK271" s="4">
        <v>12</v>
      </c>
      <c r="AL271" s="4">
        <v>1</v>
      </c>
      <c r="AM271" s="4">
        <v>2</v>
      </c>
      <c r="AN271" s="4">
        <v>0</v>
      </c>
      <c r="AO271" s="4">
        <v>0</v>
      </c>
      <c r="AP271" s="3" t="s">
        <v>58</v>
      </c>
      <c r="AQ271" s="3" t="s">
        <v>68</v>
      </c>
      <c r="AR271" s="6" t="str">
        <f>HYPERLINK("http://catalog.hathitrust.org/Record/001990883","HathiTrust Record")</f>
        <v>HathiTrust Record</v>
      </c>
      <c r="AS271" s="6" t="str">
        <f>HYPERLINK("https://creighton-primo.hosted.exlibrisgroup.com/primo-explore/search?tab=default_tab&amp;search_scope=EVERYTHING&amp;vid=01CRU&amp;lang=en_US&amp;offset=0&amp;query=any,contains,991002974249702656","Catalog Record")</f>
        <v>Catalog Record</v>
      </c>
      <c r="AT271" s="6" t="str">
        <f>HYPERLINK("http://www.worldcat.org/oclc/551008","WorldCat Record")</f>
        <v>WorldCat Record</v>
      </c>
      <c r="AU271" s="3" t="s">
        <v>3347</v>
      </c>
      <c r="AV271" s="3" t="s">
        <v>3348</v>
      </c>
      <c r="AW271" s="3" t="s">
        <v>3349</v>
      </c>
      <c r="AX271" s="3" t="s">
        <v>3349</v>
      </c>
      <c r="AY271" s="3" t="s">
        <v>3350</v>
      </c>
      <c r="AZ271" s="3" t="s">
        <v>73</v>
      </c>
      <c r="BC271" s="3" t="s">
        <v>3351</v>
      </c>
      <c r="BD271" s="3" t="s">
        <v>3352</v>
      </c>
    </row>
    <row r="272" spans="1:56" ht="31.5" customHeight="1" x14ac:dyDescent="0.25">
      <c r="A272" s="7" t="s">
        <v>58</v>
      </c>
      <c r="B272" s="2" t="s">
        <v>3353</v>
      </c>
      <c r="C272" s="2" t="s">
        <v>3354</v>
      </c>
      <c r="D272" s="2" t="s">
        <v>3355</v>
      </c>
      <c r="F272" s="3" t="s">
        <v>58</v>
      </c>
      <c r="G272" s="3" t="s">
        <v>59</v>
      </c>
      <c r="H272" s="3" t="s">
        <v>58</v>
      </c>
      <c r="I272" s="3" t="s">
        <v>58</v>
      </c>
      <c r="J272" s="3" t="s">
        <v>60</v>
      </c>
      <c r="K272" s="2" t="s">
        <v>3356</v>
      </c>
      <c r="L272" s="2" t="s">
        <v>3357</v>
      </c>
      <c r="M272" s="3" t="s">
        <v>1412</v>
      </c>
      <c r="O272" s="3" t="s">
        <v>63</v>
      </c>
      <c r="P272" s="3" t="s">
        <v>64</v>
      </c>
      <c r="R272" s="3" t="s">
        <v>65</v>
      </c>
      <c r="S272" s="4">
        <v>1</v>
      </c>
      <c r="T272" s="4">
        <v>1</v>
      </c>
      <c r="U272" s="5" t="s">
        <v>3358</v>
      </c>
      <c r="V272" s="5" t="s">
        <v>3358</v>
      </c>
      <c r="W272" s="5" t="s">
        <v>3359</v>
      </c>
      <c r="X272" s="5" t="s">
        <v>3359</v>
      </c>
      <c r="Y272" s="4">
        <v>312</v>
      </c>
      <c r="Z272" s="4">
        <v>295</v>
      </c>
      <c r="AA272" s="4">
        <v>535</v>
      </c>
      <c r="AB272" s="4">
        <v>1</v>
      </c>
      <c r="AC272" s="4">
        <v>2</v>
      </c>
      <c r="AD272" s="4">
        <v>9</v>
      </c>
      <c r="AE272" s="4">
        <v>17</v>
      </c>
      <c r="AF272" s="4">
        <v>4</v>
      </c>
      <c r="AG272" s="4">
        <v>7</v>
      </c>
      <c r="AH272" s="4">
        <v>2</v>
      </c>
      <c r="AI272" s="4">
        <v>4</v>
      </c>
      <c r="AJ272" s="4">
        <v>6</v>
      </c>
      <c r="AK272" s="4">
        <v>11</v>
      </c>
      <c r="AL272" s="4">
        <v>0</v>
      </c>
      <c r="AM272" s="4">
        <v>1</v>
      </c>
      <c r="AN272" s="4">
        <v>0</v>
      </c>
      <c r="AO272" s="4">
        <v>0</v>
      </c>
      <c r="AP272" s="3" t="s">
        <v>58</v>
      </c>
      <c r="AQ272" s="3" t="s">
        <v>68</v>
      </c>
      <c r="AR272" s="6" t="str">
        <f>HYPERLINK("http://catalog.hathitrust.org/Record/001476814","HathiTrust Record")</f>
        <v>HathiTrust Record</v>
      </c>
      <c r="AS272" s="6" t="str">
        <f>HYPERLINK("https://creighton-primo.hosted.exlibrisgroup.com/primo-explore/search?tab=default_tab&amp;search_scope=EVERYTHING&amp;vid=01CRU&amp;lang=en_US&amp;offset=0&amp;query=any,contains,991003705679702656","Catalog Record")</f>
        <v>Catalog Record</v>
      </c>
      <c r="AT272" s="6" t="str">
        <f>HYPERLINK("http://www.worldcat.org/oclc/1343142","WorldCat Record")</f>
        <v>WorldCat Record</v>
      </c>
      <c r="AU272" s="3" t="s">
        <v>3360</v>
      </c>
      <c r="AV272" s="3" t="s">
        <v>3361</v>
      </c>
      <c r="AW272" s="3" t="s">
        <v>3362</v>
      </c>
      <c r="AX272" s="3" t="s">
        <v>3362</v>
      </c>
      <c r="AY272" s="3" t="s">
        <v>3363</v>
      </c>
      <c r="AZ272" s="3" t="s">
        <v>73</v>
      </c>
      <c r="BC272" s="3" t="s">
        <v>3364</v>
      </c>
      <c r="BD272" s="3" t="s">
        <v>3365</v>
      </c>
    </row>
    <row r="273" spans="1:56" ht="31.5" customHeight="1" x14ac:dyDescent="0.25">
      <c r="A273" s="7" t="s">
        <v>58</v>
      </c>
      <c r="B273" s="2" t="s">
        <v>3366</v>
      </c>
      <c r="C273" s="2" t="s">
        <v>3367</v>
      </c>
      <c r="D273" s="2" t="s">
        <v>3368</v>
      </c>
      <c r="F273" s="3" t="s">
        <v>58</v>
      </c>
      <c r="G273" s="3" t="s">
        <v>59</v>
      </c>
      <c r="H273" s="3" t="s">
        <v>58</v>
      </c>
      <c r="I273" s="3" t="s">
        <v>58</v>
      </c>
      <c r="J273" s="3" t="s">
        <v>60</v>
      </c>
      <c r="K273" s="2" t="s">
        <v>3369</v>
      </c>
      <c r="L273" s="2" t="s">
        <v>3370</v>
      </c>
      <c r="M273" s="3" t="s">
        <v>1195</v>
      </c>
      <c r="O273" s="3" t="s">
        <v>63</v>
      </c>
      <c r="P273" s="3" t="s">
        <v>64</v>
      </c>
      <c r="R273" s="3" t="s">
        <v>65</v>
      </c>
      <c r="S273" s="4">
        <v>2</v>
      </c>
      <c r="T273" s="4">
        <v>2</v>
      </c>
      <c r="U273" s="5" t="s">
        <v>3371</v>
      </c>
      <c r="V273" s="5" t="s">
        <v>3371</v>
      </c>
      <c r="W273" s="5" t="s">
        <v>3359</v>
      </c>
      <c r="X273" s="5" t="s">
        <v>3359</v>
      </c>
      <c r="Y273" s="4">
        <v>346</v>
      </c>
      <c r="Z273" s="4">
        <v>263</v>
      </c>
      <c r="AA273" s="4">
        <v>265</v>
      </c>
      <c r="AB273" s="4">
        <v>3</v>
      </c>
      <c r="AC273" s="4">
        <v>3</v>
      </c>
      <c r="AD273" s="4">
        <v>9</v>
      </c>
      <c r="AE273" s="4">
        <v>9</v>
      </c>
      <c r="AF273" s="4">
        <v>1</v>
      </c>
      <c r="AG273" s="4">
        <v>1</v>
      </c>
      <c r="AH273" s="4">
        <v>2</v>
      </c>
      <c r="AI273" s="4">
        <v>2</v>
      </c>
      <c r="AJ273" s="4">
        <v>5</v>
      </c>
      <c r="AK273" s="4">
        <v>5</v>
      </c>
      <c r="AL273" s="4">
        <v>2</v>
      </c>
      <c r="AM273" s="4">
        <v>2</v>
      </c>
      <c r="AN273" s="4">
        <v>0</v>
      </c>
      <c r="AO273" s="4">
        <v>0</v>
      </c>
      <c r="AP273" s="3" t="s">
        <v>58</v>
      </c>
      <c r="AQ273" s="3" t="s">
        <v>68</v>
      </c>
      <c r="AR273" s="6" t="str">
        <f>HYPERLINK("http://catalog.hathitrust.org/Record/001476828","HathiTrust Record")</f>
        <v>HathiTrust Record</v>
      </c>
      <c r="AS273" s="6" t="str">
        <f>HYPERLINK("https://creighton-primo.hosted.exlibrisgroup.com/primo-explore/search?tab=default_tab&amp;search_scope=EVERYTHING&amp;vid=01CRU&amp;lang=en_US&amp;offset=0&amp;query=any,contains,991002930399702656","Catalog Record")</f>
        <v>Catalog Record</v>
      </c>
      <c r="AT273" s="6" t="str">
        <f>HYPERLINK("http://www.worldcat.org/oclc/530687","WorldCat Record")</f>
        <v>WorldCat Record</v>
      </c>
      <c r="AU273" s="3" t="s">
        <v>3372</v>
      </c>
      <c r="AV273" s="3" t="s">
        <v>3373</v>
      </c>
      <c r="AW273" s="3" t="s">
        <v>3374</v>
      </c>
      <c r="AX273" s="3" t="s">
        <v>3374</v>
      </c>
      <c r="AY273" s="3" t="s">
        <v>3375</v>
      </c>
      <c r="AZ273" s="3" t="s">
        <v>73</v>
      </c>
      <c r="BC273" s="3" t="s">
        <v>3376</v>
      </c>
      <c r="BD273" s="3" t="s">
        <v>3377</v>
      </c>
    </row>
    <row r="274" spans="1:56" ht="31.5" customHeight="1" x14ac:dyDescent="0.25">
      <c r="A274" s="7" t="s">
        <v>58</v>
      </c>
      <c r="B274" s="2" t="s">
        <v>3378</v>
      </c>
      <c r="C274" s="2" t="s">
        <v>3379</v>
      </c>
      <c r="D274" s="2" t="s">
        <v>3380</v>
      </c>
      <c r="F274" s="3" t="s">
        <v>58</v>
      </c>
      <c r="G274" s="3" t="s">
        <v>59</v>
      </c>
      <c r="H274" s="3" t="s">
        <v>58</v>
      </c>
      <c r="I274" s="3" t="s">
        <v>58</v>
      </c>
      <c r="J274" s="3" t="s">
        <v>60</v>
      </c>
      <c r="K274" s="2" t="s">
        <v>3307</v>
      </c>
      <c r="L274" s="2" t="s">
        <v>3381</v>
      </c>
      <c r="M274" s="3" t="s">
        <v>1522</v>
      </c>
      <c r="O274" s="3" t="s">
        <v>63</v>
      </c>
      <c r="P274" s="3" t="s">
        <v>129</v>
      </c>
      <c r="Q274" s="2" t="s">
        <v>3382</v>
      </c>
      <c r="R274" s="3" t="s">
        <v>65</v>
      </c>
      <c r="S274" s="4">
        <v>2</v>
      </c>
      <c r="T274" s="4">
        <v>2</v>
      </c>
      <c r="U274" s="5" t="s">
        <v>3163</v>
      </c>
      <c r="V274" s="5" t="s">
        <v>3163</v>
      </c>
      <c r="W274" s="5" t="s">
        <v>3359</v>
      </c>
      <c r="X274" s="5" t="s">
        <v>3359</v>
      </c>
      <c r="Y274" s="4">
        <v>474</v>
      </c>
      <c r="Z274" s="4">
        <v>402</v>
      </c>
      <c r="AA274" s="4">
        <v>404</v>
      </c>
      <c r="AB274" s="4">
        <v>2</v>
      </c>
      <c r="AC274" s="4">
        <v>2</v>
      </c>
      <c r="AD274" s="4">
        <v>11</v>
      </c>
      <c r="AE274" s="4">
        <v>11</v>
      </c>
      <c r="AF274" s="4">
        <v>5</v>
      </c>
      <c r="AG274" s="4">
        <v>5</v>
      </c>
      <c r="AH274" s="4">
        <v>1</v>
      </c>
      <c r="AI274" s="4">
        <v>1</v>
      </c>
      <c r="AJ274" s="4">
        <v>7</v>
      </c>
      <c r="AK274" s="4">
        <v>7</v>
      </c>
      <c r="AL274" s="4">
        <v>1</v>
      </c>
      <c r="AM274" s="4">
        <v>1</v>
      </c>
      <c r="AN274" s="4">
        <v>0</v>
      </c>
      <c r="AO274" s="4">
        <v>0</v>
      </c>
      <c r="AP274" s="3" t="s">
        <v>58</v>
      </c>
      <c r="AQ274" s="3" t="s">
        <v>68</v>
      </c>
      <c r="AR274" s="6" t="str">
        <f>HYPERLINK("http://catalog.hathitrust.org/Record/001990950","HathiTrust Record")</f>
        <v>HathiTrust Record</v>
      </c>
      <c r="AS274" s="6" t="str">
        <f>HYPERLINK("https://creighton-primo.hosted.exlibrisgroup.com/primo-explore/search?tab=default_tab&amp;search_scope=EVERYTHING&amp;vid=01CRU&amp;lang=en_US&amp;offset=0&amp;query=any,contains,991002930279702656","Catalog Record")</f>
        <v>Catalog Record</v>
      </c>
      <c r="AT274" s="6" t="str">
        <f>HYPERLINK("http://www.worldcat.org/oclc/530626","WorldCat Record")</f>
        <v>WorldCat Record</v>
      </c>
      <c r="AU274" s="3" t="s">
        <v>3383</v>
      </c>
      <c r="AV274" s="3" t="s">
        <v>3384</v>
      </c>
      <c r="AW274" s="3" t="s">
        <v>3385</v>
      </c>
      <c r="AX274" s="3" t="s">
        <v>3385</v>
      </c>
      <c r="AY274" s="3" t="s">
        <v>3386</v>
      </c>
      <c r="AZ274" s="3" t="s">
        <v>73</v>
      </c>
      <c r="BC274" s="3" t="s">
        <v>3387</v>
      </c>
      <c r="BD274" s="3" t="s">
        <v>3388</v>
      </c>
    </row>
    <row r="275" spans="1:56" ht="31.5" customHeight="1" x14ac:dyDescent="0.25">
      <c r="A275" s="7" t="s">
        <v>58</v>
      </c>
      <c r="B275" s="2" t="s">
        <v>3389</v>
      </c>
      <c r="C275" s="2" t="s">
        <v>3390</v>
      </c>
      <c r="D275" s="2" t="s">
        <v>3391</v>
      </c>
      <c r="F275" s="3" t="s">
        <v>58</v>
      </c>
      <c r="G275" s="3" t="s">
        <v>59</v>
      </c>
      <c r="H275" s="3" t="s">
        <v>58</v>
      </c>
      <c r="I275" s="3" t="s">
        <v>58</v>
      </c>
      <c r="J275" s="3" t="s">
        <v>60</v>
      </c>
      <c r="L275" s="2" t="s">
        <v>3392</v>
      </c>
      <c r="M275" s="3" t="s">
        <v>2253</v>
      </c>
      <c r="O275" s="3" t="s">
        <v>63</v>
      </c>
      <c r="P275" s="3" t="s">
        <v>3393</v>
      </c>
      <c r="Q275" s="2" t="s">
        <v>3394</v>
      </c>
      <c r="R275" s="3" t="s">
        <v>65</v>
      </c>
      <c r="S275" s="4">
        <v>5</v>
      </c>
      <c r="T275" s="4">
        <v>5</v>
      </c>
      <c r="U275" s="5" t="s">
        <v>3040</v>
      </c>
      <c r="V275" s="5" t="s">
        <v>3040</v>
      </c>
      <c r="W275" s="5" t="s">
        <v>2012</v>
      </c>
      <c r="X275" s="5" t="s">
        <v>2012</v>
      </c>
      <c r="Y275" s="4">
        <v>154</v>
      </c>
      <c r="Z275" s="4">
        <v>110</v>
      </c>
      <c r="AA275" s="4">
        <v>114</v>
      </c>
      <c r="AB275" s="4">
        <v>2</v>
      </c>
      <c r="AC275" s="4">
        <v>2</v>
      </c>
      <c r="AD275" s="4">
        <v>4</v>
      </c>
      <c r="AE275" s="4">
        <v>4</v>
      </c>
      <c r="AF275" s="4">
        <v>0</v>
      </c>
      <c r="AG275" s="4">
        <v>0</v>
      </c>
      <c r="AH275" s="4">
        <v>2</v>
      </c>
      <c r="AI275" s="4">
        <v>2</v>
      </c>
      <c r="AJ275" s="4">
        <v>1</v>
      </c>
      <c r="AK275" s="4">
        <v>1</v>
      </c>
      <c r="AL275" s="4">
        <v>1</v>
      </c>
      <c r="AM275" s="4">
        <v>1</v>
      </c>
      <c r="AN275" s="4">
        <v>0</v>
      </c>
      <c r="AO275" s="4">
        <v>0</v>
      </c>
      <c r="AP275" s="3" t="s">
        <v>58</v>
      </c>
      <c r="AQ275" s="3" t="s">
        <v>58</v>
      </c>
      <c r="AS275" s="6" t="str">
        <f>HYPERLINK("https://creighton-primo.hosted.exlibrisgroup.com/primo-explore/search?tab=default_tab&amp;search_scope=EVERYTHING&amp;vid=01CRU&amp;lang=en_US&amp;offset=0&amp;query=any,contains,991001011489702656","Catalog Record")</f>
        <v>Catalog Record</v>
      </c>
      <c r="AT275" s="6" t="str">
        <f>HYPERLINK("http://www.worldcat.org/oclc/15284057","WorldCat Record")</f>
        <v>WorldCat Record</v>
      </c>
      <c r="AU275" s="3" t="s">
        <v>3395</v>
      </c>
      <c r="AV275" s="3" t="s">
        <v>3396</v>
      </c>
      <c r="AW275" s="3" t="s">
        <v>3397</v>
      </c>
      <c r="AX275" s="3" t="s">
        <v>3397</v>
      </c>
      <c r="AY275" s="3" t="s">
        <v>3398</v>
      </c>
      <c r="AZ275" s="3" t="s">
        <v>73</v>
      </c>
      <c r="BB275" s="3" t="s">
        <v>3399</v>
      </c>
      <c r="BC275" s="3" t="s">
        <v>3400</v>
      </c>
      <c r="BD275" s="3" t="s">
        <v>3401</v>
      </c>
    </row>
    <row r="276" spans="1:56" ht="31.5" customHeight="1" x14ac:dyDescent="0.25">
      <c r="A276" s="7" t="s">
        <v>58</v>
      </c>
      <c r="B276" s="2" t="s">
        <v>3402</v>
      </c>
      <c r="C276" s="2" t="s">
        <v>3403</v>
      </c>
      <c r="D276" s="2" t="s">
        <v>3404</v>
      </c>
      <c r="F276" s="3" t="s">
        <v>58</v>
      </c>
      <c r="G276" s="3" t="s">
        <v>59</v>
      </c>
      <c r="H276" s="3" t="s">
        <v>58</v>
      </c>
      <c r="I276" s="3" t="s">
        <v>58</v>
      </c>
      <c r="J276" s="3" t="s">
        <v>60</v>
      </c>
      <c r="L276" s="2" t="s">
        <v>3405</v>
      </c>
      <c r="M276" s="3" t="s">
        <v>443</v>
      </c>
      <c r="O276" s="3" t="s">
        <v>63</v>
      </c>
      <c r="P276" s="3" t="s">
        <v>3406</v>
      </c>
      <c r="R276" s="3" t="s">
        <v>65</v>
      </c>
      <c r="S276" s="4">
        <v>5</v>
      </c>
      <c r="T276" s="4">
        <v>5</v>
      </c>
      <c r="U276" s="5" t="s">
        <v>3040</v>
      </c>
      <c r="V276" s="5" t="s">
        <v>3040</v>
      </c>
      <c r="W276" s="5" t="s">
        <v>3407</v>
      </c>
      <c r="X276" s="5" t="s">
        <v>3407</v>
      </c>
      <c r="Y276" s="4">
        <v>390</v>
      </c>
      <c r="Z276" s="4">
        <v>307</v>
      </c>
      <c r="AA276" s="4">
        <v>316</v>
      </c>
      <c r="AB276" s="4">
        <v>3</v>
      </c>
      <c r="AC276" s="4">
        <v>3</v>
      </c>
      <c r="AD276" s="4">
        <v>5</v>
      </c>
      <c r="AE276" s="4">
        <v>5</v>
      </c>
      <c r="AF276" s="4">
        <v>1</v>
      </c>
      <c r="AG276" s="4">
        <v>1</v>
      </c>
      <c r="AH276" s="4">
        <v>1</v>
      </c>
      <c r="AI276" s="4">
        <v>1</v>
      </c>
      <c r="AJ276" s="4">
        <v>1</v>
      </c>
      <c r="AK276" s="4">
        <v>1</v>
      </c>
      <c r="AL276" s="4">
        <v>2</v>
      </c>
      <c r="AM276" s="4">
        <v>2</v>
      </c>
      <c r="AN276" s="4">
        <v>0</v>
      </c>
      <c r="AO276" s="4">
        <v>0</v>
      </c>
      <c r="AP276" s="3" t="s">
        <v>58</v>
      </c>
      <c r="AQ276" s="3" t="s">
        <v>68</v>
      </c>
      <c r="AR276" s="6" t="str">
        <f>HYPERLINK("http://catalog.hathitrust.org/Record/000092523","HathiTrust Record")</f>
        <v>HathiTrust Record</v>
      </c>
      <c r="AS276" s="6" t="str">
        <f>HYPERLINK("https://creighton-primo.hosted.exlibrisgroup.com/primo-explore/search?tab=default_tab&amp;search_scope=EVERYTHING&amp;vid=01CRU&amp;lang=en_US&amp;offset=0&amp;query=any,contains,991004484229702656","Catalog Record")</f>
        <v>Catalog Record</v>
      </c>
      <c r="AT276" s="6" t="str">
        <f>HYPERLINK("http://www.worldcat.org/oclc/3631958","WorldCat Record")</f>
        <v>WorldCat Record</v>
      </c>
      <c r="AU276" s="3" t="s">
        <v>3408</v>
      </c>
      <c r="AV276" s="3" t="s">
        <v>3409</v>
      </c>
      <c r="AW276" s="3" t="s">
        <v>3410</v>
      </c>
      <c r="AX276" s="3" t="s">
        <v>3410</v>
      </c>
      <c r="AY276" s="3" t="s">
        <v>3411</v>
      </c>
      <c r="AZ276" s="3" t="s">
        <v>73</v>
      </c>
      <c r="BB276" s="3" t="s">
        <v>3412</v>
      </c>
      <c r="BC276" s="3" t="s">
        <v>3413</v>
      </c>
      <c r="BD276" s="3" t="s">
        <v>3414</v>
      </c>
    </row>
    <row r="277" spans="1:56" ht="31.5" customHeight="1" x14ac:dyDescent="0.25">
      <c r="A277" s="7" t="s">
        <v>58</v>
      </c>
      <c r="B277" s="2" t="s">
        <v>3415</v>
      </c>
      <c r="C277" s="2" t="s">
        <v>3416</v>
      </c>
      <c r="D277" s="2" t="s">
        <v>3417</v>
      </c>
      <c r="F277" s="3" t="s">
        <v>58</v>
      </c>
      <c r="G277" s="3" t="s">
        <v>59</v>
      </c>
      <c r="H277" s="3" t="s">
        <v>58</v>
      </c>
      <c r="I277" s="3" t="s">
        <v>58</v>
      </c>
      <c r="J277" s="3" t="s">
        <v>60</v>
      </c>
      <c r="K277" s="2" t="s">
        <v>3418</v>
      </c>
      <c r="L277" s="2" t="s">
        <v>3419</v>
      </c>
      <c r="M277" s="3" t="s">
        <v>565</v>
      </c>
      <c r="N277" s="2" t="s">
        <v>3420</v>
      </c>
      <c r="O277" s="3" t="s">
        <v>63</v>
      </c>
      <c r="P277" s="3" t="s">
        <v>64</v>
      </c>
      <c r="Q277" s="2" t="s">
        <v>3421</v>
      </c>
      <c r="R277" s="3" t="s">
        <v>65</v>
      </c>
      <c r="S277" s="4">
        <v>6</v>
      </c>
      <c r="T277" s="4">
        <v>6</v>
      </c>
      <c r="U277" s="5" t="s">
        <v>2134</v>
      </c>
      <c r="V277" s="5" t="s">
        <v>2134</v>
      </c>
      <c r="W277" s="5" t="s">
        <v>3422</v>
      </c>
      <c r="X277" s="5" t="s">
        <v>3422</v>
      </c>
      <c r="Y277" s="4">
        <v>186</v>
      </c>
      <c r="Z277" s="4">
        <v>138</v>
      </c>
      <c r="AA277" s="4">
        <v>139</v>
      </c>
      <c r="AB277" s="4">
        <v>2</v>
      </c>
      <c r="AC277" s="4">
        <v>2</v>
      </c>
      <c r="AD277" s="4">
        <v>4</v>
      </c>
      <c r="AE277" s="4">
        <v>4</v>
      </c>
      <c r="AF277" s="4">
        <v>1</v>
      </c>
      <c r="AG277" s="4">
        <v>1</v>
      </c>
      <c r="AH277" s="4">
        <v>1</v>
      </c>
      <c r="AI277" s="4">
        <v>1</v>
      </c>
      <c r="AJ277" s="4">
        <v>2</v>
      </c>
      <c r="AK277" s="4">
        <v>2</v>
      </c>
      <c r="AL277" s="4">
        <v>1</v>
      </c>
      <c r="AM277" s="4">
        <v>1</v>
      </c>
      <c r="AN277" s="4">
        <v>0</v>
      </c>
      <c r="AO277" s="4">
        <v>0</v>
      </c>
      <c r="AP277" s="3" t="s">
        <v>58</v>
      </c>
      <c r="AQ277" s="3" t="s">
        <v>68</v>
      </c>
      <c r="AR277" s="6" t="str">
        <f>HYPERLINK("http://catalog.hathitrust.org/Record/000266282","HathiTrust Record")</f>
        <v>HathiTrust Record</v>
      </c>
      <c r="AS277" s="6" t="str">
        <f>HYPERLINK("https://creighton-primo.hosted.exlibrisgroup.com/primo-explore/search?tab=default_tab&amp;search_scope=EVERYTHING&amp;vid=01CRU&amp;lang=en_US&amp;offset=0&amp;query=any,contains,991005012489702656","Catalog Record")</f>
        <v>Catalog Record</v>
      </c>
      <c r="AT277" s="6" t="str">
        <f>HYPERLINK("http://www.worldcat.org/oclc/6603832","WorldCat Record")</f>
        <v>WorldCat Record</v>
      </c>
      <c r="AU277" s="3" t="s">
        <v>3423</v>
      </c>
      <c r="AV277" s="3" t="s">
        <v>3424</v>
      </c>
      <c r="AW277" s="3" t="s">
        <v>3425</v>
      </c>
      <c r="AX277" s="3" t="s">
        <v>3425</v>
      </c>
      <c r="AY277" s="3" t="s">
        <v>3426</v>
      </c>
      <c r="AZ277" s="3" t="s">
        <v>73</v>
      </c>
      <c r="BB277" s="3" t="s">
        <v>3427</v>
      </c>
      <c r="BC277" s="3" t="s">
        <v>3428</v>
      </c>
      <c r="BD277" s="3" t="s">
        <v>3429</v>
      </c>
    </row>
    <row r="278" spans="1:56" ht="31.5" customHeight="1" x14ac:dyDescent="0.25">
      <c r="A278" s="7" t="s">
        <v>58</v>
      </c>
      <c r="B278" s="2" t="s">
        <v>3430</v>
      </c>
      <c r="C278" s="2" t="s">
        <v>3431</v>
      </c>
      <c r="D278" s="2" t="s">
        <v>3432</v>
      </c>
      <c r="F278" s="3" t="s">
        <v>58</v>
      </c>
      <c r="G278" s="3" t="s">
        <v>59</v>
      </c>
      <c r="H278" s="3" t="s">
        <v>58</v>
      </c>
      <c r="I278" s="3" t="s">
        <v>58</v>
      </c>
      <c r="J278" s="3" t="s">
        <v>60</v>
      </c>
      <c r="K278" s="2" t="s">
        <v>3319</v>
      </c>
      <c r="L278" s="2" t="s">
        <v>3433</v>
      </c>
      <c r="M278" s="3" t="s">
        <v>113</v>
      </c>
      <c r="O278" s="3" t="s">
        <v>63</v>
      </c>
      <c r="P278" s="3" t="s">
        <v>83</v>
      </c>
      <c r="R278" s="3" t="s">
        <v>65</v>
      </c>
      <c r="S278" s="4">
        <v>1</v>
      </c>
      <c r="T278" s="4">
        <v>1</v>
      </c>
      <c r="U278" s="5" t="s">
        <v>3434</v>
      </c>
      <c r="V278" s="5" t="s">
        <v>3434</v>
      </c>
      <c r="W278" s="5" t="s">
        <v>3434</v>
      </c>
      <c r="X278" s="5" t="s">
        <v>3434</v>
      </c>
      <c r="Y278" s="4">
        <v>486</v>
      </c>
      <c r="Z278" s="4">
        <v>434</v>
      </c>
      <c r="AA278" s="4">
        <v>462</v>
      </c>
      <c r="AB278" s="4">
        <v>4</v>
      </c>
      <c r="AC278" s="4">
        <v>4</v>
      </c>
      <c r="AD278" s="4">
        <v>15</v>
      </c>
      <c r="AE278" s="4">
        <v>16</v>
      </c>
      <c r="AF278" s="4">
        <v>4</v>
      </c>
      <c r="AG278" s="4">
        <v>5</v>
      </c>
      <c r="AH278" s="4">
        <v>4</v>
      </c>
      <c r="AI278" s="4">
        <v>4</v>
      </c>
      <c r="AJ278" s="4">
        <v>8</v>
      </c>
      <c r="AK278" s="4">
        <v>8</v>
      </c>
      <c r="AL278" s="4">
        <v>3</v>
      </c>
      <c r="AM278" s="4">
        <v>3</v>
      </c>
      <c r="AN278" s="4">
        <v>0</v>
      </c>
      <c r="AO278" s="4">
        <v>0</v>
      </c>
      <c r="AP278" s="3" t="s">
        <v>58</v>
      </c>
      <c r="AQ278" s="3" t="s">
        <v>58</v>
      </c>
      <c r="AS278" s="6" t="str">
        <f>HYPERLINK("https://creighton-primo.hosted.exlibrisgroup.com/primo-explore/search?tab=default_tab&amp;search_scope=EVERYTHING&amp;vid=01CRU&amp;lang=en_US&amp;offset=0&amp;query=any,contains,991004261759702656","Catalog Record")</f>
        <v>Catalog Record</v>
      </c>
      <c r="AT278" s="6" t="str">
        <f>HYPERLINK("http://www.worldcat.org/oclc/52030324","WorldCat Record")</f>
        <v>WorldCat Record</v>
      </c>
      <c r="AU278" s="3" t="s">
        <v>3435</v>
      </c>
      <c r="AV278" s="3" t="s">
        <v>3436</v>
      </c>
      <c r="AW278" s="3" t="s">
        <v>3437</v>
      </c>
      <c r="AX278" s="3" t="s">
        <v>3437</v>
      </c>
      <c r="AY278" s="3" t="s">
        <v>3438</v>
      </c>
      <c r="AZ278" s="3" t="s">
        <v>73</v>
      </c>
      <c r="BB278" s="3" t="s">
        <v>3439</v>
      </c>
      <c r="BC278" s="3" t="s">
        <v>3440</v>
      </c>
      <c r="BD278" s="3" t="s">
        <v>3441</v>
      </c>
    </row>
    <row r="279" spans="1:56" ht="31.5" customHeight="1" x14ac:dyDescent="0.25">
      <c r="A279" s="7" t="s">
        <v>58</v>
      </c>
      <c r="B279" s="2" t="s">
        <v>3442</v>
      </c>
      <c r="C279" s="2" t="s">
        <v>3443</v>
      </c>
      <c r="D279" s="2" t="s">
        <v>3444</v>
      </c>
      <c r="F279" s="3" t="s">
        <v>58</v>
      </c>
      <c r="G279" s="3" t="s">
        <v>59</v>
      </c>
      <c r="H279" s="3" t="s">
        <v>58</v>
      </c>
      <c r="I279" s="3" t="s">
        <v>58</v>
      </c>
      <c r="J279" s="3" t="s">
        <v>60</v>
      </c>
      <c r="K279" s="2" t="s">
        <v>3105</v>
      </c>
      <c r="L279" s="2" t="s">
        <v>3445</v>
      </c>
      <c r="M279" s="3" t="s">
        <v>2117</v>
      </c>
      <c r="O279" s="3" t="s">
        <v>63</v>
      </c>
      <c r="P279" s="3" t="s">
        <v>64</v>
      </c>
      <c r="R279" s="3" t="s">
        <v>65</v>
      </c>
      <c r="S279" s="4">
        <v>5</v>
      </c>
      <c r="T279" s="4">
        <v>5</v>
      </c>
      <c r="U279" s="5" t="s">
        <v>3446</v>
      </c>
      <c r="V279" s="5" t="s">
        <v>3446</v>
      </c>
      <c r="W279" s="5" t="s">
        <v>3447</v>
      </c>
      <c r="X279" s="5" t="s">
        <v>3447</v>
      </c>
      <c r="Y279" s="4">
        <v>1414</v>
      </c>
      <c r="Z279" s="4">
        <v>1334</v>
      </c>
      <c r="AA279" s="4">
        <v>1446</v>
      </c>
      <c r="AB279" s="4">
        <v>13</v>
      </c>
      <c r="AC279" s="4">
        <v>13</v>
      </c>
      <c r="AD279" s="4">
        <v>27</v>
      </c>
      <c r="AE279" s="4">
        <v>27</v>
      </c>
      <c r="AF279" s="4">
        <v>11</v>
      </c>
      <c r="AG279" s="4">
        <v>11</v>
      </c>
      <c r="AH279" s="4">
        <v>5</v>
      </c>
      <c r="AI279" s="4">
        <v>5</v>
      </c>
      <c r="AJ279" s="4">
        <v>9</v>
      </c>
      <c r="AK279" s="4">
        <v>9</v>
      </c>
      <c r="AL279" s="4">
        <v>7</v>
      </c>
      <c r="AM279" s="4">
        <v>7</v>
      </c>
      <c r="AN279" s="4">
        <v>0</v>
      </c>
      <c r="AO279" s="4">
        <v>0</v>
      </c>
      <c r="AP279" s="3" t="s">
        <v>58</v>
      </c>
      <c r="AQ279" s="3" t="s">
        <v>68</v>
      </c>
      <c r="AR279" s="6" t="str">
        <f>HYPERLINK("http://catalog.hathitrust.org/Record/000259866","HathiTrust Record")</f>
        <v>HathiTrust Record</v>
      </c>
      <c r="AS279" s="6" t="str">
        <f>HYPERLINK("https://creighton-primo.hosted.exlibrisgroup.com/primo-explore/search?tab=default_tab&amp;search_scope=EVERYTHING&amp;vid=01CRU&amp;lang=en_US&amp;offset=0&amp;query=any,contains,991004693839702656","Catalog Record")</f>
        <v>Catalog Record</v>
      </c>
      <c r="AT279" s="6" t="str">
        <f>HYPERLINK("http://www.worldcat.org/oclc/4638134","WorldCat Record")</f>
        <v>WorldCat Record</v>
      </c>
      <c r="AU279" s="3" t="s">
        <v>3448</v>
      </c>
      <c r="AV279" s="3" t="s">
        <v>3449</v>
      </c>
      <c r="AW279" s="3" t="s">
        <v>3450</v>
      </c>
      <c r="AX279" s="3" t="s">
        <v>3450</v>
      </c>
      <c r="AY279" s="3" t="s">
        <v>3451</v>
      </c>
      <c r="AZ279" s="3" t="s">
        <v>73</v>
      </c>
      <c r="BB279" s="3" t="s">
        <v>3452</v>
      </c>
      <c r="BC279" s="3" t="s">
        <v>3453</v>
      </c>
      <c r="BD279" s="3" t="s">
        <v>3454</v>
      </c>
    </row>
    <row r="280" spans="1:56" ht="31.5" customHeight="1" x14ac:dyDescent="0.25">
      <c r="A280" s="7" t="s">
        <v>58</v>
      </c>
      <c r="B280" s="2" t="s">
        <v>3455</v>
      </c>
      <c r="C280" s="2" t="s">
        <v>3456</v>
      </c>
      <c r="D280" s="2" t="s">
        <v>3457</v>
      </c>
      <c r="F280" s="3" t="s">
        <v>58</v>
      </c>
      <c r="G280" s="3" t="s">
        <v>59</v>
      </c>
      <c r="H280" s="3" t="s">
        <v>58</v>
      </c>
      <c r="I280" s="3" t="s">
        <v>58</v>
      </c>
      <c r="J280" s="3" t="s">
        <v>60</v>
      </c>
      <c r="K280" s="2" t="s">
        <v>3458</v>
      </c>
      <c r="L280" s="2" t="s">
        <v>3459</v>
      </c>
      <c r="M280" s="3" t="s">
        <v>944</v>
      </c>
      <c r="O280" s="3" t="s">
        <v>63</v>
      </c>
      <c r="P280" s="3" t="s">
        <v>64</v>
      </c>
      <c r="R280" s="3" t="s">
        <v>65</v>
      </c>
      <c r="S280" s="4">
        <v>6</v>
      </c>
      <c r="T280" s="4">
        <v>6</v>
      </c>
      <c r="U280" s="5" t="s">
        <v>3460</v>
      </c>
      <c r="V280" s="5" t="s">
        <v>3460</v>
      </c>
      <c r="W280" s="5" t="s">
        <v>3461</v>
      </c>
      <c r="X280" s="5" t="s">
        <v>3461</v>
      </c>
      <c r="Y280" s="4">
        <v>786</v>
      </c>
      <c r="Z280" s="4">
        <v>755</v>
      </c>
      <c r="AA280" s="4">
        <v>800</v>
      </c>
      <c r="AB280" s="4">
        <v>5</v>
      </c>
      <c r="AC280" s="4">
        <v>6</v>
      </c>
      <c r="AD280" s="4">
        <v>11</v>
      </c>
      <c r="AE280" s="4">
        <v>11</v>
      </c>
      <c r="AF280" s="4">
        <v>6</v>
      </c>
      <c r="AG280" s="4">
        <v>6</v>
      </c>
      <c r="AH280" s="4">
        <v>3</v>
      </c>
      <c r="AI280" s="4">
        <v>3</v>
      </c>
      <c r="AJ280" s="4">
        <v>4</v>
      </c>
      <c r="AK280" s="4">
        <v>4</v>
      </c>
      <c r="AL280" s="4">
        <v>0</v>
      </c>
      <c r="AM280" s="4">
        <v>0</v>
      </c>
      <c r="AN280" s="4">
        <v>0</v>
      </c>
      <c r="AO280" s="4">
        <v>0</v>
      </c>
      <c r="AP280" s="3" t="s">
        <v>58</v>
      </c>
      <c r="AQ280" s="3" t="s">
        <v>68</v>
      </c>
      <c r="AR280" s="6" t="str">
        <f>HYPERLINK("http://catalog.hathitrust.org/Record/002229577","HathiTrust Record")</f>
        <v>HathiTrust Record</v>
      </c>
      <c r="AS280" s="6" t="str">
        <f>HYPERLINK("https://creighton-primo.hosted.exlibrisgroup.com/primo-explore/search?tab=default_tab&amp;search_scope=EVERYTHING&amp;vid=01CRU&amp;lang=en_US&amp;offset=0&amp;query=any,contains,991001709399702656","Catalog Record")</f>
        <v>Catalog Record</v>
      </c>
      <c r="AT280" s="6" t="str">
        <f>HYPERLINK("http://www.worldcat.org/oclc/21593790","WorldCat Record")</f>
        <v>WorldCat Record</v>
      </c>
      <c r="AU280" s="3" t="s">
        <v>3462</v>
      </c>
      <c r="AV280" s="3" t="s">
        <v>3463</v>
      </c>
      <c r="AW280" s="3" t="s">
        <v>3464</v>
      </c>
      <c r="AX280" s="3" t="s">
        <v>3464</v>
      </c>
      <c r="AY280" s="3" t="s">
        <v>3465</v>
      </c>
      <c r="AZ280" s="3" t="s">
        <v>73</v>
      </c>
      <c r="BB280" s="3" t="s">
        <v>3466</v>
      </c>
      <c r="BC280" s="3" t="s">
        <v>3467</v>
      </c>
      <c r="BD280" s="3" t="s">
        <v>3468</v>
      </c>
    </row>
    <row r="281" spans="1:56" ht="31.5" customHeight="1" x14ac:dyDescent="0.25">
      <c r="A281" s="7" t="s">
        <v>58</v>
      </c>
      <c r="B281" s="2" t="s">
        <v>3469</v>
      </c>
      <c r="C281" s="2" t="s">
        <v>3470</v>
      </c>
      <c r="D281" s="2" t="s">
        <v>3471</v>
      </c>
      <c r="F281" s="3" t="s">
        <v>58</v>
      </c>
      <c r="G281" s="3" t="s">
        <v>59</v>
      </c>
      <c r="H281" s="3" t="s">
        <v>58</v>
      </c>
      <c r="I281" s="3" t="s">
        <v>58</v>
      </c>
      <c r="J281" s="3" t="s">
        <v>60</v>
      </c>
      <c r="K281" s="2" t="s">
        <v>3472</v>
      </c>
      <c r="L281" s="2" t="s">
        <v>3473</v>
      </c>
      <c r="M281" s="3" t="s">
        <v>1370</v>
      </c>
      <c r="O281" s="3" t="s">
        <v>63</v>
      </c>
      <c r="P281" s="3" t="s">
        <v>444</v>
      </c>
      <c r="R281" s="3" t="s">
        <v>65</v>
      </c>
      <c r="S281" s="4">
        <v>3</v>
      </c>
      <c r="T281" s="4">
        <v>3</v>
      </c>
      <c r="U281" s="5" t="s">
        <v>3474</v>
      </c>
      <c r="V281" s="5" t="s">
        <v>3474</v>
      </c>
      <c r="W281" s="5" t="s">
        <v>3475</v>
      </c>
      <c r="X281" s="5" t="s">
        <v>3475</v>
      </c>
      <c r="Y281" s="4">
        <v>746</v>
      </c>
      <c r="Z281" s="4">
        <v>669</v>
      </c>
      <c r="AA281" s="4">
        <v>845</v>
      </c>
      <c r="AB281" s="4">
        <v>8</v>
      </c>
      <c r="AC281" s="4">
        <v>8</v>
      </c>
      <c r="AD281" s="4">
        <v>23</v>
      </c>
      <c r="AE281" s="4">
        <v>25</v>
      </c>
      <c r="AF281" s="4">
        <v>5</v>
      </c>
      <c r="AG281" s="4">
        <v>6</v>
      </c>
      <c r="AH281" s="4">
        <v>6</v>
      </c>
      <c r="AI281" s="4">
        <v>7</v>
      </c>
      <c r="AJ281" s="4">
        <v>11</v>
      </c>
      <c r="AK281" s="4">
        <v>13</v>
      </c>
      <c r="AL281" s="4">
        <v>6</v>
      </c>
      <c r="AM281" s="4">
        <v>6</v>
      </c>
      <c r="AN281" s="4">
        <v>0</v>
      </c>
      <c r="AO281" s="4">
        <v>0</v>
      </c>
      <c r="AP281" s="3" t="s">
        <v>58</v>
      </c>
      <c r="AQ281" s="3" t="s">
        <v>58</v>
      </c>
      <c r="AS281" s="6" t="str">
        <f>HYPERLINK("https://creighton-primo.hosted.exlibrisgroup.com/primo-explore/search?tab=default_tab&amp;search_scope=EVERYTHING&amp;vid=01CRU&amp;lang=en_US&amp;offset=0&amp;query=any,contains,991003530489702656","Catalog Record")</f>
        <v>Catalog Record</v>
      </c>
      <c r="AT281" s="6" t="str">
        <f>HYPERLINK("http://www.worldcat.org/oclc/1093435","WorldCat Record")</f>
        <v>WorldCat Record</v>
      </c>
      <c r="AU281" s="3" t="s">
        <v>3476</v>
      </c>
      <c r="AV281" s="3" t="s">
        <v>3477</v>
      </c>
      <c r="AW281" s="3" t="s">
        <v>3478</v>
      </c>
      <c r="AX281" s="3" t="s">
        <v>3478</v>
      </c>
      <c r="AY281" s="3" t="s">
        <v>3479</v>
      </c>
      <c r="AZ281" s="3" t="s">
        <v>73</v>
      </c>
      <c r="BB281" s="3" t="s">
        <v>3480</v>
      </c>
      <c r="BC281" s="3" t="s">
        <v>3481</v>
      </c>
      <c r="BD281" s="3" t="s">
        <v>3482</v>
      </c>
    </row>
    <row r="282" spans="1:56" ht="31.5" customHeight="1" x14ac:dyDescent="0.25">
      <c r="A282" s="7" t="s">
        <v>58</v>
      </c>
      <c r="B282" s="2" t="s">
        <v>3483</v>
      </c>
      <c r="C282" s="2" t="s">
        <v>3484</v>
      </c>
      <c r="D282" s="2" t="s">
        <v>3485</v>
      </c>
      <c r="F282" s="3" t="s">
        <v>58</v>
      </c>
      <c r="G282" s="3" t="s">
        <v>59</v>
      </c>
      <c r="H282" s="3" t="s">
        <v>58</v>
      </c>
      <c r="I282" s="3" t="s">
        <v>58</v>
      </c>
      <c r="J282" s="3" t="s">
        <v>60</v>
      </c>
      <c r="K282" s="2" t="s">
        <v>3486</v>
      </c>
      <c r="L282" s="2" t="s">
        <v>3487</v>
      </c>
      <c r="M282" s="3" t="s">
        <v>144</v>
      </c>
      <c r="O282" s="3" t="s">
        <v>63</v>
      </c>
      <c r="P282" s="3" t="s">
        <v>186</v>
      </c>
      <c r="R282" s="3" t="s">
        <v>65</v>
      </c>
      <c r="S282" s="4">
        <v>9</v>
      </c>
      <c r="T282" s="4">
        <v>9</v>
      </c>
      <c r="U282" s="5" t="s">
        <v>3488</v>
      </c>
      <c r="V282" s="5" t="s">
        <v>3488</v>
      </c>
      <c r="W282" s="5" t="s">
        <v>2091</v>
      </c>
      <c r="X282" s="5" t="s">
        <v>2091</v>
      </c>
      <c r="Y282" s="4">
        <v>563</v>
      </c>
      <c r="Z282" s="4">
        <v>495</v>
      </c>
      <c r="AA282" s="4">
        <v>501</v>
      </c>
      <c r="AB282" s="4">
        <v>2</v>
      </c>
      <c r="AC282" s="4">
        <v>2</v>
      </c>
      <c r="AD282" s="4">
        <v>9</v>
      </c>
      <c r="AE282" s="4">
        <v>9</v>
      </c>
      <c r="AF282" s="4">
        <v>3</v>
      </c>
      <c r="AG282" s="4">
        <v>3</v>
      </c>
      <c r="AH282" s="4">
        <v>3</v>
      </c>
      <c r="AI282" s="4">
        <v>3</v>
      </c>
      <c r="AJ282" s="4">
        <v>4</v>
      </c>
      <c r="AK282" s="4">
        <v>4</v>
      </c>
      <c r="AL282" s="4">
        <v>1</v>
      </c>
      <c r="AM282" s="4">
        <v>1</v>
      </c>
      <c r="AN282" s="4">
        <v>0</v>
      </c>
      <c r="AO282" s="4">
        <v>0</v>
      </c>
      <c r="AP282" s="3" t="s">
        <v>58</v>
      </c>
      <c r="AQ282" s="3" t="s">
        <v>58</v>
      </c>
      <c r="AS282" s="6" t="str">
        <f>HYPERLINK("https://creighton-primo.hosted.exlibrisgroup.com/primo-explore/search?tab=default_tab&amp;search_scope=EVERYTHING&amp;vid=01CRU&amp;lang=en_US&amp;offset=0&amp;query=any,contains,991005147699702656","Catalog Record")</f>
        <v>Catalog Record</v>
      </c>
      <c r="AT282" s="6" t="str">
        <f>HYPERLINK("http://www.worldcat.org/oclc/7672494","WorldCat Record")</f>
        <v>WorldCat Record</v>
      </c>
      <c r="AU282" s="3" t="s">
        <v>3489</v>
      </c>
      <c r="AV282" s="3" t="s">
        <v>3490</v>
      </c>
      <c r="AW282" s="3" t="s">
        <v>3491</v>
      </c>
      <c r="AX282" s="3" t="s">
        <v>3491</v>
      </c>
      <c r="AY282" s="3" t="s">
        <v>3492</v>
      </c>
      <c r="AZ282" s="3" t="s">
        <v>73</v>
      </c>
      <c r="BB282" s="3" t="s">
        <v>3493</v>
      </c>
      <c r="BC282" s="3" t="s">
        <v>3494</v>
      </c>
      <c r="BD282" s="3" t="s">
        <v>3495</v>
      </c>
    </row>
    <row r="283" spans="1:56" ht="31.5" customHeight="1" x14ac:dyDescent="0.25">
      <c r="A283" s="7" t="s">
        <v>58</v>
      </c>
      <c r="B283" s="2" t="s">
        <v>3496</v>
      </c>
      <c r="C283" s="2" t="s">
        <v>3497</v>
      </c>
      <c r="D283" s="2" t="s">
        <v>3498</v>
      </c>
      <c r="F283" s="3" t="s">
        <v>58</v>
      </c>
      <c r="G283" s="3" t="s">
        <v>59</v>
      </c>
      <c r="H283" s="3" t="s">
        <v>58</v>
      </c>
      <c r="I283" s="3" t="s">
        <v>58</v>
      </c>
      <c r="J283" s="3" t="s">
        <v>60</v>
      </c>
      <c r="K283" s="2" t="s">
        <v>3499</v>
      </c>
      <c r="L283" s="2" t="s">
        <v>3500</v>
      </c>
      <c r="M283" s="3" t="s">
        <v>1195</v>
      </c>
      <c r="O283" s="3" t="s">
        <v>63</v>
      </c>
      <c r="P283" s="3" t="s">
        <v>64</v>
      </c>
      <c r="Q283" s="2" t="s">
        <v>3501</v>
      </c>
      <c r="R283" s="3" t="s">
        <v>65</v>
      </c>
      <c r="S283" s="4">
        <v>2</v>
      </c>
      <c r="T283" s="4">
        <v>2</v>
      </c>
      <c r="U283" s="5" t="s">
        <v>3474</v>
      </c>
      <c r="V283" s="5" t="s">
        <v>3474</v>
      </c>
      <c r="W283" s="5" t="s">
        <v>1970</v>
      </c>
      <c r="X283" s="5" t="s">
        <v>1970</v>
      </c>
      <c r="Y283" s="4">
        <v>487</v>
      </c>
      <c r="Z283" s="4">
        <v>382</v>
      </c>
      <c r="AA283" s="4">
        <v>383</v>
      </c>
      <c r="AB283" s="4">
        <v>1</v>
      </c>
      <c r="AC283" s="4">
        <v>1</v>
      </c>
      <c r="AD283" s="4">
        <v>11</v>
      </c>
      <c r="AE283" s="4">
        <v>11</v>
      </c>
      <c r="AF283" s="4">
        <v>1</v>
      </c>
      <c r="AG283" s="4">
        <v>1</v>
      </c>
      <c r="AH283" s="4">
        <v>3</v>
      </c>
      <c r="AI283" s="4">
        <v>3</v>
      </c>
      <c r="AJ283" s="4">
        <v>8</v>
      </c>
      <c r="AK283" s="4">
        <v>8</v>
      </c>
      <c r="AL283" s="4">
        <v>0</v>
      </c>
      <c r="AM283" s="4">
        <v>0</v>
      </c>
      <c r="AN283" s="4">
        <v>0</v>
      </c>
      <c r="AO283" s="4">
        <v>0</v>
      </c>
      <c r="AP283" s="3" t="s">
        <v>58</v>
      </c>
      <c r="AQ283" s="3" t="s">
        <v>68</v>
      </c>
      <c r="AR283" s="6" t="str">
        <f>HYPERLINK("http://catalog.hathitrust.org/Record/001476027","HathiTrust Record")</f>
        <v>HathiTrust Record</v>
      </c>
      <c r="AS283" s="6" t="str">
        <f>HYPERLINK("https://creighton-primo.hosted.exlibrisgroup.com/primo-explore/search?tab=default_tab&amp;search_scope=EVERYTHING&amp;vid=01CRU&amp;lang=en_US&amp;offset=0&amp;query=any,contains,991002948899702656","Catalog Record")</f>
        <v>Catalog Record</v>
      </c>
      <c r="AT283" s="6" t="str">
        <f>HYPERLINK("http://www.worldcat.org/oclc/537705","WorldCat Record")</f>
        <v>WorldCat Record</v>
      </c>
      <c r="AU283" s="3" t="s">
        <v>3502</v>
      </c>
      <c r="AV283" s="3" t="s">
        <v>3503</v>
      </c>
      <c r="AW283" s="3" t="s">
        <v>3504</v>
      </c>
      <c r="AX283" s="3" t="s">
        <v>3504</v>
      </c>
      <c r="AY283" s="3" t="s">
        <v>3505</v>
      </c>
      <c r="AZ283" s="3" t="s">
        <v>73</v>
      </c>
      <c r="BC283" s="3" t="s">
        <v>3506</v>
      </c>
      <c r="BD283" s="3" t="s">
        <v>3507</v>
      </c>
    </row>
    <row r="284" spans="1:56" ht="31.5" customHeight="1" x14ac:dyDescent="0.25">
      <c r="A284" s="7" t="s">
        <v>58</v>
      </c>
      <c r="B284" s="2" t="s">
        <v>3508</v>
      </c>
      <c r="C284" s="2" t="s">
        <v>3509</v>
      </c>
      <c r="D284" s="2" t="s">
        <v>3510</v>
      </c>
      <c r="F284" s="3" t="s">
        <v>58</v>
      </c>
      <c r="G284" s="3" t="s">
        <v>59</v>
      </c>
      <c r="H284" s="3" t="s">
        <v>58</v>
      </c>
      <c r="I284" s="3" t="s">
        <v>58</v>
      </c>
      <c r="J284" s="3" t="s">
        <v>60</v>
      </c>
      <c r="L284" s="2" t="s">
        <v>3511</v>
      </c>
      <c r="M284" s="3" t="s">
        <v>257</v>
      </c>
      <c r="O284" s="3" t="s">
        <v>63</v>
      </c>
      <c r="P284" s="3" t="s">
        <v>186</v>
      </c>
      <c r="R284" s="3" t="s">
        <v>65</v>
      </c>
      <c r="S284" s="4">
        <v>3</v>
      </c>
      <c r="T284" s="4">
        <v>3</v>
      </c>
      <c r="U284" s="5" t="s">
        <v>3512</v>
      </c>
      <c r="V284" s="5" t="s">
        <v>3512</v>
      </c>
      <c r="W284" s="5" t="s">
        <v>3513</v>
      </c>
      <c r="X284" s="5" t="s">
        <v>3513</v>
      </c>
      <c r="Y284" s="4">
        <v>1012</v>
      </c>
      <c r="Z284" s="4">
        <v>891</v>
      </c>
      <c r="AA284" s="4">
        <v>903</v>
      </c>
      <c r="AB284" s="4">
        <v>4</v>
      </c>
      <c r="AC284" s="4">
        <v>4</v>
      </c>
      <c r="AD284" s="4">
        <v>30</v>
      </c>
      <c r="AE284" s="4">
        <v>30</v>
      </c>
      <c r="AF284" s="4">
        <v>13</v>
      </c>
      <c r="AG284" s="4">
        <v>13</v>
      </c>
      <c r="AH284" s="4">
        <v>8</v>
      </c>
      <c r="AI284" s="4">
        <v>8</v>
      </c>
      <c r="AJ284" s="4">
        <v>17</v>
      </c>
      <c r="AK284" s="4">
        <v>17</v>
      </c>
      <c r="AL284" s="4">
        <v>2</v>
      </c>
      <c r="AM284" s="4">
        <v>2</v>
      </c>
      <c r="AN284" s="4">
        <v>0</v>
      </c>
      <c r="AO284" s="4">
        <v>0</v>
      </c>
      <c r="AP284" s="3" t="s">
        <v>58</v>
      </c>
      <c r="AQ284" s="3" t="s">
        <v>58</v>
      </c>
      <c r="AS284" s="6" t="str">
        <f>HYPERLINK("https://creighton-primo.hosted.exlibrisgroup.com/primo-explore/search?tab=default_tab&amp;search_scope=EVERYTHING&amp;vid=01CRU&amp;lang=en_US&amp;offset=0&amp;query=any,contains,991002753779702656","Catalog Record")</f>
        <v>Catalog Record</v>
      </c>
      <c r="AT284" s="6" t="str">
        <f>HYPERLINK("http://www.worldcat.org/oclc/36130681","WorldCat Record")</f>
        <v>WorldCat Record</v>
      </c>
      <c r="AU284" s="3" t="s">
        <v>3514</v>
      </c>
      <c r="AV284" s="3" t="s">
        <v>3515</v>
      </c>
      <c r="AW284" s="3" t="s">
        <v>3516</v>
      </c>
      <c r="AX284" s="3" t="s">
        <v>3516</v>
      </c>
      <c r="AY284" s="3" t="s">
        <v>3517</v>
      </c>
      <c r="AZ284" s="3" t="s">
        <v>73</v>
      </c>
      <c r="BB284" s="3" t="s">
        <v>3518</v>
      </c>
      <c r="BC284" s="3" t="s">
        <v>3519</v>
      </c>
      <c r="BD284" s="3" t="s">
        <v>3520</v>
      </c>
    </row>
    <row r="285" spans="1:56" ht="31.5" customHeight="1" x14ac:dyDescent="0.25">
      <c r="A285" s="7" t="s">
        <v>58</v>
      </c>
      <c r="B285" s="2" t="s">
        <v>3521</v>
      </c>
      <c r="C285" s="2" t="s">
        <v>3522</v>
      </c>
      <c r="D285" s="2" t="s">
        <v>3523</v>
      </c>
      <c r="F285" s="3" t="s">
        <v>58</v>
      </c>
      <c r="G285" s="3" t="s">
        <v>59</v>
      </c>
      <c r="H285" s="3" t="s">
        <v>58</v>
      </c>
      <c r="I285" s="3" t="s">
        <v>58</v>
      </c>
      <c r="J285" s="3" t="s">
        <v>60</v>
      </c>
      <c r="K285" s="2" t="s">
        <v>3524</v>
      </c>
      <c r="L285" s="2" t="s">
        <v>3525</v>
      </c>
      <c r="M285" s="3" t="s">
        <v>62</v>
      </c>
      <c r="N285" s="2" t="s">
        <v>3526</v>
      </c>
      <c r="O285" s="3" t="s">
        <v>63</v>
      </c>
      <c r="P285" s="3" t="s">
        <v>64</v>
      </c>
      <c r="R285" s="3" t="s">
        <v>65</v>
      </c>
      <c r="S285" s="4">
        <v>3</v>
      </c>
      <c r="T285" s="4">
        <v>3</v>
      </c>
      <c r="U285" s="5" t="s">
        <v>2239</v>
      </c>
      <c r="V285" s="5" t="s">
        <v>2239</v>
      </c>
      <c r="W285" s="5" t="s">
        <v>2870</v>
      </c>
      <c r="X285" s="5" t="s">
        <v>2870</v>
      </c>
      <c r="Y285" s="4">
        <v>606</v>
      </c>
      <c r="Z285" s="4">
        <v>573</v>
      </c>
      <c r="AA285" s="4">
        <v>586</v>
      </c>
      <c r="AB285" s="4">
        <v>2</v>
      </c>
      <c r="AC285" s="4">
        <v>3</v>
      </c>
      <c r="AD285" s="4">
        <v>9</v>
      </c>
      <c r="AE285" s="4">
        <v>9</v>
      </c>
      <c r="AF285" s="4">
        <v>3</v>
      </c>
      <c r="AG285" s="4">
        <v>3</v>
      </c>
      <c r="AH285" s="4">
        <v>1</v>
      </c>
      <c r="AI285" s="4">
        <v>1</v>
      </c>
      <c r="AJ285" s="4">
        <v>6</v>
      </c>
      <c r="AK285" s="4">
        <v>6</v>
      </c>
      <c r="AL285" s="4">
        <v>1</v>
      </c>
      <c r="AM285" s="4">
        <v>1</v>
      </c>
      <c r="AN285" s="4">
        <v>0</v>
      </c>
      <c r="AO285" s="4">
        <v>0</v>
      </c>
      <c r="AP285" s="3" t="s">
        <v>58</v>
      </c>
      <c r="AQ285" s="3" t="s">
        <v>68</v>
      </c>
      <c r="AR285" s="6" t="str">
        <f>HYPERLINK("http://catalog.hathitrust.org/Record/004044299","HathiTrust Record")</f>
        <v>HathiTrust Record</v>
      </c>
      <c r="AS285" s="6" t="str">
        <f>HYPERLINK("https://creighton-primo.hosted.exlibrisgroup.com/primo-explore/search?tab=default_tab&amp;search_scope=EVERYTHING&amp;vid=01CRU&amp;lang=en_US&amp;offset=0&amp;query=any,contains,991003018209702656","Catalog Record")</f>
        <v>Catalog Record</v>
      </c>
      <c r="AT285" s="6" t="str">
        <f>HYPERLINK("http://www.worldcat.org/oclc/41086702","WorldCat Record")</f>
        <v>WorldCat Record</v>
      </c>
      <c r="AU285" s="3" t="s">
        <v>3527</v>
      </c>
      <c r="AV285" s="3" t="s">
        <v>3528</v>
      </c>
      <c r="AW285" s="3" t="s">
        <v>3529</v>
      </c>
      <c r="AX285" s="3" t="s">
        <v>3529</v>
      </c>
      <c r="AY285" s="3" t="s">
        <v>3530</v>
      </c>
      <c r="AZ285" s="3" t="s">
        <v>73</v>
      </c>
      <c r="BB285" s="3" t="s">
        <v>3531</v>
      </c>
      <c r="BC285" s="3" t="s">
        <v>3532</v>
      </c>
      <c r="BD285" s="3" t="s">
        <v>3533</v>
      </c>
    </row>
    <row r="286" spans="1:56" ht="31.5" customHeight="1" x14ac:dyDescent="0.25">
      <c r="A286" s="7" t="s">
        <v>58</v>
      </c>
      <c r="B286" s="2" t="s">
        <v>3534</v>
      </c>
      <c r="C286" s="2" t="s">
        <v>3535</v>
      </c>
      <c r="D286" s="2" t="s">
        <v>3536</v>
      </c>
      <c r="F286" s="3" t="s">
        <v>58</v>
      </c>
      <c r="G286" s="3" t="s">
        <v>59</v>
      </c>
      <c r="H286" s="3" t="s">
        <v>58</v>
      </c>
      <c r="I286" s="3" t="s">
        <v>58</v>
      </c>
      <c r="J286" s="3" t="s">
        <v>60</v>
      </c>
      <c r="K286" s="2" t="s">
        <v>3537</v>
      </c>
      <c r="L286" s="2" t="s">
        <v>3538</v>
      </c>
      <c r="M286" s="3" t="s">
        <v>82</v>
      </c>
      <c r="O286" s="3" t="s">
        <v>63</v>
      </c>
      <c r="P286" s="3" t="s">
        <v>360</v>
      </c>
      <c r="R286" s="3" t="s">
        <v>65</v>
      </c>
      <c r="S286" s="4">
        <v>3</v>
      </c>
      <c r="T286" s="4">
        <v>3</v>
      </c>
      <c r="U286" s="5" t="s">
        <v>3539</v>
      </c>
      <c r="V286" s="5" t="s">
        <v>3539</v>
      </c>
      <c r="W286" s="5" t="s">
        <v>3540</v>
      </c>
      <c r="X286" s="5" t="s">
        <v>3540</v>
      </c>
      <c r="Y286" s="4">
        <v>287</v>
      </c>
      <c r="Z286" s="4">
        <v>261</v>
      </c>
      <c r="AA286" s="4">
        <v>678</v>
      </c>
      <c r="AB286" s="4">
        <v>4</v>
      </c>
      <c r="AC286" s="4">
        <v>29</v>
      </c>
      <c r="AD286" s="4">
        <v>6</v>
      </c>
      <c r="AE286" s="4">
        <v>25</v>
      </c>
      <c r="AF286" s="4">
        <v>1</v>
      </c>
      <c r="AG286" s="4">
        <v>4</v>
      </c>
      <c r="AH286" s="4">
        <v>1</v>
      </c>
      <c r="AI286" s="4">
        <v>3</v>
      </c>
      <c r="AJ286" s="4">
        <v>3</v>
      </c>
      <c r="AK286" s="4">
        <v>8</v>
      </c>
      <c r="AL286" s="4">
        <v>3</v>
      </c>
      <c r="AM286" s="4">
        <v>14</v>
      </c>
      <c r="AN286" s="4">
        <v>0</v>
      </c>
      <c r="AO286" s="4">
        <v>0</v>
      </c>
      <c r="AP286" s="3" t="s">
        <v>58</v>
      </c>
      <c r="AQ286" s="3" t="s">
        <v>58</v>
      </c>
      <c r="AS286" s="6" t="str">
        <f>HYPERLINK("https://creighton-primo.hosted.exlibrisgroup.com/primo-explore/search?tab=default_tab&amp;search_scope=EVERYTHING&amp;vid=01CRU&amp;lang=en_US&amp;offset=0&amp;query=any,contains,991003962849702656","Catalog Record")</f>
        <v>Catalog Record</v>
      </c>
      <c r="AT286" s="6" t="str">
        <f>HYPERLINK("http://www.worldcat.org/oclc/50124331","WorldCat Record")</f>
        <v>WorldCat Record</v>
      </c>
      <c r="AU286" s="3" t="s">
        <v>3541</v>
      </c>
      <c r="AV286" s="3" t="s">
        <v>3542</v>
      </c>
      <c r="AW286" s="3" t="s">
        <v>3543</v>
      </c>
      <c r="AX286" s="3" t="s">
        <v>3543</v>
      </c>
      <c r="AY286" s="3" t="s">
        <v>3544</v>
      </c>
      <c r="AZ286" s="3" t="s">
        <v>73</v>
      </c>
      <c r="BB286" s="3" t="s">
        <v>3545</v>
      </c>
      <c r="BC286" s="3" t="s">
        <v>3546</v>
      </c>
      <c r="BD286" s="3" t="s">
        <v>3547</v>
      </c>
    </row>
    <row r="287" spans="1:56" ht="31.5" customHeight="1" x14ac:dyDescent="0.25">
      <c r="A287" s="7" t="s">
        <v>58</v>
      </c>
      <c r="B287" s="2" t="s">
        <v>3548</v>
      </c>
      <c r="C287" s="2" t="s">
        <v>3549</v>
      </c>
      <c r="D287" s="2" t="s">
        <v>3550</v>
      </c>
      <c r="F287" s="3" t="s">
        <v>58</v>
      </c>
      <c r="G287" s="3" t="s">
        <v>59</v>
      </c>
      <c r="H287" s="3" t="s">
        <v>58</v>
      </c>
      <c r="I287" s="3" t="s">
        <v>58</v>
      </c>
      <c r="J287" s="3" t="s">
        <v>60</v>
      </c>
      <c r="L287" s="2" t="s">
        <v>3551</v>
      </c>
      <c r="M287" s="3" t="s">
        <v>607</v>
      </c>
      <c r="O287" s="3" t="s">
        <v>63</v>
      </c>
      <c r="P287" s="3" t="s">
        <v>186</v>
      </c>
      <c r="R287" s="3" t="s">
        <v>65</v>
      </c>
      <c r="S287" s="4">
        <v>11</v>
      </c>
      <c r="T287" s="4">
        <v>11</v>
      </c>
      <c r="U287" s="5" t="s">
        <v>3460</v>
      </c>
      <c r="V287" s="5" t="s">
        <v>3460</v>
      </c>
      <c r="W287" s="5" t="s">
        <v>3552</v>
      </c>
      <c r="X287" s="5" t="s">
        <v>3552</v>
      </c>
      <c r="Y287" s="4">
        <v>792</v>
      </c>
      <c r="Z287" s="4">
        <v>677</v>
      </c>
      <c r="AA287" s="4">
        <v>679</v>
      </c>
      <c r="AB287" s="4">
        <v>3</v>
      </c>
      <c r="AC287" s="4">
        <v>3</v>
      </c>
      <c r="AD287" s="4">
        <v>21</v>
      </c>
      <c r="AE287" s="4">
        <v>21</v>
      </c>
      <c r="AF287" s="4">
        <v>9</v>
      </c>
      <c r="AG287" s="4">
        <v>9</v>
      </c>
      <c r="AH287" s="4">
        <v>4</v>
      </c>
      <c r="AI287" s="4">
        <v>4</v>
      </c>
      <c r="AJ287" s="4">
        <v>11</v>
      </c>
      <c r="AK287" s="4">
        <v>11</v>
      </c>
      <c r="AL287" s="4">
        <v>2</v>
      </c>
      <c r="AM287" s="4">
        <v>2</v>
      </c>
      <c r="AN287" s="4">
        <v>0</v>
      </c>
      <c r="AO287" s="4">
        <v>0</v>
      </c>
      <c r="AP287" s="3" t="s">
        <v>58</v>
      </c>
      <c r="AQ287" s="3" t="s">
        <v>68</v>
      </c>
      <c r="AR287" s="6" t="str">
        <f>HYPERLINK("http://catalog.hathitrust.org/Record/001483857","HathiTrust Record")</f>
        <v>HathiTrust Record</v>
      </c>
      <c r="AS287" s="6" t="str">
        <f>HYPERLINK("https://creighton-primo.hosted.exlibrisgroup.com/primo-explore/search?tab=default_tab&amp;search_scope=EVERYTHING&amp;vid=01CRU&amp;lang=en_US&amp;offset=0&amp;query=any,contains,991001094959702656","Catalog Record")</f>
        <v>Catalog Record</v>
      </c>
      <c r="AT287" s="6" t="str">
        <f>HYPERLINK("http://www.worldcat.org/oclc/700752","WorldCat Record")</f>
        <v>WorldCat Record</v>
      </c>
      <c r="AU287" s="3" t="s">
        <v>3553</v>
      </c>
      <c r="AV287" s="3" t="s">
        <v>3554</v>
      </c>
      <c r="AW287" s="3" t="s">
        <v>3555</v>
      </c>
      <c r="AX287" s="3" t="s">
        <v>3555</v>
      </c>
      <c r="AY287" s="3" t="s">
        <v>3556</v>
      </c>
      <c r="AZ287" s="3" t="s">
        <v>73</v>
      </c>
      <c r="BB287" s="3" t="s">
        <v>3557</v>
      </c>
      <c r="BC287" s="3" t="s">
        <v>3558</v>
      </c>
      <c r="BD287" s="3" t="s">
        <v>3559</v>
      </c>
    </row>
    <row r="288" spans="1:56" ht="31.5" customHeight="1" x14ac:dyDescent="0.25">
      <c r="A288" s="7" t="s">
        <v>58</v>
      </c>
      <c r="B288" s="2" t="s">
        <v>3560</v>
      </c>
      <c r="C288" s="2" t="s">
        <v>3561</v>
      </c>
      <c r="D288" s="2" t="s">
        <v>3562</v>
      </c>
      <c r="F288" s="3" t="s">
        <v>58</v>
      </c>
      <c r="G288" s="3" t="s">
        <v>59</v>
      </c>
      <c r="H288" s="3" t="s">
        <v>58</v>
      </c>
      <c r="I288" s="3" t="s">
        <v>58</v>
      </c>
      <c r="J288" s="3" t="s">
        <v>60</v>
      </c>
      <c r="K288" s="2" t="s">
        <v>3563</v>
      </c>
      <c r="L288" s="2" t="s">
        <v>3564</v>
      </c>
      <c r="M288" s="3" t="s">
        <v>244</v>
      </c>
      <c r="N288" s="2" t="s">
        <v>3565</v>
      </c>
      <c r="O288" s="3" t="s">
        <v>63</v>
      </c>
      <c r="P288" s="3" t="s">
        <v>64</v>
      </c>
      <c r="R288" s="3" t="s">
        <v>65</v>
      </c>
      <c r="S288" s="4">
        <v>1</v>
      </c>
      <c r="T288" s="4">
        <v>1</v>
      </c>
      <c r="U288" s="5" t="s">
        <v>3566</v>
      </c>
      <c r="V288" s="5" t="s">
        <v>3566</v>
      </c>
      <c r="W288" s="5" t="s">
        <v>2091</v>
      </c>
      <c r="X288" s="5" t="s">
        <v>2091</v>
      </c>
      <c r="Y288" s="4">
        <v>45</v>
      </c>
      <c r="Z288" s="4">
        <v>41</v>
      </c>
      <c r="AA288" s="4">
        <v>497</v>
      </c>
      <c r="AB288" s="4">
        <v>1</v>
      </c>
      <c r="AC288" s="4">
        <v>3</v>
      </c>
      <c r="AD288" s="4">
        <v>1</v>
      </c>
      <c r="AE288" s="4">
        <v>9</v>
      </c>
      <c r="AF288" s="4">
        <v>0</v>
      </c>
      <c r="AG288" s="4">
        <v>4</v>
      </c>
      <c r="AH288" s="4">
        <v>0</v>
      </c>
      <c r="AI288" s="4">
        <v>1</v>
      </c>
      <c r="AJ288" s="4">
        <v>1</v>
      </c>
      <c r="AK288" s="4">
        <v>4</v>
      </c>
      <c r="AL288" s="4">
        <v>0</v>
      </c>
      <c r="AM288" s="4">
        <v>2</v>
      </c>
      <c r="AN288" s="4">
        <v>0</v>
      </c>
      <c r="AO288" s="4">
        <v>0</v>
      </c>
      <c r="AP288" s="3" t="s">
        <v>58</v>
      </c>
      <c r="AQ288" s="3" t="s">
        <v>58</v>
      </c>
      <c r="AS288" s="6" t="str">
        <f>HYPERLINK("https://creighton-primo.hosted.exlibrisgroup.com/primo-explore/search?tab=default_tab&amp;search_scope=EVERYTHING&amp;vid=01CRU&amp;lang=en_US&amp;offset=0&amp;query=any,contains,991005098519702656","Catalog Record")</f>
        <v>Catalog Record</v>
      </c>
      <c r="AT288" s="6" t="str">
        <f>HYPERLINK("http://www.worldcat.org/oclc/7277891","WorldCat Record")</f>
        <v>WorldCat Record</v>
      </c>
      <c r="AU288" s="3" t="s">
        <v>3567</v>
      </c>
      <c r="AV288" s="3" t="s">
        <v>3568</v>
      </c>
      <c r="AW288" s="3" t="s">
        <v>3569</v>
      </c>
      <c r="AX288" s="3" t="s">
        <v>3569</v>
      </c>
      <c r="AY288" s="3" t="s">
        <v>3570</v>
      </c>
      <c r="AZ288" s="3" t="s">
        <v>73</v>
      </c>
      <c r="BB288" s="3" t="s">
        <v>3571</v>
      </c>
      <c r="BC288" s="3" t="s">
        <v>3572</v>
      </c>
      <c r="BD288" s="3" t="s">
        <v>3573</v>
      </c>
    </row>
    <row r="289" spans="1:56" ht="31.5" customHeight="1" x14ac:dyDescent="0.25">
      <c r="A289" s="7" t="s">
        <v>58</v>
      </c>
      <c r="B289" s="2" t="s">
        <v>3574</v>
      </c>
      <c r="C289" s="2" t="s">
        <v>3575</v>
      </c>
      <c r="D289" s="2" t="s">
        <v>3576</v>
      </c>
      <c r="F289" s="3" t="s">
        <v>58</v>
      </c>
      <c r="G289" s="3" t="s">
        <v>59</v>
      </c>
      <c r="H289" s="3" t="s">
        <v>58</v>
      </c>
      <c r="I289" s="3" t="s">
        <v>58</v>
      </c>
      <c r="J289" s="3" t="s">
        <v>60</v>
      </c>
      <c r="K289" s="2" t="s">
        <v>3577</v>
      </c>
      <c r="L289" s="2" t="s">
        <v>2506</v>
      </c>
      <c r="M289" s="3" t="s">
        <v>1912</v>
      </c>
      <c r="O289" s="3" t="s">
        <v>63</v>
      </c>
      <c r="P289" s="3" t="s">
        <v>186</v>
      </c>
      <c r="R289" s="3" t="s">
        <v>65</v>
      </c>
      <c r="S289" s="4">
        <v>3</v>
      </c>
      <c r="T289" s="4">
        <v>3</v>
      </c>
      <c r="U289" s="5" t="s">
        <v>3578</v>
      </c>
      <c r="V289" s="5" t="s">
        <v>3578</v>
      </c>
      <c r="W289" s="5" t="s">
        <v>3579</v>
      </c>
      <c r="X289" s="5" t="s">
        <v>3579</v>
      </c>
      <c r="Y289" s="4">
        <v>536</v>
      </c>
      <c r="Z289" s="4">
        <v>413</v>
      </c>
      <c r="AA289" s="4">
        <v>499</v>
      </c>
      <c r="AB289" s="4">
        <v>3</v>
      </c>
      <c r="AC289" s="4">
        <v>4</v>
      </c>
      <c r="AD289" s="4">
        <v>16</v>
      </c>
      <c r="AE289" s="4">
        <v>20</v>
      </c>
      <c r="AF289" s="4">
        <v>5</v>
      </c>
      <c r="AG289" s="4">
        <v>6</v>
      </c>
      <c r="AH289" s="4">
        <v>4</v>
      </c>
      <c r="AI289" s="4">
        <v>6</v>
      </c>
      <c r="AJ289" s="4">
        <v>8</v>
      </c>
      <c r="AK289" s="4">
        <v>9</v>
      </c>
      <c r="AL289" s="4">
        <v>2</v>
      </c>
      <c r="AM289" s="4">
        <v>3</v>
      </c>
      <c r="AN289" s="4">
        <v>0</v>
      </c>
      <c r="AO289" s="4">
        <v>0</v>
      </c>
      <c r="AP289" s="3" t="s">
        <v>58</v>
      </c>
      <c r="AQ289" s="3" t="s">
        <v>58</v>
      </c>
      <c r="AS289" s="6" t="str">
        <f>HYPERLINK("https://creighton-primo.hosted.exlibrisgroup.com/primo-explore/search?tab=default_tab&amp;search_scope=EVERYTHING&amp;vid=01CRU&amp;lang=en_US&amp;offset=0&amp;query=any,contains,991000618199702656","Catalog Record")</f>
        <v>Catalog Record</v>
      </c>
      <c r="AT289" s="6" t="str">
        <f>HYPERLINK("http://www.worldcat.org/oclc/11969914","WorldCat Record")</f>
        <v>WorldCat Record</v>
      </c>
      <c r="AU289" s="3" t="s">
        <v>3580</v>
      </c>
      <c r="AV289" s="3" t="s">
        <v>3581</v>
      </c>
      <c r="AW289" s="3" t="s">
        <v>3582</v>
      </c>
      <c r="AX289" s="3" t="s">
        <v>3582</v>
      </c>
      <c r="AY289" s="3" t="s">
        <v>3583</v>
      </c>
      <c r="AZ289" s="3" t="s">
        <v>73</v>
      </c>
      <c r="BB289" s="3" t="s">
        <v>3584</v>
      </c>
      <c r="BC289" s="3" t="s">
        <v>3585</v>
      </c>
      <c r="BD289" s="3" t="s">
        <v>3586</v>
      </c>
    </row>
    <row r="290" spans="1:56" ht="31.5" customHeight="1" x14ac:dyDescent="0.25">
      <c r="A290" s="7" t="s">
        <v>58</v>
      </c>
      <c r="B290" s="2" t="s">
        <v>3587</v>
      </c>
      <c r="C290" s="2" t="s">
        <v>3588</v>
      </c>
      <c r="D290" s="2" t="s">
        <v>3589</v>
      </c>
      <c r="F290" s="3" t="s">
        <v>58</v>
      </c>
      <c r="G290" s="3" t="s">
        <v>59</v>
      </c>
      <c r="H290" s="3" t="s">
        <v>58</v>
      </c>
      <c r="I290" s="3" t="s">
        <v>58</v>
      </c>
      <c r="J290" s="3" t="s">
        <v>60</v>
      </c>
      <c r="K290" s="2" t="s">
        <v>957</v>
      </c>
      <c r="L290" s="2" t="s">
        <v>3590</v>
      </c>
      <c r="M290" s="3" t="s">
        <v>633</v>
      </c>
      <c r="O290" s="3" t="s">
        <v>63</v>
      </c>
      <c r="P290" s="3" t="s">
        <v>64</v>
      </c>
      <c r="R290" s="3" t="s">
        <v>65</v>
      </c>
      <c r="S290" s="4">
        <v>14</v>
      </c>
      <c r="T290" s="4">
        <v>14</v>
      </c>
      <c r="U290" s="5" t="s">
        <v>3591</v>
      </c>
      <c r="V290" s="5" t="s">
        <v>3591</v>
      </c>
      <c r="W290" s="5" t="s">
        <v>3592</v>
      </c>
      <c r="X290" s="5" t="s">
        <v>3592</v>
      </c>
      <c r="Y290" s="4">
        <v>1040</v>
      </c>
      <c r="Z290" s="4">
        <v>995</v>
      </c>
      <c r="AA290" s="4">
        <v>1016</v>
      </c>
      <c r="AB290" s="4">
        <v>4</v>
      </c>
      <c r="AC290" s="4">
        <v>4</v>
      </c>
      <c r="AD290" s="4">
        <v>31</v>
      </c>
      <c r="AE290" s="4">
        <v>31</v>
      </c>
      <c r="AF290" s="4">
        <v>13</v>
      </c>
      <c r="AG290" s="4">
        <v>13</v>
      </c>
      <c r="AH290" s="4">
        <v>6</v>
      </c>
      <c r="AI290" s="4">
        <v>6</v>
      </c>
      <c r="AJ290" s="4">
        <v>18</v>
      </c>
      <c r="AK290" s="4">
        <v>18</v>
      </c>
      <c r="AL290" s="4">
        <v>2</v>
      </c>
      <c r="AM290" s="4">
        <v>2</v>
      </c>
      <c r="AN290" s="4">
        <v>0</v>
      </c>
      <c r="AO290" s="4">
        <v>0</v>
      </c>
      <c r="AP290" s="3" t="s">
        <v>58</v>
      </c>
      <c r="AQ290" s="3" t="s">
        <v>68</v>
      </c>
      <c r="AR290" s="6" t="str">
        <f>HYPERLINK("http://catalog.hathitrust.org/Record/002994390","HathiTrust Record")</f>
        <v>HathiTrust Record</v>
      </c>
      <c r="AS290" s="6" t="str">
        <f>HYPERLINK("https://creighton-primo.hosted.exlibrisgroup.com/primo-explore/search?tab=default_tab&amp;search_scope=EVERYTHING&amp;vid=01CRU&amp;lang=en_US&amp;offset=0&amp;query=any,contains,991002461619702656","Catalog Record")</f>
        <v>Catalog Record</v>
      </c>
      <c r="AT290" s="6" t="str">
        <f>HYPERLINK("http://www.worldcat.org/oclc/32085300","WorldCat Record")</f>
        <v>WorldCat Record</v>
      </c>
      <c r="AU290" s="3" t="s">
        <v>3593</v>
      </c>
      <c r="AV290" s="3" t="s">
        <v>3594</v>
      </c>
      <c r="AW290" s="3" t="s">
        <v>3595</v>
      </c>
      <c r="AX290" s="3" t="s">
        <v>3595</v>
      </c>
      <c r="AY290" s="3" t="s">
        <v>3596</v>
      </c>
      <c r="AZ290" s="3" t="s">
        <v>73</v>
      </c>
      <c r="BB290" s="3" t="s">
        <v>3597</v>
      </c>
      <c r="BC290" s="3" t="s">
        <v>3598</v>
      </c>
      <c r="BD290" s="3" t="s">
        <v>3599</v>
      </c>
    </row>
    <row r="291" spans="1:56" ht="31.5" customHeight="1" x14ac:dyDescent="0.25">
      <c r="A291" s="7" t="s">
        <v>58</v>
      </c>
      <c r="B291" s="2" t="s">
        <v>3600</v>
      </c>
      <c r="C291" s="2" t="s">
        <v>3601</v>
      </c>
      <c r="D291" s="2" t="s">
        <v>3602</v>
      </c>
      <c r="F291" s="3" t="s">
        <v>58</v>
      </c>
      <c r="G291" s="3" t="s">
        <v>59</v>
      </c>
      <c r="H291" s="3" t="s">
        <v>58</v>
      </c>
      <c r="I291" s="3" t="s">
        <v>58</v>
      </c>
      <c r="J291" s="3" t="s">
        <v>60</v>
      </c>
      <c r="K291" s="2" t="s">
        <v>3603</v>
      </c>
      <c r="L291" s="2" t="s">
        <v>3604</v>
      </c>
      <c r="M291" s="3" t="s">
        <v>537</v>
      </c>
      <c r="N291" s="2" t="s">
        <v>3605</v>
      </c>
      <c r="O291" s="3" t="s">
        <v>63</v>
      </c>
      <c r="P291" s="3" t="s">
        <v>129</v>
      </c>
      <c r="R291" s="3" t="s">
        <v>65</v>
      </c>
      <c r="S291" s="4">
        <v>6</v>
      </c>
      <c r="T291" s="4">
        <v>6</v>
      </c>
      <c r="U291" s="5" t="s">
        <v>3446</v>
      </c>
      <c r="V291" s="5" t="s">
        <v>3446</v>
      </c>
      <c r="W291" s="5" t="s">
        <v>3606</v>
      </c>
      <c r="X291" s="5" t="s">
        <v>3606</v>
      </c>
      <c r="Y291" s="4">
        <v>444</v>
      </c>
      <c r="Z291" s="4">
        <v>394</v>
      </c>
      <c r="AA291" s="4">
        <v>399</v>
      </c>
      <c r="AB291" s="4">
        <v>4</v>
      </c>
      <c r="AC291" s="4">
        <v>4</v>
      </c>
      <c r="AD291" s="4">
        <v>21</v>
      </c>
      <c r="AE291" s="4">
        <v>21</v>
      </c>
      <c r="AF291" s="4">
        <v>7</v>
      </c>
      <c r="AG291" s="4">
        <v>7</v>
      </c>
      <c r="AH291" s="4">
        <v>6</v>
      </c>
      <c r="AI291" s="4">
        <v>6</v>
      </c>
      <c r="AJ291" s="4">
        <v>9</v>
      </c>
      <c r="AK291" s="4">
        <v>9</v>
      </c>
      <c r="AL291" s="4">
        <v>3</v>
      </c>
      <c r="AM291" s="4">
        <v>3</v>
      </c>
      <c r="AN291" s="4">
        <v>0</v>
      </c>
      <c r="AO291" s="4">
        <v>0</v>
      </c>
      <c r="AP291" s="3" t="s">
        <v>58</v>
      </c>
      <c r="AQ291" s="3" t="s">
        <v>58</v>
      </c>
      <c r="AS291" s="6" t="str">
        <f>HYPERLINK("https://creighton-primo.hosted.exlibrisgroup.com/primo-explore/search?tab=default_tab&amp;search_scope=EVERYTHING&amp;vid=01CRU&amp;lang=en_US&amp;offset=0&amp;query=any,contains,991001744889702656","Catalog Record")</f>
        <v>Catalog Record</v>
      </c>
      <c r="AT291" s="6" t="str">
        <f>HYPERLINK("http://www.worldcat.org/oclc/22111249","WorldCat Record")</f>
        <v>WorldCat Record</v>
      </c>
      <c r="AU291" s="3" t="s">
        <v>3607</v>
      </c>
      <c r="AV291" s="3" t="s">
        <v>3608</v>
      </c>
      <c r="AW291" s="3" t="s">
        <v>3609</v>
      </c>
      <c r="AX291" s="3" t="s">
        <v>3609</v>
      </c>
      <c r="AY291" s="3" t="s">
        <v>3610</v>
      </c>
      <c r="AZ291" s="3" t="s">
        <v>73</v>
      </c>
      <c r="BB291" s="3" t="s">
        <v>3611</v>
      </c>
      <c r="BC291" s="3" t="s">
        <v>3612</v>
      </c>
      <c r="BD291" s="3" t="s">
        <v>3613</v>
      </c>
    </row>
    <row r="292" spans="1:56" ht="31.5" customHeight="1" x14ac:dyDescent="0.25">
      <c r="A292" s="7" t="s">
        <v>58</v>
      </c>
      <c r="B292" s="2" t="s">
        <v>3614</v>
      </c>
      <c r="C292" s="2" t="s">
        <v>3615</v>
      </c>
      <c r="D292" s="2" t="s">
        <v>3616</v>
      </c>
      <c r="F292" s="3" t="s">
        <v>58</v>
      </c>
      <c r="G292" s="3" t="s">
        <v>59</v>
      </c>
      <c r="H292" s="3" t="s">
        <v>58</v>
      </c>
      <c r="I292" s="3" t="s">
        <v>58</v>
      </c>
      <c r="J292" s="3" t="s">
        <v>60</v>
      </c>
      <c r="K292" s="2" t="s">
        <v>3617</v>
      </c>
      <c r="L292" s="2" t="s">
        <v>2856</v>
      </c>
      <c r="M292" s="3" t="s">
        <v>1939</v>
      </c>
      <c r="O292" s="3" t="s">
        <v>63</v>
      </c>
      <c r="P292" s="3" t="s">
        <v>186</v>
      </c>
      <c r="R292" s="3" t="s">
        <v>65</v>
      </c>
      <c r="S292" s="4">
        <v>11</v>
      </c>
      <c r="T292" s="4">
        <v>11</v>
      </c>
      <c r="U292" s="5" t="s">
        <v>3488</v>
      </c>
      <c r="V292" s="5" t="s">
        <v>3488</v>
      </c>
      <c r="W292" s="5" t="s">
        <v>3618</v>
      </c>
      <c r="X292" s="5" t="s">
        <v>3618</v>
      </c>
      <c r="Y292" s="4">
        <v>402</v>
      </c>
      <c r="Z292" s="4">
        <v>298</v>
      </c>
      <c r="AA292" s="4">
        <v>333</v>
      </c>
      <c r="AB292" s="4">
        <v>3</v>
      </c>
      <c r="AC292" s="4">
        <v>3</v>
      </c>
      <c r="AD292" s="4">
        <v>11</v>
      </c>
      <c r="AE292" s="4">
        <v>11</v>
      </c>
      <c r="AF292" s="4">
        <v>5</v>
      </c>
      <c r="AG292" s="4">
        <v>5</v>
      </c>
      <c r="AH292" s="4">
        <v>2</v>
      </c>
      <c r="AI292" s="4">
        <v>2</v>
      </c>
      <c r="AJ292" s="4">
        <v>5</v>
      </c>
      <c r="AK292" s="4">
        <v>5</v>
      </c>
      <c r="AL292" s="4">
        <v>2</v>
      </c>
      <c r="AM292" s="4">
        <v>2</v>
      </c>
      <c r="AN292" s="4">
        <v>0</v>
      </c>
      <c r="AO292" s="4">
        <v>0</v>
      </c>
      <c r="AP292" s="3" t="s">
        <v>58</v>
      </c>
      <c r="AQ292" s="3" t="s">
        <v>58</v>
      </c>
      <c r="AS292" s="6" t="str">
        <f>HYPERLINK("https://creighton-primo.hosted.exlibrisgroup.com/primo-explore/search?tab=default_tab&amp;search_scope=EVERYTHING&amp;vid=01CRU&amp;lang=en_US&amp;offset=0&amp;query=any,contains,991002547789702656","Catalog Record")</f>
        <v>Catalog Record</v>
      </c>
      <c r="AT292" s="6" t="str">
        <f>HYPERLINK("http://www.worldcat.org/oclc/33102034","WorldCat Record")</f>
        <v>WorldCat Record</v>
      </c>
      <c r="AU292" s="3" t="s">
        <v>3619</v>
      </c>
      <c r="AV292" s="3" t="s">
        <v>3620</v>
      </c>
      <c r="AW292" s="3" t="s">
        <v>3621</v>
      </c>
      <c r="AX292" s="3" t="s">
        <v>3621</v>
      </c>
      <c r="AY292" s="3" t="s">
        <v>3622</v>
      </c>
      <c r="AZ292" s="3" t="s">
        <v>73</v>
      </c>
      <c r="BB292" s="3" t="s">
        <v>3623</v>
      </c>
      <c r="BC292" s="3" t="s">
        <v>3624</v>
      </c>
      <c r="BD292" s="3" t="s">
        <v>3625</v>
      </c>
    </row>
    <row r="293" spans="1:56" ht="31.5" customHeight="1" x14ac:dyDescent="0.25">
      <c r="A293" s="7" t="s">
        <v>58</v>
      </c>
      <c r="B293" s="2" t="s">
        <v>3626</v>
      </c>
      <c r="C293" s="2" t="s">
        <v>3627</v>
      </c>
      <c r="D293" s="2" t="s">
        <v>3628</v>
      </c>
      <c r="F293" s="3" t="s">
        <v>58</v>
      </c>
      <c r="G293" s="3" t="s">
        <v>59</v>
      </c>
      <c r="H293" s="3" t="s">
        <v>58</v>
      </c>
      <c r="I293" s="3" t="s">
        <v>58</v>
      </c>
      <c r="J293" s="3" t="s">
        <v>60</v>
      </c>
      <c r="K293" s="2" t="s">
        <v>3617</v>
      </c>
      <c r="L293" s="2" t="s">
        <v>3629</v>
      </c>
      <c r="M293" s="3" t="s">
        <v>835</v>
      </c>
      <c r="O293" s="3" t="s">
        <v>63</v>
      </c>
      <c r="P293" s="3" t="s">
        <v>186</v>
      </c>
      <c r="R293" s="3" t="s">
        <v>65</v>
      </c>
      <c r="S293" s="4">
        <v>2</v>
      </c>
      <c r="T293" s="4">
        <v>2</v>
      </c>
      <c r="U293" s="5" t="s">
        <v>3630</v>
      </c>
      <c r="V293" s="5" t="s">
        <v>3630</v>
      </c>
      <c r="W293" s="5" t="s">
        <v>3631</v>
      </c>
      <c r="X293" s="5" t="s">
        <v>3631</v>
      </c>
      <c r="Y293" s="4">
        <v>840</v>
      </c>
      <c r="Z293" s="4">
        <v>719</v>
      </c>
      <c r="AA293" s="4">
        <v>763</v>
      </c>
      <c r="AB293" s="4">
        <v>2</v>
      </c>
      <c r="AC293" s="4">
        <v>2</v>
      </c>
      <c r="AD293" s="4">
        <v>24</v>
      </c>
      <c r="AE293" s="4">
        <v>24</v>
      </c>
      <c r="AF293" s="4">
        <v>11</v>
      </c>
      <c r="AG293" s="4">
        <v>11</v>
      </c>
      <c r="AH293" s="4">
        <v>5</v>
      </c>
      <c r="AI293" s="4">
        <v>5</v>
      </c>
      <c r="AJ293" s="4">
        <v>13</v>
      </c>
      <c r="AK293" s="4">
        <v>13</v>
      </c>
      <c r="AL293" s="4">
        <v>1</v>
      </c>
      <c r="AM293" s="4">
        <v>1</v>
      </c>
      <c r="AN293" s="4">
        <v>0</v>
      </c>
      <c r="AO293" s="4">
        <v>0</v>
      </c>
      <c r="AP293" s="3" t="s">
        <v>58</v>
      </c>
      <c r="AQ293" s="3" t="s">
        <v>58</v>
      </c>
      <c r="AS293" s="6" t="str">
        <f>HYPERLINK("https://creighton-primo.hosted.exlibrisgroup.com/primo-explore/search?tab=default_tab&amp;search_scope=EVERYTHING&amp;vid=01CRU&amp;lang=en_US&amp;offset=0&amp;query=any,contains,991002938759702656","Catalog Record")</f>
        <v>Catalog Record</v>
      </c>
      <c r="AT293" s="6" t="str">
        <f>HYPERLINK("http://www.worldcat.org/oclc/39093581","WorldCat Record")</f>
        <v>WorldCat Record</v>
      </c>
      <c r="AU293" s="3" t="s">
        <v>3632</v>
      </c>
      <c r="AV293" s="3" t="s">
        <v>3633</v>
      </c>
      <c r="AW293" s="3" t="s">
        <v>3634</v>
      </c>
      <c r="AX293" s="3" t="s">
        <v>3634</v>
      </c>
      <c r="AY293" s="3" t="s">
        <v>3635</v>
      </c>
      <c r="AZ293" s="3" t="s">
        <v>73</v>
      </c>
      <c r="BB293" s="3" t="s">
        <v>3636</v>
      </c>
      <c r="BC293" s="3" t="s">
        <v>3637</v>
      </c>
      <c r="BD293" s="3" t="s">
        <v>3638</v>
      </c>
    </row>
    <row r="294" spans="1:56" ht="31.5" customHeight="1" x14ac:dyDescent="0.25">
      <c r="A294" s="7" t="s">
        <v>58</v>
      </c>
      <c r="B294" s="2" t="s">
        <v>3639</v>
      </c>
      <c r="C294" s="2" t="s">
        <v>3640</v>
      </c>
      <c r="D294" s="2" t="s">
        <v>3641</v>
      </c>
      <c r="F294" s="3" t="s">
        <v>58</v>
      </c>
      <c r="G294" s="3" t="s">
        <v>59</v>
      </c>
      <c r="H294" s="3" t="s">
        <v>58</v>
      </c>
      <c r="I294" s="3" t="s">
        <v>58</v>
      </c>
      <c r="J294" s="3" t="s">
        <v>60</v>
      </c>
      <c r="K294" s="2" t="s">
        <v>3642</v>
      </c>
      <c r="L294" s="2" t="s">
        <v>3643</v>
      </c>
      <c r="M294" s="3" t="s">
        <v>416</v>
      </c>
      <c r="N294" s="2" t="s">
        <v>566</v>
      </c>
      <c r="O294" s="3" t="s">
        <v>63</v>
      </c>
      <c r="P294" s="3" t="s">
        <v>64</v>
      </c>
      <c r="R294" s="3" t="s">
        <v>65</v>
      </c>
      <c r="S294" s="4">
        <v>3</v>
      </c>
      <c r="T294" s="4">
        <v>3</v>
      </c>
      <c r="U294" s="5" t="s">
        <v>2148</v>
      </c>
      <c r="V294" s="5" t="s">
        <v>2148</v>
      </c>
      <c r="W294" s="5" t="s">
        <v>3644</v>
      </c>
      <c r="X294" s="5" t="s">
        <v>3644</v>
      </c>
      <c r="Y294" s="4">
        <v>344</v>
      </c>
      <c r="Z294" s="4">
        <v>290</v>
      </c>
      <c r="AA294" s="4">
        <v>470</v>
      </c>
      <c r="AB294" s="4">
        <v>3</v>
      </c>
      <c r="AC294" s="4">
        <v>6</v>
      </c>
      <c r="AD294" s="4">
        <v>10</v>
      </c>
      <c r="AE294" s="4">
        <v>19</v>
      </c>
      <c r="AF294" s="4">
        <v>4</v>
      </c>
      <c r="AG294" s="4">
        <v>8</v>
      </c>
      <c r="AH294" s="4">
        <v>0</v>
      </c>
      <c r="AI294" s="4">
        <v>2</v>
      </c>
      <c r="AJ294" s="4">
        <v>5</v>
      </c>
      <c r="AK294" s="4">
        <v>8</v>
      </c>
      <c r="AL294" s="4">
        <v>2</v>
      </c>
      <c r="AM294" s="4">
        <v>5</v>
      </c>
      <c r="AN294" s="4">
        <v>0</v>
      </c>
      <c r="AO294" s="4">
        <v>0</v>
      </c>
      <c r="AP294" s="3" t="s">
        <v>58</v>
      </c>
      <c r="AQ294" s="3" t="s">
        <v>68</v>
      </c>
      <c r="AR294" s="6" t="str">
        <f>HYPERLINK("http://catalog.hathitrust.org/Record/007475151","HathiTrust Record")</f>
        <v>HathiTrust Record</v>
      </c>
      <c r="AS294" s="6" t="str">
        <f>HYPERLINK("https://creighton-primo.hosted.exlibrisgroup.com/primo-explore/search?tab=default_tab&amp;search_scope=EVERYTHING&amp;vid=01CRU&amp;lang=en_US&amp;offset=0&amp;query=any,contains,991000614309702656","Catalog Record")</f>
        <v>Catalog Record</v>
      </c>
      <c r="AT294" s="6" t="str">
        <f>HYPERLINK("http://www.worldcat.org/oclc/101260","WorldCat Record")</f>
        <v>WorldCat Record</v>
      </c>
      <c r="AU294" s="3" t="s">
        <v>3645</v>
      </c>
      <c r="AV294" s="3" t="s">
        <v>3646</v>
      </c>
      <c r="AW294" s="3" t="s">
        <v>3647</v>
      </c>
      <c r="AX294" s="3" t="s">
        <v>3647</v>
      </c>
      <c r="AY294" s="3" t="s">
        <v>3648</v>
      </c>
      <c r="AZ294" s="3" t="s">
        <v>73</v>
      </c>
      <c r="BB294" s="3" t="s">
        <v>3649</v>
      </c>
      <c r="BC294" s="3" t="s">
        <v>3650</v>
      </c>
      <c r="BD294" s="3" t="s">
        <v>3651</v>
      </c>
    </row>
    <row r="295" spans="1:56" ht="31.5" customHeight="1" x14ac:dyDescent="0.25">
      <c r="A295" s="7" t="s">
        <v>58</v>
      </c>
      <c r="B295" s="2" t="s">
        <v>3652</v>
      </c>
      <c r="C295" s="2" t="s">
        <v>3653</v>
      </c>
      <c r="D295" s="2" t="s">
        <v>3654</v>
      </c>
      <c r="F295" s="3" t="s">
        <v>58</v>
      </c>
      <c r="G295" s="3" t="s">
        <v>59</v>
      </c>
      <c r="H295" s="3" t="s">
        <v>58</v>
      </c>
      <c r="I295" s="3" t="s">
        <v>58</v>
      </c>
      <c r="J295" s="3" t="s">
        <v>60</v>
      </c>
      <c r="K295" s="2" t="s">
        <v>3655</v>
      </c>
      <c r="L295" s="2" t="s">
        <v>3656</v>
      </c>
      <c r="M295" s="3" t="s">
        <v>301</v>
      </c>
      <c r="O295" s="3" t="s">
        <v>63</v>
      </c>
      <c r="P295" s="3" t="s">
        <v>64</v>
      </c>
      <c r="R295" s="3" t="s">
        <v>65</v>
      </c>
      <c r="S295" s="4">
        <v>10</v>
      </c>
      <c r="T295" s="4">
        <v>10</v>
      </c>
      <c r="U295" s="5" t="s">
        <v>3591</v>
      </c>
      <c r="V295" s="5" t="s">
        <v>3591</v>
      </c>
      <c r="W295" s="5" t="s">
        <v>3657</v>
      </c>
      <c r="X295" s="5" t="s">
        <v>3657</v>
      </c>
      <c r="Y295" s="4">
        <v>919</v>
      </c>
      <c r="Z295" s="4">
        <v>847</v>
      </c>
      <c r="AA295" s="4">
        <v>885</v>
      </c>
      <c r="AB295" s="4">
        <v>9</v>
      </c>
      <c r="AC295" s="4">
        <v>9</v>
      </c>
      <c r="AD295" s="4">
        <v>22</v>
      </c>
      <c r="AE295" s="4">
        <v>22</v>
      </c>
      <c r="AF295" s="4">
        <v>10</v>
      </c>
      <c r="AG295" s="4">
        <v>10</v>
      </c>
      <c r="AH295" s="4">
        <v>4</v>
      </c>
      <c r="AI295" s="4">
        <v>4</v>
      </c>
      <c r="AJ295" s="4">
        <v>12</v>
      </c>
      <c r="AK295" s="4">
        <v>12</v>
      </c>
      <c r="AL295" s="4">
        <v>3</v>
      </c>
      <c r="AM295" s="4">
        <v>3</v>
      </c>
      <c r="AN295" s="4">
        <v>0</v>
      </c>
      <c r="AO295" s="4">
        <v>0</v>
      </c>
      <c r="AP295" s="3" t="s">
        <v>58</v>
      </c>
      <c r="AQ295" s="3" t="s">
        <v>68</v>
      </c>
      <c r="AR295" s="6" t="str">
        <f>HYPERLINK("http://catalog.hathitrust.org/Record/002591538","HathiTrust Record")</f>
        <v>HathiTrust Record</v>
      </c>
      <c r="AS295" s="6" t="str">
        <f>HYPERLINK("https://creighton-primo.hosted.exlibrisgroup.com/primo-explore/search?tab=default_tab&amp;search_scope=EVERYTHING&amp;vid=01CRU&amp;lang=en_US&amp;offset=0&amp;query=any,contains,991001990559702656","Catalog Record")</f>
        <v>Catalog Record</v>
      </c>
      <c r="AT295" s="6" t="str">
        <f>HYPERLINK("http://www.worldcat.org/oclc/25282445","WorldCat Record")</f>
        <v>WorldCat Record</v>
      </c>
      <c r="AU295" s="3" t="s">
        <v>3658</v>
      </c>
      <c r="AV295" s="3" t="s">
        <v>3659</v>
      </c>
      <c r="AW295" s="3" t="s">
        <v>3660</v>
      </c>
      <c r="AX295" s="3" t="s">
        <v>3660</v>
      </c>
      <c r="AY295" s="3" t="s">
        <v>3661</v>
      </c>
      <c r="AZ295" s="3" t="s">
        <v>73</v>
      </c>
      <c r="BB295" s="3" t="s">
        <v>3662</v>
      </c>
      <c r="BC295" s="3" t="s">
        <v>3663</v>
      </c>
      <c r="BD295" s="3" t="s">
        <v>3664</v>
      </c>
    </row>
    <row r="296" spans="1:56" ht="31.5" customHeight="1" x14ac:dyDescent="0.25">
      <c r="A296" s="7" t="s">
        <v>58</v>
      </c>
      <c r="B296" s="2" t="s">
        <v>3665</v>
      </c>
      <c r="C296" s="2" t="s">
        <v>3666</v>
      </c>
      <c r="D296" s="2" t="s">
        <v>3667</v>
      </c>
      <c r="F296" s="3" t="s">
        <v>58</v>
      </c>
      <c r="G296" s="3" t="s">
        <v>59</v>
      </c>
      <c r="H296" s="3" t="s">
        <v>58</v>
      </c>
      <c r="I296" s="3" t="s">
        <v>58</v>
      </c>
      <c r="J296" s="3" t="s">
        <v>60</v>
      </c>
      <c r="L296" s="2" t="s">
        <v>3668</v>
      </c>
      <c r="M296" s="3" t="s">
        <v>144</v>
      </c>
      <c r="O296" s="3" t="s">
        <v>63</v>
      </c>
      <c r="P296" s="3" t="s">
        <v>64</v>
      </c>
      <c r="R296" s="3" t="s">
        <v>65</v>
      </c>
      <c r="S296" s="4">
        <v>2</v>
      </c>
      <c r="T296" s="4">
        <v>2</v>
      </c>
      <c r="U296" s="5" t="s">
        <v>3669</v>
      </c>
      <c r="V296" s="5" t="s">
        <v>3669</v>
      </c>
      <c r="W296" s="5" t="s">
        <v>3670</v>
      </c>
      <c r="X296" s="5" t="s">
        <v>3670</v>
      </c>
      <c r="Y296" s="4">
        <v>324</v>
      </c>
      <c r="Z296" s="4">
        <v>275</v>
      </c>
      <c r="AA296" s="4">
        <v>528</v>
      </c>
      <c r="AB296" s="4">
        <v>2</v>
      </c>
      <c r="AC296" s="4">
        <v>4</v>
      </c>
      <c r="AD296" s="4">
        <v>7</v>
      </c>
      <c r="AE296" s="4">
        <v>17</v>
      </c>
      <c r="AF296" s="4">
        <v>3</v>
      </c>
      <c r="AG296" s="4">
        <v>6</v>
      </c>
      <c r="AH296" s="4">
        <v>2</v>
      </c>
      <c r="AI296" s="4">
        <v>3</v>
      </c>
      <c r="AJ296" s="4">
        <v>4</v>
      </c>
      <c r="AK296" s="4">
        <v>9</v>
      </c>
      <c r="AL296" s="4">
        <v>1</v>
      </c>
      <c r="AM296" s="4">
        <v>3</v>
      </c>
      <c r="AN296" s="4">
        <v>0</v>
      </c>
      <c r="AO296" s="4">
        <v>0</v>
      </c>
      <c r="AP296" s="3" t="s">
        <v>58</v>
      </c>
      <c r="AQ296" s="3" t="s">
        <v>58</v>
      </c>
      <c r="AS296" s="6" t="str">
        <f>HYPERLINK("https://creighton-primo.hosted.exlibrisgroup.com/primo-explore/search?tab=default_tab&amp;search_scope=EVERYTHING&amp;vid=01CRU&amp;lang=en_US&amp;offset=0&amp;query=any,contains,991005097119702656","Catalog Record")</f>
        <v>Catalog Record</v>
      </c>
      <c r="AT296" s="6" t="str">
        <f>HYPERLINK("http://www.worldcat.org/oclc/7275109","WorldCat Record")</f>
        <v>WorldCat Record</v>
      </c>
      <c r="AU296" s="3" t="s">
        <v>3671</v>
      </c>
      <c r="AV296" s="3" t="s">
        <v>3672</v>
      </c>
      <c r="AW296" s="3" t="s">
        <v>3673</v>
      </c>
      <c r="AX296" s="3" t="s">
        <v>3673</v>
      </c>
      <c r="AY296" s="3" t="s">
        <v>3674</v>
      </c>
      <c r="AZ296" s="3" t="s">
        <v>73</v>
      </c>
      <c r="BB296" s="3" t="s">
        <v>3675</v>
      </c>
      <c r="BC296" s="3" t="s">
        <v>3676</v>
      </c>
      <c r="BD296" s="3" t="s">
        <v>3677</v>
      </c>
    </row>
    <row r="297" spans="1:56" ht="31.5" customHeight="1" x14ac:dyDescent="0.25">
      <c r="A297" s="7" t="s">
        <v>58</v>
      </c>
      <c r="B297" s="2" t="s">
        <v>3678</v>
      </c>
      <c r="C297" s="2" t="s">
        <v>3679</v>
      </c>
      <c r="D297" s="2" t="s">
        <v>3680</v>
      </c>
      <c r="F297" s="3" t="s">
        <v>58</v>
      </c>
      <c r="G297" s="3" t="s">
        <v>59</v>
      </c>
      <c r="H297" s="3" t="s">
        <v>58</v>
      </c>
      <c r="I297" s="3" t="s">
        <v>58</v>
      </c>
      <c r="J297" s="3" t="s">
        <v>60</v>
      </c>
      <c r="L297" s="2" t="s">
        <v>3681</v>
      </c>
      <c r="M297" s="3" t="s">
        <v>97</v>
      </c>
      <c r="O297" s="3" t="s">
        <v>63</v>
      </c>
      <c r="P297" s="3" t="s">
        <v>83</v>
      </c>
      <c r="R297" s="3" t="s">
        <v>65</v>
      </c>
      <c r="S297" s="4">
        <v>7</v>
      </c>
      <c r="T297" s="4">
        <v>7</v>
      </c>
      <c r="U297" s="5" t="s">
        <v>3474</v>
      </c>
      <c r="V297" s="5" t="s">
        <v>3474</v>
      </c>
      <c r="W297" s="5" t="s">
        <v>3682</v>
      </c>
      <c r="X297" s="5" t="s">
        <v>3682</v>
      </c>
      <c r="Y297" s="4">
        <v>61</v>
      </c>
      <c r="Z297" s="4">
        <v>56</v>
      </c>
      <c r="AA297" s="4">
        <v>59</v>
      </c>
      <c r="AB297" s="4">
        <v>1</v>
      </c>
      <c r="AC297" s="4">
        <v>1</v>
      </c>
      <c r="AD297" s="4">
        <v>4</v>
      </c>
      <c r="AE297" s="4">
        <v>5</v>
      </c>
      <c r="AF297" s="4">
        <v>3</v>
      </c>
      <c r="AG297" s="4">
        <v>3</v>
      </c>
      <c r="AH297" s="4">
        <v>0</v>
      </c>
      <c r="AI297" s="4">
        <v>1</v>
      </c>
      <c r="AJ297" s="4">
        <v>2</v>
      </c>
      <c r="AK297" s="4">
        <v>3</v>
      </c>
      <c r="AL297" s="4">
        <v>0</v>
      </c>
      <c r="AM297" s="4">
        <v>0</v>
      </c>
      <c r="AN297" s="4">
        <v>0</v>
      </c>
      <c r="AO297" s="4">
        <v>0</v>
      </c>
      <c r="AP297" s="3" t="s">
        <v>58</v>
      </c>
      <c r="AQ297" s="3" t="s">
        <v>68</v>
      </c>
      <c r="AR297" s="6" t="str">
        <f>HYPERLINK("http://catalog.hathitrust.org/Record/007068924","HathiTrust Record")</f>
        <v>HathiTrust Record</v>
      </c>
      <c r="AS297" s="6" t="str">
        <f>HYPERLINK("https://creighton-primo.hosted.exlibrisgroup.com/primo-explore/search?tab=default_tab&amp;search_scope=EVERYTHING&amp;vid=01CRU&amp;lang=en_US&amp;offset=0&amp;query=any,contains,991001696739702656","Catalog Record")</f>
        <v>Catalog Record</v>
      </c>
      <c r="AT297" s="6" t="str">
        <f>HYPERLINK("http://www.worldcat.org/oclc/21487310","WorldCat Record")</f>
        <v>WorldCat Record</v>
      </c>
      <c r="AU297" s="3" t="s">
        <v>3683</v>
      </c>
      <c r="AV297" s="3" t="s">
        <v>3684</v>
      </c>
      <c r="AW297" s="3" t="s">
        <v>3685</v>
      </c>
      <c r="AX297" s="3" t="s">
        <v>3685</v>
      </c>
      <c r="AY297" s="3" t="s">
        <v>3686</v>
      </c>
      <c r="AZ297" s="3" t="s">
        <v>73</v>
      </c>
      <c r="BB297" s="3" t="s">
        <v>3687</v>
      </c>
      <c r="BC297" s="3" t="s">
        <v>3688</v>
      </c>
      <c r="BD297" s="3" t="s">
        <v>3689</v>
      </c>
    </row>
    <row r="298" spans="1:56" ht="31.5" customHeight="1" x14ac:dyDescent="0.25">
      <c r="A298" s="7" t="s">
        <v>58</v>
      </c>
      <c r="B298" s="2" t="s">
        <v>3690</v>
      </c>
      <c r="C298" s="2" t="s">
        <v>3691</v>
      </c>
      <c r="D298" s="2" t="s">
        <v>3692</v>
      </c>
      <c r="F298" s="3" t="s">
        <v>58</v>
      </c>
      <c r="G298" s="3" t="s">
        <v>59</v>
      </c>
      <c r="H298" s="3" t="s">
        <v>58</v>
      </c>
      <c r="I298" s="3" t="s">
        <v>58</v>
      </c>
      <c r="J298" s="3" t="s">
        <v>60</v>
      </c>
      <c r="K298" s="2" t="s">
        <v>3693</v>
      </c>
      <c r="L298" s="2" t="s">
        <v>3694</v>
      </c>
      <c r="M298" s="3" t="s">
        <v>257</v>
      </c>
      <c r="O298" s="3" t="s">
        <v>63</v>
      </c>
      <c r="P298" s="3" t="s">
        <v>64</v>
      </c>
      <c r="R298" s="3" t="s">
        <v>65</v>
      </c>
      <c r="S298" s="4">
        <v>6</v>
      </c>
      <c r="T298" s="4">
        <v>6</v>
      </c>
      <c r="U298" s="5" t="s">
        <v>3695</v>
      </c>
      <c r="V298" s="5" t="s">
        <v>3695</v>
      </c>
      <c r="W298" s="5" t="s">
        <v>3696</v>
      </c>
      <c r="X298" s="5" t="s">
        <v>3696</v>
      </c>
      <c r="Y298" s="4">
        <v>371</v>
      </c>
      <c r="Z298" s="4">
        <v>332</v>
      </c>
      <c r="AA298" s="4">
        <v>344</v>
      </c>
      <c r="AB298" s="4">
        <v>2</v>
      </c>
      <c r="AC298" s="4">
        <v>2</v>
      </c>
      <c r="AD298" s="4">
        <v>7</v>
      </c>
      <c r="AE298" s="4">
        <v>8</v>
      </c>
      <c r="AF298" s="4">
        <v>1</v>
      </c>
      <c r="AG298" s="4">
        <v>2</v>
      </c>
      <c r="AH298" s="4">
        <v>1</v>
      </c>
      <c r="AI298" s="4">
        <v>1</v>
      </c>
      <c r="AJ298" s="4">
        <v>5</v>
      </c>
      <c r="AK298" s="4">
        <v>5</v>
      </c>
      <c r="AL298" s="4">
        <v>1</v>
      </c>
      <c r="AM298" s="4">
        <v>1</v>
      </c>
      <c r="AN298" s="4">
        <v>0</v>
      </c>
      <c r="AO298" s="4">
        <v>0</v>
      </c>
      <c r="AP298" s="3" t="s">
        <v>58</v>
      </c>
      <c r="AQ298" s="3" t="s">
        <v>58</v>
      </c>
      <c r="AS298" s="6" t="str">
        <f>HYPERLINK("https://creighton-primo.hosted.exlibrisgroup.com/primo-explore/search?tab=default_tab&amp;search_scope=EVERYTHING&amp;vid=01CRU&amp;lang=en_US&amp;offset=0&amp;query=any,contains,991002842189702656","Catalog Record")</f>
        <v>Catalog Record</v>
      </c>
      <c r="AT298" s="6" t="str">
        <f>HYPERLINK("http://www.worldcat.org/oclc/37443315","WorldCat Record")</f>
        <v>WorldCat Record</v>
      </c>
      <c r="AU298" s="3" t="s">
        <v>3697</v>
      </c>
      <c r="AV298" s="3" t="s">
        <v>3698</v>
      </c>
      <c r="AW298" s="3" t="s">
        <v>3699</v>
      </c>
      <c r="AX298" s="3" t="s">
        <v>3699</v>
      </c>
      <c r="AY298" s="3" t="s">
        <v>3700</v>
      </c>
      <c r="AZ298" s="3" t="s">
        <v>73</v>
      </c>
      <c r="BB298" s="3" t="s">
        <v>3701</v>
      </c>
      <c r="BC298" s="3" t="s">
        <v>3702</v>
      </c>
      <c r="BD298" s="3" t="s">
        <v>3703</v>
      </c>
    </row>
    <row r="299" spans="1:56" ht="31.5" customHeight="1" x14ac:dyDescent="0.25">
      <c r="A299" s="7" t="s">
        <v>58</v>
      </c>
      <c r="B299" s="2" t="s">
        <v>3704</v>
      </c>
      <c r="C299" s="2" t="s">
        <v>3705</v>
      </c>
      <c r="D299" s="2" t="s">
        <v>3706</v>
      </c>
      <c r="F299" s="3" t="s">
        <v>58</v>
      </c>
      <c r="G299" s="3" t="s">
        <v>59</v>
      </c>
      <c r="H299" s="3" t="s">
        <v>58</v>
      </c>
      <c r="I299" s="3" t="s">
        <v>58</v>
      </c>
      <c r="J299" s="3" t="s">
        <v>60</v>
      </c>
      <c r="K299" s="2" t="s">
        <v>3707</v>
      </c>
      <c r="L299" s="2" t="s">
        <v>3708</v>
      </c>
      <c r="M299" s="3" t="s">
        <v>257</v>
      </c>
      <c r="N299" s="2" t="s">
        <v>1180</v>
      </c>
      <c r="O299" s="3" t="s">
        <v>63</v>
      </c>
      <c r="P299" s="3" t="s">
        <v>186</v>
      </c>
      <c r="R299" s="3" t="s">
        <v>65</v>
      </c>
      <c r="S299" s="4">
        <v>9</v>
      </c>
      <c r="T299" s="4">
        <v>9</v>
      </c>
      <c r="U299" s="5" t="s">
        <v>3709</v>
      </c>
      <c r="V299" s="5" t="s">
        <v>3709</v>
      </c>
      <c r="W299" s="5" t="s">
        <v>3710</v>
      </c>
      <c r="X299" s="5" t="s">
        <v>3710</v>
      </c>
      <c r="Y299" s="4">
        <v>145</v>
      </c>
      <c r="Z299" s="4">
        <v>103</v>
      </c>
      <c r="AA299" s="4">
        <v>396</v>
      </c>
      <c r="AB299" s="4">
        <v>1</v>
      </c>
      <c r="AC299" s="4">
        <v>3</v>
      </c>
      <c r="AD299" s="4">
        <v>1</v>
      </c>
      <c r="AE299" s="4">
        <v>13</v>
      </c>
      <c r="AF299" s="4">
        <v>1</v>
      </c>
      <c r="AG299" s="4">
        <v>3</v>
      </c>
      <c r="AH299" s="4">
        <v>0</v>
      </c>
      <c r="AI299" s="4">
        <v>2</v>
      </c>
      <c r="AJ299" s="4">
        <v>0</v>
      </c>
      <c r="AK299" s="4">
        <v>9</v>
      </c>
      <c r="AL299" s="4">
        <v>0</v>
      </c>
      <c r="AM299" s="4">
        <v>2</v>
      </c>
      <c r="AN299" s="4">
        <v>0</v>
      </c>
      <c r="AO299" s="4">
        <v>0</v>
      </c>
      <c r="AP299" s="3" t="s">
        <v>58</v>
      </c>
      <c r="AQ299" s="3" t="s">
        <v>58</v>
      </c>
      <c r="AS299" s="6" t="str">
        <f>HYPERLINK("https://creighton-primo.hosted.exlibrisgroup.com/primo-explore/search?tab=default_tab&amp;search_scope=EVERYTHING&amp;vid=01CRU&amp;lang=en_US&amp;offset=0&amp;query=any,contains,991002809889702656","Catalog Record")</f>
        <v>Catalog Record</v>
      </c>
      <c r="AT299" s="6" t="str">
        <f>HYPERLINK("http://www.worldcat.org/oclc/39485390","WorldCat Record")</f>
        <v>WorldCat Record</v>
      </c>
      <c r="AU299" s="3" t="s">
        <v>3711</v>
      </c>
      <c r="AV299" s="3" t="s">
        <v>3712</v>
      </c>
      <c r="AW299" s="3" t="s">
        <v>3713</v>
      </c>
      <c r="AX299" s="3" t="s">
        <v>3713</v>
      </c>
      <c r="AY299" s="3" t="s">
        <v>3714</v>
      </c>
      <c r="AZ299" s="3" t="s">
        <v>73</v>
      </c>
      <c r="BB299" s="3" t="s">
        <v>3715</v>
      </c>
      <c r="BC299" s="3" t="s">
        <v>3716</v>
      </c>
      <c r="BD299" s="3" t="s">
        <v>3717</v>
      </c>
    </row>
    <row r="300" spans="1:56" ht="31.5" customHeight="1" x14ac:dyDescent="0.25">
      <c r="A300" s="7" t="s">
        <v>58</v>
      </c>
      <c r="B300" s="2" t="s">
        <v>3718</v>
      </c>
      <c r="C300" s="2" t="s">
        <v>3719</v>
      </c>
      <c r="D300" s="2" t="s">
        <v>3720</v>
      </c>
      <c r="F300" s="3" t="s">
        <v>58</v>
      </c>
      <c r="G300" s="3" t="s">
        <v>59</v>
      </c>
      <c r="H300" s="3" t="s">
        <v>58</v>
      </c>
      <c r="I300" s="3" t="s">
        <v>58</v>
      </c>
      <c r="J300" s="3" t="s">
        <v>60</v>
      </c>
      <c r="K300" s="2" t="s">
        <v>3721</v>
      </c>
      <c r="L300" s="2" t="s">
        <v>3722</v>
      </c>
      <c r="M300" s="3" t="s">
        <v>835</v>
      </c>
      <c r="O300" s="3" t="s">
        <v>63</v>
      </c>
      <c r="P300" s="3" t="s">
        <v>186</v>
      </c>
      <c r="R300" s="3" t="s">
        <v>65</v>
      </c>
      <c r="S300" s="4">
        <v>1</v>
      </c>
      <c r="T300" s="4">
        <v>1</v>
      </c>
      <c r="U300" s="5" t="s">
        <v>3709</v>
      </c>
      <c r="V300" s="5" t="s">
        <v>3709</v>
      </c>
      <c r="W300" s="5" t="s">
        <v>3723</v>
      </c>
      <c r="X300" s="5" t="s">
        <v>3723</v>
      </c>
      <c r="Y300" s="4">
        <v>761</v>
      </c>
      <c r="Z300" s="4">
        <v>642</v>
      </c>
      <c r="AA300" s="4">
        <v>642</v>
      </c>
      <c r="AB300" s="4">
        <v>4</v>
      </c>
      <c r="AC300" s="4">
        <v>4</v>
      </c>
      <c r="AD300" s="4">
        <v>24</v>
      </c>
      <c r="AE300" s="4">
        <v>24</v>
      </c>
      <c r="AF300" s="4">
        <v>9</v>
      </c>
      <c r="AG300" s="4">
        <v>9</v>
      </c>
      <c r="AH300" s="4">
        <v>6</v>
      </c>
      <c r="AI300" s="4">
        <v>6</v>
      </c>
      <c r="AJ300" s="4">
        <v>9</v>
      </c>
      <c r="AK300" s="4">
        <v>9</v>
      </c>
      <c r="AL300" s="4">
        <v>3</v>
      </c>
      <c r="AM300" s="4">
        <v>3</v>
      </c>
      <c r="AN300" s="4">
        <v>0</v>
      </c>
      <c r="AO300" s="4">
        <v>0</v>
      </c>
      <c r="AP300" s="3" t="s">
        <v>58</v>
      </c>
      <c r="AQ300" s="3" t="s">
        <v>58</v>
      </c>
      <c r="AS300" s="6" t="str">
        <f>HYPERLINK("https://creighton-primo.hosted.exlibrisgroup.com/primo-explore/search?tab=default_tab&amp;search_scope=EVERYTHING&amp;vid=01CRU&amp;lang=en_US&amp;offset=0&amp;query=any,contains,991002891099702656","Catalog Record")</f>
        <v>Catalog Record</v>
      </c>
      <c r="AT300" s="6" t="str">
        <f>HYPERLINK("http://www.worldcat.org/oclc/38090975","WorldCat Record")</f>
        <v>WorldCat Record</v>
      </c>
      <c r="AU300" s="3" t="s">
        <v>3724</v>
      </c>
      <c r="AV300" s="3" t="s">
        <v>3725</v>
      </c>
      <c r="AW300" s="3" t="s">
        <v>3726</v>
      </c>
      <c r="AX300" s="3" t="s">
        <v>3726</v>
      </c>
      <c r="AY300" s="3" t="s">
        <v>3727</v>
      </c>
      <c r="AZ300" s="3" t="s">
        <v>73</v>
      </c>
      <c r="BB300" s="3" t="s">
        <v>3728</v>
      </c>
      <c r="BC300" s="3" t="s">
        <v>3729</v>
      </c>
      <c r="BD300" s="3" t="s">
        <v>3730</v>
      </c>
    </row>
    <row r="301" spans="1:56" ht="31.5" customHeight="1" x14ac:dyDescent="0.25">
      <c r="A301" s="7" t="s">
        <v>58</v>
      </c>
      <c r="B301" s="2" t="s">
        <v>3731</v>
      </c>
      <c r="C301" s="2" t="s">
        <v>3732</v>
      </c>
      <c r="D301" s="2" t="s">
        <v>3733</v>
      </c>
      <c r="F301" s="3" t="s">
        <v>58</v>
      </c>
      <c r="G301" s="3" t="s">
        <v>59</v>
      </c>
      <c r="H301" s="3" t="s">
        <v>58</v>
      </c>
      <c r="I301" s="3" t="s">
        <v>58</v>
      </c>
      <c r="J301" s="3" t="s">
        <v>60</v>
      </c>
      <c r="K301" s="2" t="s">
        <v>3734</v>
      </c>
      <c r="L301" s="2" t="s">
        <v>3735</v>
      </c>
      <c r="M301" s="3" t="s">
        <v>835</v>
      </c>
      <c r="O301" s="3" t="s">
        <v>63</v>
      </c>
      <c r="P301" s="3" t="s">
        <v>64</v>
      </c>
      <c r="R301" s="3" t="s">
        <v>65</v>
      </c>
      <c r="S301" s="4">
        <v>1</v>
      </c>
      <c r="T301" s="4">
        <v>1</v>
      </c>
      <c r="U301" s="5" t="s">
        <v>3736</v>
      </c>
      <c r="V301" s="5" t="s">
        <v>3736</v>
      </c>
      <c r="W301" s="5" t="s">
        <v>3737</v>
      </c>
      <c r="X301" s="5" t="s">
        <v>3737</v>
      </c>
      <c r="Y301" s="4">
        <v>831</v>
      </c>
      <c r="Z301" s="4">
        <v>794</v>
      </c>
      <c r="AA301" s="4">
        <v>822</v>
      </c>
      <c r="AB301" s="4">
        <v>8</v>
      </c>
      <c r="AC301" s="4">
        <v>8</v>
      </c>
      <c r="AD301" s="4">
        <v>20</v>
      </c>
      <c r="AE301" s="4">
        <v>20</v>
      </c>
      <c r="AF301" s="4">
        <v>6</v>
      </c>
      <c r="AG301" s="4">
        <v>6</v>
      </c>
      <c r="AH301" s="4">
        <v>4</v>
      </c>
      <c r="AI301" s="4">
        <v>4</v>
      </c>
      <c r="AJ301" s="4">
        <v>8</v>
      </c>
      <c r="AK301" s="4">
        <v>8</v>
      </c>
      <c r="AL301" s="4">
        <v>5</v>
      </c>
      <c r="AM301" s="4">
        <v>5</v>
      </c>
      <c r="AN301" s="4">
        <v>0</v>
      </c>
      <c r="AO301" s="4">
        <v>0</v>
      </c>
      <c r="AP301" s="3" t="s">
        <v>58</v>
      </c>
      <c r="AQ301" s="3" t="s">
        <v>68</v>
      </c>
      <c r="AR301" s="6" t="str">
        <f>HYPERLINK("http://catalog.hathitrust.org/Record/003977345","HathiTrust Record")</f>
        <v>HathiTrust Record</v>
      </c>
      <c r="AS301" s="6" t="str">
        <f>HYPERLINK("https://creighton-primo.hosted.exlibrisgroup.com/primo-explore/search?tab=default_tab&amp;search_scope=EVERYTHING&amp;vid=01CRU&amp;lang=en_US&amp;offset=0&amp;query=any,contains,991002891079702656","Catalog Record")</f>
        <v>Catalog Record</v>
      </c>
      <c r="AT301" s="6" t="str">
        <f>HYPERLINK("http://www.worldcat.org/oclc/38090913","WorldCat Record")</f>
        <v>WorldCat Record</v>
      </c>
      <c r="AU301" s="3" t="s">
        <v>3738</v>
      </c>
      <c r="AV301" s="3" t="s">
        <v>3739</v>
      </c>
      <c r="AW301" s="3" t="s">
        <v>3740</v>
      </c>
      <c r="AX301" s="3" t="s">
        <v>3740</v>
      </c>
      <c r="AY301" s="3" t="s">
        <v>3741</v>
      </c>
      <c r="AZ301" s="3" t="s">
        <v>73</v>
      </c>
      <c r="BB301" s="3" t="s">
        <v>3742</v>
      </c>
      <c r="BC301" s="3" t="s">
        <v>3743</v>
      </c>
      <c r="BD301" s="3" t="s">
        <v>3744</v>
      </c>
    </row>
    <row r="302" spans="1:56" ht="31.5" customHeight="1" x14ac:dyDescent="0.25">
      <c r="A302" s="7" t="s">
        <v>58</v>
      </c>
      <c r="B302" s="2" t="s">
        <v>3745</v>
      </c>
      <c r="C302" s="2" t="s">
        <v>3746</v>
      </c>
      <c r="D302" s="2" t="s">
        <v>3747</v>
      </c>
      <c r="F302" s="3" t="s">
        <v>58</v>
      </c>
      <c r="G302" s="3" t="s">
        <v>59</v>
      </c>
      <c r="H302" s="3" t="s">
        <v>58</v>
      </c>
      <c r="I302" s="3" t="s">
        <v>58</v>
      </c>
      <c r="J302" s="3" t="s">
        <v>60</v>
      </c>
      <c r="L302" s="2" t="s">
        <v>3748</v>
      </c>
      <c r="M302" s="3" t="s">
        <v>244</v>
      </c>
      <c r="N302" s="2" t="s">
        <v>3605</v>
      </c>
      <c r="O302" s="3" t="s">
        <v>63</v>
      </c>
      <c r="P302" s="3" t="s">
        <v>129</v>
      </c>
      <c r="R302" s="3" t="s">
        <v>65</v>
      </c>
      <c r="S302" s="4">
        <v>3</v>
      </c>
      <c r="T302" s="4">
        <v>3</v>
      </c>
      <c r="U302" s="5" t="s">
        <v>3749</v>
      </c>
      <c r="V302" s="5" t="s">
        <v>3749</v>
      </c>
      <c r="W302" s="5" t="s">
        <v>3447</v>
      </c>
      <c r="X302" s="5" t="s">
        <v>3447</v>
      </c>
      <c r="Y302" s="4">
        <v>552</v>
      </c>
      <c r="Z302" s="4">
        <v>482</v>
      </c>
      <c r="AA302" s="4">
        <v>493</v>
      </c>
      <c r="AB302" s="4">
        <v>6</v>
      </c>
      <c r="AC302" s="4">
        <v>6</v>
      </c>
      <c r="AD302" s="4">
        <v>19</v>
      </c>
      <c r="AE302" s="4">
        <v>19</v>
      </c>
      <c r="AF302" s="4">
        <v>6</v>
      </c>
      <c r="AG302" s="4">
        <v>6</v>
      </c>
      <c r="AH302" s="4">
        <v>5</v>
      </c>
      <c r="AI302" s="4">
        <v>5</v>
      </c>
      <c r="AJ302" s="4">
        <v>7</v>
      </c>
      <c r="AK302" s="4">
        <v>7</v>
      </c>
      <c r="AL302" s="4">
        <v>5</v>
      </c>
      <c r="AM302" s="4">
        <v>5</v>
      </c>
      <c r="AN302" s="4">
        <v>0</v>
      </c>
      <c r="AO302" s="4">
        <v>0</v>
      </c>
      <c r="AP302" s="3" t="s">
        <v>58</v>
      </c>
      <c r="AQ302" s="3" t="s">
        <v>58</v>
      </c>
      <c r="AS302" s="6" t="str">
        <f>HYPERLINK("https://creighton-primo.hosted.exlibrisgroup.com/primo-explore/search?tab=default_tab&amp;search_scope=EVERYTHING&amp;vid=01CRU&amp;lang=en_US&amp;offset=0&amp;query=any,contains,991005169379702656","Catalog Record")</f>
        <v>Catalog Record</v>
      </c>
      <c r="AT302" s="6" t="str">
        <f>HYPERLINK("http://www.worldcat.org/oclc/7838133","WorldCat Record")</f>
        <v>WorldCat Record</v>
      </c>
      <c r="AU302" s="3" t="s">
        <v>3750</v>
      </c>
      <c r="AV302" s="3" t="s">
        <v>3751</v>
      </c>
      <c r="AW302" s="3" t="s">
        <v>3752</v>
      </c>
      <c r="AX302" s="3" t="s">
        <v>3752</v>
      </c>
      <c r="AY302" s="3" t="s">
        <v>3753</v>
      </c>
      <c r="AZ302" s="3" t="s">
        <v>73</v>
      </c>
      <c r="BB302" s="3" t="s">
        <v>3754</v>
      </c>
      <c r="BC302" s="3" t="s">
        <v>3755</v>
      </c>
      <c r="BD302" s="3" t="s">
        <v>3756</v>
      </c>
    </row>
    <row r="303" spans="1:56" ht="31.5" customHeight="1" x14ac:dyDescent="0.25">
      <c r="A303" s="7" t="s">
        <v>58</v>
      </c>
      <c r="B303" s="2" t="s">
        <v>3757</v>
      </c>
      <c r="C303" s="2" t="s">
        <v>3758</v>
      </c>
      <c r="D303" s="2" t="s">
        <v>3759</v>
      </c>
      <c r="F303" s="3" t="s">
        <v>58</v>
      </c>
      <c r="G303" s="3" t="s">
        <v>59</v>
      </c>
      <c r="H303" s="3" t="s">
        <v>58</v>
      </c>
      <c r="I303" s="3" t="s">
        <v>58</v>
      </c>
      <c r="J303" s="3" t="s">
        <v>60</v>
      </c>
      <c r="K303" s="2" t="s">
        <v>3760</v>
      </c>
      <c r="L303" s="2" t="s">
        <v>3761</v>
      </c>
      <c r="M303" s="3" t="s">
        <v>1522</v>
      </c>
      <c r="O303" s="3" t="s">
        <v>63</v>
      </c>
      <c r="P303" s="3" t="s">
        <v>360</v>
      </c>
      <c r="R303" s="3" t="s">
        <v>65</v>
      </c>
      <c r="S303" s="4">
        <v>4</v>
      </c>
      <c r="T303" s="4">
        <v>4</v>
      </c>
      <c r="U303" s="5" t="s">
        <v>3446</v>
      </c>
      <c r="V303" s="5" t="s">
        <v>3446</v>
      </c>
      <c r="W303" s="5" t="s">
        <v>3447</v>
      </c>
      <c r="X303" s="5" t="s">
        <v>3447</v>
      </c>
      <c r="Y303" s="4">
        <v>444</v>
      </c>
      <c r="Z303" s="4">
        <v>386</v>
      </c>
      <c r="AA303" s="4">
        <v>390</v>
      </c>
      <c r="AB303" s="4">
        <v>3</v>
      </c>
      <c r="AC303" s="4">
        <v>3</v>
      </c>
      <c r="AD303" s="4">
        <v>13</v>
      </c>
      <c r="AE303" s="4">
        <v>13</v>
      </c>
      <c r="AF303" s="4">
        <v>5</v>
      </c>
      <c r="AG303" s="4">
        <v>5</v>
      </c>
      <c r="AH303" s="4">
        <v>3</v>
      </c>
      <c r="AI303" s="4">
        <v>3</v>
      </c>
      <c r="AJ303" s="4">
        <v>7</v>
      </c>
      <c r="AK303" s="4">
        <v>7</v>
      </c>
      <c r="AL303" s="4">
        <v>2</v>
      </c>
      <c r="AM303" s="4">
        <v>2</v>
      </c>
      <c r="AN303" s="4">
        <v>0</v>
      </c>
      <c r="AO303" s="4">
        <v>0</v>
      </c>
      <c r="AP303" s="3" t="s">
        <v>58</v>
      </c>
      <c r="AQ303" s="3" t="s">
        <v>68</v>
      </c>
      <c r="AR303" s="6" t="str">
        <f>HYPERLINK("http://catalog.hathitrust.org/Record/001476039","HathiTrust Record")</f>
        <v>HathiTrust Record</v>
      </c>
      <c r="AS303" s="6" t="str">
        <f>HYPERLINK("https://creighton-primo.hosted.exlibrisgroup.com/primo-explore/search?tab=default_tab&amp;search_scope=EVERYTHING&amp;vid=01CRU&amp;lang=en_US&amp;offset=0&amp;query=any,contains,991002929369702656","Catalog Record")</f>
        <v>Catalog Record</v>
      </c>
      <c r="AT303" s="6" t="str">
        <f>HYPERLINK("http://www.worldcat.org/oclc/530398","WorldCat Record")</f>
        <v>WorldCat Record</v>
      </c>
      <c r="AU303" s="3" t="s">
        <v>3762</v>
      </c>
      <c r="AV303" s="3" t="s">
        <v>3763</v>
      </c>
      <c r="AW303" s="3" t="s">
        <v>3764</v>
      </c>
      <c r="AX303" s="3" t="s">
        <v>3764</v>
      </c>
      <c r="AY303" s="3" t="s">
        <v>3765</v>
      </c>
      <c r="AZ303" s="3" t="s">
        <v>73</v>
      </c>
      <c r="BC303" s="3" t="s">
        <v>3766</v>
      </c>
      <c r="BD303" s="3" t="s">
        <v>3767</v>
      </c>
    </row>
    <row r="304" spans="1:56" ht="31.5" customHeight="1" x14ac:dyDescent="0.25">
      <c r="A304" s="7" t="s">
        <v>58</v>
      </c>
      <c r="B304" s="2" t="s">
        <v>3768</v>
      </c>
      <c r="C304" s="2" t="s">
        <v>3769</v>
      </c>
      <c r="D304" s="2" t="s">
        <v>3770</v>
      </c>
      <c r="F304" s="3" t="s">
        <v>58</v>
      </c>
      <c r="G304" s="3" t="s">
        <v>59</v>
      </c>
      <c r="H304" s="3" t="s">
        <v>58</v>
      </c>
      <c r="I304" s="3" t="s">
        <v>58</v>
      </c>
      <c r="J304" s="3" t="s">
        <v>60</v>
      </c>
      <c r="K304" s="2" t="s">
        <v>3771</v>
      </c>
      <c r="L304" s="2" t="s">
        <v>3772</v>
      </c>
      <c r="M304" s="3" t="s">
        <v>2253</v>
      </c>
      <c r="N304" s="2" t="s">
        <v>3773</v>
      </c>
      <c r="O304" s="3" t="s">
        <v>63</v>
      </c>
      <c r="P304" s="3" t="s">
        <v>64</v>
      </c>
      <c r="R304" s="3" t="s">
        <v>65</v>
      </c>
      <c r="S304" s="4">
        <v>18</v>
      </c>
      <c r="T304" s="4">
        <v>18</v>
      </c>
      <c r="U304" s="5" t="s">
        <v>3774</v>
      </c>
      <c r="V304" s="5" t="s">
        <v>3774</v>
      </c>
      <c r="W304" s="5" t="s">
        <v>3775</v>
      </c>
      <c r="X304" s="5" t="s">
        <v>3775</v>
      </c>
      <c r="Y304" s="4">
        <v>1196</v>
      </c>
      <c r="Z304" s="4">
        <v>1113</v>
      </c>
      <c r="AA304" s="4">
        <v>1142</v>
      </c>
      <c r="AB304" s="4">
        <v>6</v>
      </c>
      <c r="AC304" s="4">
        <v>6</v>
      </c>
      <c r="AD304" s="4">
        <v>23</v>
      </c>
      <c r="AE304" s="4">
        <v>24</v>
      </c>
      <c r="AF304" s="4">
        <v>11</v>
      </c>
      <c r="AG304" s="4">
        <v>11</v>
      </c>
      <c r="AH304" s="4">
        <v>3</v>
      </c>
      <c r="AI304" s="4">
        <v>4</v>
      </c>
      <c r="AJ304" s="4">
        <v>8</v>
      </c>
      <c r="AK304" s="4">
        <v>9</v>
      </c>
      <c r="AL304" s="4">
        <v>4</v>
      </c>
      <c r="AM304" s="4">
        <v>4</v>
      </c>
      <c r="AN304" s="4">
        <v>0</v>
      </c>
      <c r="AO304" s="4">
        <v>0</v>
      </c>
      <c r="AP304" s="3" t="s">
        <v>58</v>
      </c>
      <c r="AQ304" s="3" t="s">
        <v>68</v>
      </c>
      <c r="AR304" s="6" t="str">
        <f>HYPERLINK("http://catalog.hathitrust.org/Record/000556023","HathiTrust Record")</f>
        <v>HathiTrust Record</v>
      </c>
      <c r="AS304" s="6" t="str">
        <f>HYPERLINK("https://creighton-primo.hosted.exlibrisgroup.com/primo-explore/search?tab=default_tab&amp;search_scope=EVERYTHING&amp;vid=01CRU&amp;lang=en_US&amp;offset=0&amp;query=any,contains,991000889839702656","Catalog Record")</f>
        <v>Catalog Record</v>
      </c>
      <c r="AT304" s="6" t="str">
        <f>HYPERLINK("http://www.worldcat.org/oclc/13903753","WorldCat Record")</f>
        <v>WorldCat Record</v>
      </c>
      <c r="AU304" s="3" t="s">
        <v>3776</v>
      </c>
      <c r="AV304" s="3" t="s">
        <v>3777</v>
      </c>
      <c r="AW304" s="3" t="s">
        <v>3778</v>
      </c>
      <c r="AX304" s="3" t="s">
        <v>3778</v>
      </c>
      <c r="AY304" s="3" t="s">
        <v>3779</v>
      </c>
      <c r="AZ304" s="3" t="s">
        <v>73</v>
      </c>
      <c r="BB304" s="3" t="s">
        <v>3780</v>
      </c>
      <c r="BC304" s="3" t="s">
        <v>3781</v>
      </c>
      <c r="BD304" s="3" t="s">
        <v>3782</v>
      </c>
    </row>
    <row r="305" spans="1:56" ht="31.5" customHeight="1" x14ac:dyDescent="0.25">
      <c r="A305" s="7" t="s">
        <v>58</v>
      </c>
      <c r="B305" s="2" t="s">
        <v>3783</v>
      </c>
      <c r="C305" s="2" t="s">
        <v>3784</v>
      </c>
      <c r="D305" s="2" t="s">
        <v>3785</v>
      </c>
      <c r="F305" s="3" t="s">
        <v>58</v>
      </c>
      <c r="G305" s="3" t="s">
        <v>59</v>
      </c>
      <c r="H305" s="3" t="s">
        <v>58</v>
      </c>
      <c r="I305" s="3" t="s">
        <v>58</v>
      </c>
      <c r="J305" s="3" t="s">
        <v>60</v>
      </c>
      <c r="K305" s="2" t="s">
        <v>535</v>
      </c>
      <c r="L305" s="2" t="s">
        <v>3786</v>
      </c>
      <c r="M305" s="3" t="s">
        <v>835</v>
      </c>
      <c r="O305" s="3" t="s">
        <v>63</v>
      </c>
      <c r="P305" s="3" t="s">
        <v>64</v>
      </c>
      <c r="R305" s="3" t="s">
        <v>65</v>
      </c>
      <c r="S305" s="4">
        <v>1</v>
      </c>
      <c r="T305" s="4">
        <v>1</v>
      </c>
      <c r="U305" s="5" t="s">
        <v>3709</v>
      </c>
      <c r="V305" s="5" t="s">
        <v>3709</v>
      </c>
      <c r="W305" s="5" t="s">
        <v>3787</v>
      </c>
      <c r="X305" s="5" t="s">
        <v>3787</v>
      </c>
      <c r="Y305" s="4">
        <v>594</v>
      </c>
      <c r="Z305" s="4">
        <v>532</v>
      </c>
      <c r="AA305" s="4">
        <v>544</v>
      </c>
      <c r="AB305" s="4">
        <v>6</v>
      </c>
      <c r="AC305" s="4">
        <v>6</v>
      </c>
      <c r="AD305" s="4">
        <v>13</v>
      </c>
      <c r="AE305" s="4">
        <v>13</v>
      </c>
      <c r="AF305" s="4">
        <v>4</v>
      </c>
      <c r="AG305" s="4">
        <v>4</v>
      </c>
      <c r="AH305" s="4">
        <v>3</v>
      </c>
      <c r="AI305" s="4">
        <v>3</v>
      </c>
      <c r="AJ305" s="4">
        <v>4</v>
      </c>
      <c r="AK305" s="4">
        <v>4</v>
      </c>
      <c r="AL305" s="4">
        <v>4</v>
      </c>
      <c r="AM305" s="4">
        <v>4</v>
      </c>
      <c r="AN305" s="4">
        <v>0</v>
      </c>
      <c r="AO305" s="4">
        <v>0</v>
      </c>
      <c r="AP305" s="3" t="s">
        <v>58</v>
      </c>
      <c r="AQ305" s="3" t="s">
        <v>58</v>
      </c>
      <c r="AS305" s="6" t="str">
        <f>HYPERLINK("https://creighton-primo.hosted.exlibrisgroup.com/primo-explore/search?tab=default_tab&amp;search_scope=EVERYTHING&amp;vid=01CRU&amp;lang=en_US&amp;offset=0&amp;query=any,contains,991002908899702656","Catalog Record")</f>
        <v>Catalog Record</v>
      </c>
      <c r="AT305" s="6" t="str">
        <f>HYPERLINK("http://www.worldcat.org/oclc/38438990","WorldCat Record")</f>
        <v>WorldCat Record</v>
      </c>
      <c r="AU305" s="3" t="s">
        <v>3788</v>
      </c>
      <c r="AV305" s="3" t="s">
        <v>3789</v>
      </c>
      <c r="AW305" s="3" t="s">
        <v>3790</v>
      </c>
      <c r="AX305" s="3" t="s">
        <v>3790</v>
      </c>
      <c r="AY305" s="3" t="s">
        <v>3791</v>
      </c>
      <c r="AZ305" s="3" t="s">
        <v>73</v>
      </c>
      <c r="BB305" s="3" t="s">
        <v>3792</v>
      </c>
      <c r="BC305" s="3" t="s">
        <v>3793</v>
      </c>
      <c r="BD305" s="3" t="s">
        <v>3794</v>
      </c>
    </row>
    <row r="306" spans="1:56" ht="31.5" customHeight="1" x14ac:dyDescent="0.25">
      <c r="A306" s="7" t="s">
        <v>58</v>
      </c>
      <c r="B306" s="2" t="s">
        <v>3795</v>
      </c>
      <c r="C306" s="2" t="s">
        <v>3796</v>
      </c>
      <c r="D306" s="2" t="s">
        <v>3797</v>
      </c>
      <c r="F306" s="3" t="s">
        <v>58</v>
      </c>
      <c r="G306" s="3" t="s">
        <v>59</v>
      </c>
      <c r="H306" s="3" t="s">
        <v>58</v>
      </c>
      <c r="I306" s="3" t="s">
        <v>58</v>
      </c>
      <c r="J306" s="3" t="s">
        <v>60</v>
      </c>
      <c r="K306" s="2" t="s">
        <v>3798</v>
      </c>
      <c r="L306" s="2" t="s">
        <v>3799</v>
      </c>
      <c r="M306" s="3" t="s">
        <v>835</v>
      </c>
      <c r="N306" s="2" t="s">
        <v>501</v>
      </c>
      <c r="O306" s="3" t="s">
        <v>63</v>
      </c>
      <c r="P306" s="3" t="s">
        <v>64</v>
      </c>
      <c r="R306" s="3" t="s">
        <v>65</v>
      </c>
      <c r="S306" s="4">
        <v>5</v>
      </c>
      <c r="T306" s="4">
        <v>5</v>
      </c>
      <c r="U306" s="5" t="s">
        <v>3800</v>
      </c>
      <c r="V306" s="5" t="s">
        <v>3800</v>
      </c>
      <c r="W306" s="5" t="s">
        <v>3801</v>
      </c>
      <c r="X306" s="5" t="s">
        <v>3801</v>
      </c>
      <c r="Y306" s="4">
        <v>310</v>
      </c>
      <c r="Z306" s="4">
        <v>283</v>
      </c>
      <c r="AA306" s="4">
        <v>299</v>
      </c>
      <c r="AB306" s="4">
        <v>4</v>
      </c>
      <c r="AC306" s="4">
        <v>4</v>
      </c>
      <c r="AD306" s="4">
        <v>11</v>
      </c>
      <c r="AE306" s="4">
        <v>11</v>
      </c>
      <c r="AF306" s="4">
        <v>4</v>
      </c>
      <c r="AG306" s="4">
        <v>4</v>
      </c>
      <c r="AH306" s="4">
        <v>1</v>
      </c>
      <c r="AI306" s="4">
        <v>1</v>
      </c>
      <c r="AJ306" s="4">
        <v>6</v>
      </c>
      <c r="AK306" s="4">
        <v>6</v>
      </c>
      <c r="AL306" s="4">
        <v>3</v>
      </c>
      <c r="AM306" s="4">
        <v>3</v>
      </c>
      <c r="AN306" s="4">
        <v>0</v>
      </c>
      <c r="AO306" s="4">
        <v>0</v>
      </c>
      <c r="AP306" s="3" t="s">
        <v>58</v>
      </c>
      <c r="AQ306" s="3" t="s">
        <v>58</v>
      </c>
      <c r="AS306" s="6" t="str">
        <f>HYPERLINK("https://creighton-primo.hosted.exlibrisgroup.com/primo-explore/search?tab=default_tab&amp;search_scope=EVERYTHING&amp;vid=01CRU&amp;lang=en_US&amp;offset=0&amp;query=any,contains,991002990479702656","Catalog Record")</f>
        <v>Catalog Record</v>
      </c>
      <c r="AT306" s="6" t="str">
        <f>HYPERLINK("http://www.worldcat.org/oclc/40358277","WorldCat Record")</f>
        <v>WorldCat Record</v>
      </c>
      <c r="AU306" s="3" t="s">
        <v>3802</v>
      </c>
      <c r="AV306" s="3" t="s">
        <v>3803</v>
      </c>
      <c r="AW306" s="3" t="s">
        <v>3804</v>
      </c>
      <c r="AX306" s="3" t="s">
        <v>3804</v>
      </c>
      <c r="AY306" s="3" t="s">
        <v>3805</v>
      </c>
      <c r="AZ306" s="3" t="s">
        <v>73</v>
      </c>
      <c r="BB306" s="3" t="s">
        <v>3806</v>
      </c>
      <c r="BC306" s="3" t="s">
        <v>3807</v>
      </c>
      <c r="BD306" s="3" t="s">
        <v>3808</v>
      </c>
    </row>
    <row r="307" spans="1:56" ht="31.5" customHeight="1" x14ac:dyDescent="0.25">
      <c r="A307" s="7" t="s">
        <v>58</v>
      </c>
      <c r="B307" s="2" t="s">
        <v>3809</v>
      </c>
      <c r="C307" s="2" t="s">
        <v>3810</v>
      </c>
      <c r="D307" s="2" t="s">
        <v>3811</v>
      </c>
      <c r="F307" s="3" t="s">
        <v>58</v>
      </c>
      <c r="G307" s="3" t="s">
        <v>59</v>
      </c>
      <c r="H307" s="3" t="s">
        <v>58</v>
      </c>
      <c r="I307" s="3" t="s">
        <v>58</v>
      </c>
      <c r="J307" s="3" t="s">
        <v>60</v>
      </c>
      <c r="L307" s="2" t="s">
        <v>3812</v>
      </c>
      <c r="M307" s="3" t="s">
        <v>565</v>
      </c>
      <c r="O307" s="3" t="s">
        <v>63</v>
      </c>
      <c r="P307" s="3" t="s">
        <v>444</v>
      </c>
      <c r="R307" s="3" t="s">
        <v>65</v>
      </c>
      <c r="S307" s="4">
        <v>8</v>
      </c>
      <c r="T307" s="4">
        <v>8</v>
      </c>
      <c r="U307" s="5" t="s">
        <v>3813</v>
      </c>
      <c r="V307" s="5" t="s">
        <v>3813</v>
      </c>
      <c r="W307" s="5" t="s">
        <v>3814</v>
      </c>
      <c r="X307" s="5" t="s">
        <v>3814</v>
      </c>
      <c r="Y307" s="4">
        <v>324</v>
      </c>
      <c r="Z307" s="4">
        <v>264</v>
      </c>
      <c r="AA307" s="4">
        <v>266</v>
      </c>
      <c r="AB307" s="4">
        <v>3</v>
      </c>
      <c r="AC307" s="4">
        <v>3</v>
      </c>
      <c r="AD307" s="4">
        <v>9</v>
      </c>
      <c r="AE307" s="4">
        <v>9</v>
      </c>
      <c r="AF307" s="4">
        <v>5</v>
      </c>
      <c r="AG307" s="4">
        <v>5</v>
      </c>
      <c r="AH307" s="4">
        <v>1</v>
      </c>
      <c r="AI307" s="4">
        <v>1</v>
      </c>
      <c r="AJ307" s="4">
        <v>2</v>
      </c>
      <c r="AK307" s="4">
        <v>2</v>
      </c>
      <c r="AL307" s="4">
        <v>2</v>
      </c>
      <c r="AM307" s="4">
        <v>2</v>
      </c>
      <c r="AN307" s="4">
        <v>0</v>
      </c>
      <c r="AO307" s="4">
        <v>0</v>
      </c>
      <c r="AP307" s="3" t="s">
        <v>58</v>
      </c>
      <c r="AQ307" s="3" t="s">
        <v>68</v>
      </c>
      <c r="AR307" s="6" t="str">
        <f>HYPERLINK("http://catalog.hathitrust.org/Record/002437179","HathiTrust Record")</f>
        <v>HathiTrust Record</v>
      </c>
      <c r="AS307" s="6" t="str">
        <f>HYPERLINK("https://creighton-primo.hosted.exlibrisgroup.com/primo-explore/search?tab=default_tab&amp;search_scope=EVERYTHING&amp;vid=01CRU&amp;lang=en_US&amp;offset=0&amp;query=any,contains,991005076589702656","Catalog Record")</f>
        <v>Catalog Record</v>
      </c>
      <c r="AT307" s="6" t="str">
        <f>HYPERLINK("http://www.worldcat.org/oclc/7121102","WorldCat Record")</f>
        <v>WorldCat Record</v>
      </c>
      <c r="AU307" s="3" t="s">
        <v>3815</v>
      </c>
      <c r="AV307" s="3" t="s">
        <v>3816</v>
      </c>
      <c r="AW307" s="3" t="s">
        <v>3817</v>
      </c>
      <c r="AX307" s="3" t="s">
        <v>3817</v>
      </c>
      <c r="AY307" s="3" t="s">
        <v>3818</v>
      </c>
      <c r="AZ307" s="3" t="s">
        <v>73</v>
      </c>
      <c r="BB307" s="3" t="s">
        <v>3819</v>
      </c>
      <c r="BC307" s="3" t="s">
        <v>3820</v>
      </c>
      <c r="BD307" s="3" t="s">
        <v>3821</v>
      </c>
    </row>
    <row r="308" spans="1:56" ht="31.5" customHeight="1" x14ac:dyDescent="0.25">
      <c r="A308" s="7" t="s">
        <v>58</v>
      </c>
      <c r="B308" s="2" t="s">
        <v>3822</v>
      </c>
      <c r="C308" s="2" t="s">
        <v>3823</v>
      </c>
      <c r="D308" s="2" t="s">
        <v>3824</v>
      </c>
      <c r="F308" s="3" t="s">
        <v>58</v>
      </c>
      <c r="G308" s="3" t="s">
        <v>59</v>
      </c>
      <c r="H308" s="3" t="s">
        <v>58</v>
      </c>
      <c r="I308" s="3" t="s">
        <v>58</v>
      </c>
      <c r="J308" s="3" t="s">
        <v>60</v>
      </c>
      <c r="K308" s="2" t="s">
        <v>3825</v>
      </c>
      <c r="L308" s="2" t="s">
        <v>3826</v>
      </c>
      <c r="M308" s="3" t="s">
        <v>607</v>
      </c>
      <c r="N308" s="2" t="s">
        <v>1616</v>
      </c>
      <c r="O308" s="3" t="s">
        <v>63</v>
      </c>
      <c r="P308" s="3" t="s">
        <v>64</v>
      </c>
      <c r="R308" s="3" t="s">
        <v>65</v>
      </c>
      <c r="S308" s="4">
        <v>17</v>
      </c>
      <c r="T308" s="4">
        <v>17</v>
      </c>
      <c r="U308" s="5" t="s">
        <v>3827</v>
      </c>
      <c r="V308" s="5" t="s">
        <v>3827</v>
      </c>
      <c r="W308" s="5" t="s">
        <v>3216</v>
      </c>
      <c r="X308" s="5" t="s">
        <v>3216</v>
      </c>
      <c r="Y308" s="4">
        <v>1392</v>
      </c>
      <c r="Z308" s="4">
        <v>1306</v>
      </c>
      <c r="AA308" s="4">
        <v>1423</v>
      </c>
      <c r="AB308" s="4">
        <v>8</v>
      </c>
      <c r="AC308" s="4">
        <v>8</v>
      </c>
      <c r="AD308" s="4">
        <v>34</v>
      </c>
      <c r="AE308" s="4">
        <v>35</v>
      </c>
      <c r="AF308" s="4">
        <v>14</v>
      </c>
      <c r="AG308" s="4">
        <v>14</v>
      </c>
      <c r="AH308" s="4">
        <v>5</v>
      </c>
      <c r="AI308" s="4">
        <v>5</v>
      </c>
      <c r="AJ308" s="4">
        <v>17</v>
      </c>
      <c r="AK308" s="4">
        <v>18</v>
      </c>
      <c r="AL308" s="4">
        <v>6</v>
      </c>
      <c r="AM308" s="4">
        <v>6</v>
      </c>
      <c r="AN308" s="4">
        <v>0</v>
      </c>
      <c r="AO308" s="4">
        <v>0</v>
      </c>
      <c r="AP308" s="3" t="s">
        <v>58</v>
      </c>
      <c r="AQ308" s="3" t="s">
        <v>58</v>
      </c>
      <c r="AR308" s="6" t="str">
        <f>HYPERLINK("http://catalog.hathitrust.org/Record/001476043","HathiTrust Record")</f>
        <v>HathiTrust Record</v>
      </c>
      <c r="AS308" s="6" t="str">
        <f>HYPERLINK("https://creighton-primo.hosted.exlibrisgroup.com/primo-explore/search?tab=default_tab&amp;search_scope=EVERYTHING&amp;vid=01CRU&amp;lang=en_US&amp;offset=0&amp;query=any,contains,991003231429702656","Catalog Record")</f>
        <v>Catalog Record</v>
      </c>
      <c r="AT308" s="6" t="str">
        <f>HYPERLINK("http://www.worldcat.org/oclc/756158","WorldCat Record")</f>
        <v>WorldCat Record</v>
      </c>
      <c r="AU308" s="3" t="s">
        <v>3828</v>
      </c>
      <c r="AV308" s="3" t="s">
        <v>3829</v>
      </c>
      <c r="AW308" s="3" t="s">
        <v>3830</v>
      </c>
      <c r="AX308" s="3" t="s">
        <v>3830</v>
      </c>
      <c r="AY308" s="3" t="s">
        <v>3831</v>
      </c>
      <c r="AZ308" s="3" t="s">
        <v>73</v>
      </c>
      <c r="BB308" s="3" t="s">
        <v>3832</v>
      </c>
      <c r="BC308" s="3" t="s">
        <v>3833</v>
      </c>
      <c r="BD308" s="3" t="s">
        <v>3834</v>
      </c>
    </row>
    <row r="309" spans="1:56" ht="31.5" customHeight="1" x14ac:dyDescent="0.25">
      <c r="A309" s="7" t="s">
        <v>58</v>
      </c>
      <c r="B309" s="2" t="s">
        <v>3835</v>
      </c>
      <c r="C309" s="2" t="s">
        <v>3836</v>
      </c>
      <c r="D309" s="2" t="s">
        <v>3837</v>
      </c>
      <c r="F309" s="3" t="s">
        <v>58</v>
      </c>
      <c r="G309" s="3" t="s">
        <v>59</v>
      </c>
      <c r="H309" s="3" t="s">
        <v>58</v>
      </c>
      <c r="I309" s="3" t="s">
        <v>58</v>
      </c>
      <c r="J309" s="3" t="s">
        <v>60</v>
      </c>
      <c r="K309" s="2" t="s">
        <v>3838</v>
      </c>
      <c r="L309" s="2" t="s">
        <v>3839</v>
      </c>
      <c r="M309" s="3" t="s">
        <v>3840</v>
      </c>
      <c r="N309" s="2" t="s">
        <v>501</v>
      </c>
      <c r="O309" s="3" t="s">
        <v>63</v>
      </c>
      <c r="P309" s="3" t="s">
        <v>64</v>
      </c>
      <c r="R309" s="3" t="s">
        <v>65</v>
      </c>
      <c r="S309" s="4">
        <v>1</v>
      </c>
      <c r="T309" s="4">
        <v>1</v>
      </c>
      <c r="U309" s="5" t="s">
        <v>3841</v>
      </c>
      <c r="V309" s="5" t="s">
        <v>3841</v>
      </c>
      <c r="W309" s="5" t="s">
        <v>3841</v>
      </c>
      <c r="X309" s="5" t="s">
        <v>3841</v>
      </c>
      <c r="Y309" s="4">
        <v>831</v>
      </c>
      <c r="Z309" s="4">
        <v>786</v>
      </c>
      <c r="AA309" s="4">
        <v>819</v>
      </c>
      <c r="AB309" s="4">
        <v>7</v>
      </c>
      <c r="AC309" s="4">
        <v>8</v>
      </c>
      <c r="AD309" s="4">
        <v>11</v>
      </c>
      <c r="AE309" s="4">
        <v>12</v>
      </c>
      <c r="AF309" s="4">
        <v>5</v>
      </c>
      <c r="AG309" s="4">
        <v>5</v>
      </c>
      <c r="AH309" s="4">
        <v>0</v>
      </c>
      <c r="AI309" s="4">
        <v>0</v>
      </c>
      <c r="AJ309" s="4">
        <v>4</v>
      </c>
      <c r="AK309" s="4">
        <v>4</v>
      </c>
      <c r="AL309" s="4">
        <v>4</v>
      </c>
      <c r="AM309" s="4">
        <v>5</v>
      </c>
      <c r="AN309" s="4">
        <v>0</v>
      </c>
      <c r="AO309" s="4">
        <v>0</v>
      </c>
      <c r="AP309" s="3" t="s">
        <v>58</v>
      </c>
      <c r="AQ309" s="3" t="s">
        <v>68</v>
      </c>
      <c r="AR309" s="6" t="str">
        <f>HYPERLINK("http://catalog.hathitrust.org/Record/005146772","HathiTrust Record")</f>
        <v>HathiTrust Record</v>
      </c>
      <c r="AS309" s="6" t="str">
        <f>HYPERLINK("https://creighton-primo.hosted.exlibrisgroup.com/primo-explore/search?tab=default_tab&amp;search_scope=EVERYTHING&amp;vid=01CRU&amp;lang=en_US&amp;offset=0&amp;query=any,contains,991004701199702656","Catalog Record")</f>
        <v>Catalog Record</v>
      </c>
      <c r="AT309" s="6" t="str">
        <f>HYPERLINK("http://www.worldcat.org/oclc/58789284","WorldCat Record")</f>
        <v>WorldCat Record</v>
      </c>
      <c r="AU309" s="3" t="s">
        <v>3842</v>
      </c>
      <c r="AV309" s="3" t="s">
        <v>3843</v>
      </c>
      <c r="AW309" s="3" t="s">
        <v>3844</v>
      </c>
      <c r="AX309" s="3" t="s">
        <v>3844</v>
      </c>
      <c r="AY309" s="3" t="s">
        <v>3845</v>
      </c>
      <c r="AZ309" s="3" t="s">
        <v>73</v>
      </c>
      <c r="BB309" s="3" t="s">
        <v>3846</v>
      </c>
      <c r="BC309" s="3" t="s">
        <v>3847</v>
      </c>
      <c r="BD309" s="3" t="s">
        <v>3848</v>
      </c>
    </row>
    <row r="310" spans="1:56" ht="31.5" customHeight="1" x14ac:dyDescent="0.25">
      <c r="A310" s="7" t="s">
        <v>58</v>
      </c>
      <c r="B310" s="2" t="s">
        <v>3849</v>
      </c>
      <c r="C310" s="2" t="s">
        <v>3850</v>
      </c>
      <c r="D310" s="2" t="s">
        <v>3851</v>
      </c>
      <c r="F310" s="3" t="s">
        <v>58</v>
      </c>
      <c r="G310" s="3" t="s">
        <v>59</v>
      </c>
      <c r="H310" s="3" t="s">
        <v>58</v>
      </c>
      <c r="I310" s="3" t="s">
        <v>58</v>
      </c>
      <c r="J310" s="3" t="s">
        <v>60</v>
      </c>
      <c r="K310" s="2" t="s">
        <v>1600</v>
      </c>
      <c r="L310" s="2" t="s">
        <v>3852</v>
      </c>
      <c r="M310" s="3" t="s">
        <v>1522</v>
      </c>
      <c r="O310" s="3" t="s">
        <v>63</v>
      </c>
      <c r="P310" s="3" t="s">
        <v>444</v>
      </c>
      <c r="R310" s="3" t="s">
        <v>65</v>
      </c>
      <c r="S310" s="4">
        <v>6</v>
      </c>
      <c r="T310" s="4">
        <v>6</v>
      </c>
      <c r="U310" s="5" t="s">
        <v>3512</v>
      </c>
      <c r="V310" s="5" t="s">
        <v>3512</v>
      </c>
      <c r="W310" s="5" t="s">
        <v>3853</v>
      </c>
      <c r="X310" s="5" t="s">
        <v>3853</v>
      </c>
      <c r="Y310" s="4">
        <v>1037</v>
      </c>
      <c r="Z310" s="4">
        <v>908</v>
      </c>
      <c r="AA310" s="4">
        <v>1033</v>
      </c>
      <c r="AB310" s="4">
        <v>9</v>
      </c>
      <c r="AC310" s="4">
        <v>10</v>
      </c>
      <c r="AD310" s="4">
        <v>39</v>
      </c>
      <c r="AE310" s="4">
        <v>44</v>
      </c>
      <c r="AF310" s="4">
        <v>17</v>
      </c>
      <c r="AG310" s="4">
        <v>18</v>
      </c>
      <c r="AH310" s="4">
        <v>5</v>
      </c>
      <c r="AI310" s="4">
        <v>6</v>
      </c>
      <c r="AJ310" s="4">
        <v>16</v>
      </c>
      <c r="AK310" s="4">
        <v>20</v>
      </c>
      <c r="AL310" s="4">
        <v>8</v>
      </c>
      <c r="AM310" s="4">
        <v>9</v>
      </c>
      <c r="AN310" s="4">
        <v>0</v>
      </c>
      <c r="AO310" s="4">
        <v>0</v>
      </c>
      <c r="AP310" s="3" t="s">
        <v>58</v>
      </c>
      <c r="AQ310" s="3" t="s">
        <v>68</v>
      </c>
      <c r="AR310" s="6" t="str">
        <f>HYPERLINK("http://catalog.hathitrust.org/Record/000308098","HathiTrust Record")</f>
        <v>HathiTrust Record</v>
      </c>
      <c r="AS310" s="6" t="str">
        <f>HYPERLINK("https://creighton-primo.hosted.exlibrisgroup.com/primo-explore/search?tab=default_tab&amp;search_scope=EVERYTHING&amp;vid=01CRU&amp;lang=en_US&amp;offset=0&amp;query=any,contains,991002300729702656","Catalog Record")</f>
        <v>Catalog Record</v>
      </c>
      <c r="AT310" s="6" t="str">
        <f>HYPERLINK("http://www.worldcat.org/oclc/317314","WorldCat Record")</f>
        <v>WorldCat Record</v>
      </c>
      <c r="AU310" s="3" t="s">
        <v>3854</v>
      </c>
      <c r="AV310" s="3" t="s">
        <v>3855</v>
      </c>
      <c r="AW310" s="3" t="s">
        <v>3856</v>
      </c>
      <c r="AX310" s="3" t="s">
        <v>3856</v>
      </c>
      <c r="AY310" s="3" t="s">
        <v>3857</v>
      </c>
      <c r="AZ310" s="3" t="s">
        <v>73</v>
      </c>
      <c r="BC310" s="3" t="s">
        <v>3858</v>
      </c>
      <c r="BD310" s="3" t="s">
        <v>3859</v>
      </c>
    </row>
    <row r="311" spans="1:56" ht="31.5" customHeight="1" x14ac:dyDescent="0.25">
      <c r="A311" s="7" t="s">
        <v>58</v>
      </c>
      <c r="B311" s="2" t="s">
        <v>3860</v>
      </c>
      <c r="C311" s="2" t="s">
        <v>3861</v>
      </c>
      <c r="D311" s="2" t="s">
        <v>3862</v>
      </c>
      <c r="F311" s="3" t="s">
        <v>58</v>
      </c>
      <c r="G311" s="3" t="s">
        <v>59</v>
      </c>
      <c r="H311" s="3" t="s">
        <v>58</v>
      </c>
      <c r="I311" s="3" t="s">
        <v>58</v>
      </c>
      <c r="J311" s="3" t="s">
        <v>60</v>
      </c>
      <c r="K311" s="2" t="s">
        <v>3863</v>
      </c>
      <c r="L311" s="2" t="s">
        <v>3864</v>
      </c>
      <c r="M311" s="3" t="s">
        <v>416</v>
      </c>
      <c r="O311" s="3" t="s">
        <v>63</v>
      </c>
      <c r="P311" s="3" t="s">
        <v>64</v>
      </c>
      <c r="Q311" s="2" t="s">
        <v>3865</v>
      </c>
      <c r="R311" s="3" t="s">
        <v>65</v>
      </c>
      <c r="S311" s="4">
        <v>4</v>
      </c>
      <c r="T311" s="4">
        <v>4</v>
      </c>
      <c r="U311" s="5" t="s">
        <v>2148</v>
      </c>
      <c r="V311" s="5" t="s">
        <v>2148</v>
      </c>
      <c r="W311" s="5" t="s">
        <v>3644</v>
      </c>
      <c r="X311" s="5" t="s">
        <v>3644</v>
      </c>
      <c r="Y311" s="4">
        <v>180</v>
      </c>
      <c r="Z311" s="4">
        <v>165</v>
      </c>
      <c r="AA311" s="4">
        <v>206</v>
      </c>
      <c r="AB311" s="4">
        <v>5</v>
      </c>
      <c r="AC311" s="4">
        <v>6</v>
      </c>
      <c r="AD311" s="4">
        <v>3</v>
      </c>
      <c r="AE311" s="4">
        <v>5</v>
      </c>
      <c r="AF311" s="4">
        <v>0</v>
      </c>
      <c r="AG311" s="4">
        <v>0</v>
      </c>
      <c r="AH311" s="4">
        <v>0</v>
      </c>
      <c r="AI311" s="4">
        <v>0</v>
      </c>
      <c r="AJ311" s="4">
        <v>0</v>
      </c>
      <c r="AK311" s="4">
        <v>1</v>
      </c>
      <c r="AL311" s="4">
        <v>3</v>
      </c>
      <c r="AM311" s="4">
        <v>4</v>
      </c>
      <c r="AN311" s="4">
        <v>0</v>
      </c>
      <c r="AO311" s="4">
        <v>0</v>
      </c>
      <c r="AP311" s="3" t="s">
        <v>58</v>
      </c>
      <c r="AQ311" s="3" t="s">
        <v>58</v>
      </c>
      <c r="AS311" s="6" t="str">
        <f>HYPERLINK("https://creighton-primo.hosted.exlibrisgroup.com/primo-explore/search?tab=default_tab&amp;search_scope=EVERYTHING&amp;vid=01CRU&amp;lang=en_US&amp;offset=0&amp;query=any,contains,991001021839702656","Catalog Record")</f>
        <v>Catalog Record</v>
      </c>
      <c r="AT311" s="6" t="str">
        <f>HYPERLINK("http://www.worldcat.org/oclc/173865","WorldCat Record")</f>
        <v>WorldCat Record</v>
      </c>
      <c r="AU311" s="3" t="s">
        <v>3866</v>
      </c>
      <c r="AV311" s="3" t="s">
        <v>3867</v>
      </c>
      <c r="AW311" s="3" t="s">
        <v>3868</v>
      </c>
      <c r="AX311" s="3" t="s">
        <v>3868</v>
      </c>
      <c r="AY311" s="3" t="s">
        <v>3869</v>
      </c>
      <c r="AZ311" s="3" t="s">
        <v>73</v>
      </c>
      <c r="BC311" s="3" t="s">
        <v>3870</v>
      </c>
      <c r="BD311" s="3" t="s">
        <v>3871</v>
      </c>
    </row>
    <row r="312" spans="1:56" ht="31.5" customHeight="1" x14ac:dyDescent="0.25">
      <c r="A312" s="7" t="s">
        <v>58</v>
      </c>
      <c r="B312" s="2" t="s">
        <v>3872</v>
      </c>
      <c r="C312" s="2" t="s">
        <v>3873</v>
      </c>
      <c r="D312" s="2" t="s">
        <v>3874</v>
      </c>
      <c r="F312" s="3" t="s">
        <v>58</v>
      </c>
      <c r="G312" s="3" t="s">
        <v>59</v>
      </c>
      <c r="H312" s="3" t="s">
        <v>58</v>
      </c>
      <c r="I312" s="3" t="s">
        <v>58</v>
      </c>
      <c r="J312" s="3" t="s">
        <v>60</v>
      </c>
      <c r="K312" s="2" t="s">
        <v>3875</v>
      </c>
      <c r="L312" s="2" t="s">
        <v>3876</v>
      </c>
      <c r="M312" s="3" t="s">
        <v>1522</v>
      </c>
      <c r="N312" s="2" t="s">
        <v>2985</v>
      </c>
      <c r="O312" s="3" t="s">
        <v>63</v>
      </c>
      <c r="P312" s="3" t="s">
        <v>1111</v>
      </c>
      <c r="Q312" s="2" t="s">
        <v>3877</v>
      </c>
      <c r="R312" s="3" t="s">
        <v>65</v>
      </c>
      <c r="S312" s="4">
        <v>8</v>
      </c>
      <c r="T312" s="4">
        <v>8</v>
      </c>
      <c r="U312" s="5" t="s">
        <v>3878</v>
      </c>
      <c r="V312" s="5" t="s">
        <v>3878</v>
      </c>
      <c r="W312" s="5" t="s">
        <v>3879</v>
      </c>
      <c r="X312" s="5" t="s">
        <v>3879</v>
      </c>
      <c r="Y312" s="4">
        <v>45</v>
      </c>
      <c r="Z312" s="4">
        <v>41</v>
      </c>
      <c r="AA312" s="4">
        <v>1142</v>
      </c>
      <c r="AB312" s="4">
        <v>1</v>
      </c>
      <c r="AC312" s="4">
        <v>11</v>
      </c>
      <c r="AD312" s="4">
        <v>1</v>
      </c>
      <c r="AE312" s="4">
        <v>29</v>
      </c>
      <c r="AF312" s="4">
        <v>1</v>
      </c>
      <c r="AG312" s="4">
        <v>7</v>
      </c>
      <c r="AH312" s="4">
        <v>1</v>
      </c>
      <c r="AI312" s="4">
        <v>5</v>
      </c>
      <c r="AJ312" s="4">
        <v>0</v>
      </c>
      <c r="AK312" s="4">
        <v>15</v>
      </c>
      <c r="AL312" s="4">
        <v>0</v>
      </c>
      <c r="AM312" s="4">
        <v>7</v>
      </c>
      <c r="AN312" s="4">
        <v>0</v>
      </c>
      <c r="AO312" s="4">
        <v>0</v>
      </c>
      <c r="AP312" s="3" t="s">
        <v>58</v>
      </c>
      <c r="AQ312" s="3" t="s">
        <v>58</v>
      </c>
      <c r="AS312" s="6" t="str">
        <f>HYPERLINK("https://creighton-primo.hosted.exlibrisgroup.com/primo-explore/search?tab=default_tab&amp;search_scope=EVERYTHING&amp;vid=01CRU&amp;lang=en_US&amp;offset=0&amp;query=any,contains,991003028829702656","Catalog Record")</f>
        <v>Catalog Record</v>
      </c>
      <c r="AT312" s="6" t="str">
        <f>HYPERLINK("http://www.worldcat.org/oclc/592058","WorldCat Record")</f>
        <v>WorldCat Record</v>
      </c>
      <c r="AU312" s="3" t="s">
        <v>3880</v>
      </c>
      <c r="AV312" s="3" t="s">
        <v>3881</v>
      </c>
      <c r="AW312" s="3" t="s">
        <v>3882</v>
      </c>
      <c r="AX312" s="3" t="s">
        <v>3882</v>
      </c>
      <c r="AY312" s="3" t="s">
        <v>3883</v>
      </c>
      <c r="AZ312" s="3" t="s">
        <v>73</v>
      </c>
      <c r="BC312" s="3" t="s">
        <v>3884</v>
      </c>
      <c r="BD312" s="3" t="s">
        <v>3885</v>
      </c>
    </row>
    <row r="313" spans="1:56" ht="31.5" customHeight="1" x14ac:dyDescent="0.25">
      <c r="A313" s="7" t="s">
        <v>58</v>
      </c>
      <c r="B313" s="2" t="s">
        <v>3886</v>
      </c>
      <c r="C313" s="2" t="s">
        <v>3887</v>
      </c>
      <c r="D313" s="2" t="s">
        <v>3888</v>
      </c>
      <c r="F313" s="3" t="s">
        <v>58</v>
      </c>
      <c r="G313" s="3" t="s">
        <v>59</v>
      </c>
      <c r="H313" s="3" t="s">
        <v>58</v>
      </c>
      <c r="I313" s="3" t="s">
        <v>58</v>
      </c>
      <c r="J313" s="3" t="s">
        <v>60</v>
      </c>
      <c r="K313" s="2" t="s">
        <v>3889</v>
      </c>
      <c r="L313" s="2" t="s">
        <v>3890</v>
      </c>
      <c r="M313" s="3" t="s">
        <v>1000</v>
      </c>
      <c r="O313" s="3" t="s">
        <v>63</v>
      </c>
      <c r="P313" s="3" t="s">
        <v>64</v>
      </c>
      <c r="R313" s="3" t="s">
        <v>65</v>
      </c>
      <c r="S313" s="4">
        <v>2</v>
      </c>
      <c r="T313" s="4">
        <v>2</v>
      </c>
      <c r="U313" s="5" t="s">
        <v>3891</v>
      </c>
      <c r="V313" s="5" t="s">
        <v>3891</v>
      </c>
      <c r="W313" s="5" t="s">
        <v>3892</v>
      </c>
      <c r="X313" s="5" t="s">
        <v>3892</v>
      </c>
      <c r="Y313" s="4">
        <v>1105</v>
      </c>
      <c r="Z313" s="4">
        <v>1042</v>
      </c>
      <c r="AA313" s="4">
        <v>1094</v>
      </c>
      <c r="AB313" s="4">
        <v>4</v>
      </c>
      <c r="AC313" s="4">
        <v>4</v>
      </c>
      <c r="AD313" s="4">
        <v>20</v>
      </c>
      <c r="AE313" s="4">
        <v>22</v>
      </c>
      <c r="AF313" s="4">
        <v>7</v>
      </c>
      <c r="AG313" s="4">
        <v>8</v>
      </c>
      <c r="AH313" s="4">
        <v>3</v>
      </c>
      <c r="AI313" s="4">
        <v>4</v>
      </c>
      <c r="AJ313" s="4">
        <v>10</v>
      </c>
      <c r="AK313" s="4">
        <v>11</v>
      </c>
      <c r="AL313" s="4">
        <v>3</v>
      </c>
      <c r="AM313" s="4">
        <v>3</v>
      </c>
      <c r="AN313" s="4">
        <v>0</v>
      </c>
      <c r="AO313" s="4">
        <v>0</v>
      </c>
      <c r="AP313" s="3" t="s">
        <v>58</v>
      </c>
      <c r="AQ313" s="3" t="s">
        <v>68</v>
      </c>
      <c r="AR313" s="6" t="str">
        <f>HYPERLINK("http://catalog.hathitrust.org/Record/005102529","HathiTrust Record")</f>
        <v>HathiTrust Record</v>
      </c>
      <c r="AS313" s="6" t="str">
        <f>HYPERLINK("https://creighton-primo.hosted.exlibrisgroup.com/primo-explore/search?tab=default_tab&amp;search_scope=EVERYTHING&amp;vid=01CRU&amp;lang=en_US&amp;offset=0&amp;query=any,contains,991004701519702656","Catalog Record")</f>
        <v>Catalog Record</v>
      </c>
      <c r="AT313" s="6" t="str">
        <f>HYPERLINK("http://www.worldcat.org/oclc/61757182","WorldCat Record")</f>
        <v>WorldCat Record</v>
      </c>
      <c r="AU313" s="3" t="s">
        <v>3893</v>
      </c>
      <c r="AV313" s="3" t="s">
        <v>3894</v>
      </c>
      <c r="AW313" s="3" t="s">
        <v>3895</v>
      </c>
      <c r="AX313" s="3" t="s">
        <v>3895</v>
      </c>
      <c r="AY313" s="3" t="s">
        <v>3896</v>
      </c>
      <c r="AZ313" s="3" t="s">
        <v>73</v>
      </c>
      <c r="BB313" s="3" t="s">
        <v>3897</v>
      </c>
      <c r="BC313" s="3" t="s">
        <v>3898</v>
      </c>
      <c r="BD313" s="3" t="s">
        <v>3899</v>
      </c>
    </row>
    <row r="314" spans="1:56" ht="31.5" customHeight="1" x14ac:dyDescent="0.25">
      <c r="A314" s="7" t="s">
        <v>58</v>
      </c>
      <c r="B314" s="2" t="s">
        <v>3900</v>
      </c>
      <c r="C314" s="2" t="s">
        <v>3901</v>
      </c>
      <c r="D314" s="2" t="s">
        <v>3902</v>
      </c>
      <c r="F314" s="3" t="s">
        <v>58</v>
      </c>
      <c r="G314" s="3" t="s">
        <v>59</v>
      </c>
      <c r="H314" s="3" t="s">
        <v>58</v>
      </c>
      <c r="I314" s="3" t="s">
        <v>58</v>
      </c>
      <c r="J314" s="3" t="s">
        <v>60</v>
      </c>
      <c r="K314" s="2" t="s">
        <v>3889</v>
      </c>
      <c r="L314" s="2" t="s">
        <v>3903</v>
      </c>
      <c r="M314" s="3" t="s">
        <v>700</v>
      </c>
      <c r="O314" s="3" t="s">
        <v>63</v>
      </c>
      <c r="P314" s="3" t="s">
        <v>64</v>
      </c>
      <c r="R314" s="3" t="s">
        <v>65</v>
      </c>
      <c r="S314" s="4">
        <v>4</v>
      </c>
      <c r="T314" s="4">
        <v>4</v>
      </c>
      <c r="U314" s="5" t="s">
        <v>3904</v>
      </c>
      <c r="V314" s="5" t="s">
        <v>3904</v>
      </c>
      <c r="W314" s="5" t="s">
        <v>3905</v>
      </c>
      <c r="X314" s="5" t="s">
        <v>3905</v>
      </c>
      <c r="Y314" s="4">
        <v>1382</v>
      </c>
      <c r="Z314" s="4">
        <v>1212</v>
      </c>
      <c r="AA314" s="4">
        <v>1350</v>
      </c>
      <c r="AB314" s="4">
        <v>11</v>
      </c>
      <c r="AC314" s="4">
        <v>12</v>
      </c>
      <c r="AD314" s="4">
        <v>34</v>
      </c>
      <c r="AE314" s="4">
        <v>35</v>
      </c>
      <c r="AF314" s="4">
        <v>12</v>
      </c>
      <c r="AG314" s="4">
        <v>12</v>
      </c>
      <c r="AH314" s="4">
        <v>5</v>
      </c>
      <c r="AI314" s="4">
        <v>5</v>
      </c>
      <c r="AJ314" s="4">
        <v>14</v>
      </c>
      <c r="AK314" s="4">
        <v>14</v>
      </c>
      <c r="AL314" s="4">
        <v>8</v>
      </c>
      <c r="AM314" s="4">
        <v>9</v>
      </c>
      <c r="AN314" s="4">
        <v>0</v>
      </c>
      <c r="AO314" s="4">
        <v>0</v>
      </c>
      <c r="AP314" s="3" t="s">
        <v>58</v>
      </c>
      <c r="AQ314" s="3" t="s">
        <v>58</v>
      </c>
      <c r="AS314" s="6" t="str">
        <f>HYPERLINK("https://creighton-primo.hosted.exlibrisgroup.com/primo-explore/search?tab=default_tab&amp;search_scope=EVERYTHING&amp;vid=01CRU&amp;lang=en_US&amp;offset=0&amp;query=any,contains,991003262429702656","Catalog Record")</f>
        <v>Catalog Record</v>
      </c>
      <c r="AT314" s="6" t="str">
        <f>HYPERLINK("http://www.worldcat.org/oclc/40996050","WorldCat Record")</f>
        <v>WorldCat Record</v>
      </c>
      <c r="AU314" s="3" t="s">
        <v>3906</v>
      </c>
      <c r="AV314" s="3" t="s">
        <v>3907</v>
      </c>
      <c r="AW314" s="3" t="s">
        <v>3908</v>
      </c>
      <c r="AX314" s="3" t="s">
        <v>3908</v>
      </c>
      <c r="AY314" s="3" t="s">
        <v>3909</v>
      </c>
      <c r="AZ314" s="3" t="s">
        <v>73</v>
      </c>
      <c r="BB314" s="3" t="s">
        <v>3910</v>
      </c>
      <c r="BC314" s="3" t="s">
        <v>3911</v>
      </c>
      <c r="BD314" s="3" t="s">
        <v>3912</v>
      </c>
    </row>
    <row r="315" spans="1:56" ht="31.5" customHeight="1" x14ac:dyDescent="0.25">
      <c r="A315" s="7" t="s">
        <v>58</v>
      </c>
      <c r="B315" s="2" t="s">
        <v>3913</v>
      </c>
      <c r="C315" s="2" t="s">
        <v>3914</v>
      </c>
      <c r="D315" s="2" t="s">
        <v>3915</v>
      </c>
      <c r="F315" s="3" t="s">
        <v>58</v>
      </c>
      <c r="G315" s="3" t="s">
        <v>59</v>
      </c>
      <c r="H315" s="3" t="s">
        <v>58</v>
      </c>
      <c r="I315" s="3" t="s">
        <v>58</v>
      </c>
      <c r="J315" s="3" t="s">
        <v>60</v>
      </c>
      <c r="K315" s="2" t="s">
        <v>3916</v>
      </c>
      <c r="L315" s="2" t="s">
        <v>3917</v>
      </c>
      <c r="M315" s="3" t="s">
        <v>3918</v>
      </c>
      <c r="O315" s="3" t="s">
        <v>63</v>
      </c>
      <c r="P315" s="3" t="s">
        <v>796</v>
      </c>
      <c r="Q315" s="2" t="s">
        <v>3919</v>
      </c>
      <c r="R315" s="3" t="s">
        <v>65</v>
      </c>
      <c r="S315" s="4">
        <v>5</v>
      </c>
      <c r="T315" s="4">
        <v>5</v>
      </c>
      <c r="U315" s="5" t="s">
        <v>3920</v>
      </c>
      <c r="V315" s="5" t="s">
        <v>3920</v>
      </c>
      <c r="W315" s="5" t="s">
        <v>3921</v>
      </c>
      <c r="X315" s="5" t="s">
        <v>3921</v>
      </c>
      <c r="Y315" s="4">
        <v>207</v>
      </c>
      <c r="Z315" s="4">
        <v>152</v>
      </c>
      <c r="AA315" s="4">
        <v>157</v>
      </c>
      <c r="AB315" s="4">
        <v>1</v>
      </c>
      <c r="AC315" s="4">
        <v>1</v>
      </c>
      <c r="AD315" s="4">
        <v>7</v>
      </c>
      <c r="AE315" s="4">
        <v>7</v>
      </c>
      <c r="AF315" s="4">
        <v>3</v>
      </c>
      <c r="AG315" s="4">
        <v>3</v>
      </c>
      <c r="AH315" s="4">
        <v>2</v>
      </c>
      <c r="AI315" s="4">
        <v>2</v>
      </c>
      <c r="AJ315" s="4">
        <v>3</v>
      </c>
      <c r="AK315" s="4">
        <v>3</v>
      </c>
      <c r="AL315" s="4">
        <v>0</v>
      </c>
      <c r="AM315" s="4">
        <v>0</v>
      </c>
      <c r="AN315" s="4">
        <v>0</v>
      </c>
      <c r="AO315" s="4">
        <v>0</v>
      </c>
      <c r="AP315" s="3" t="s">
        <v>58</v>
      </c>
      <c r="AQ315" s="3" t="s">
        <v>68</v>
      </c>
      <c r="AR315" s="6" t="str">
        <f>HYPERLINK("http://catalog.hathitrust.org/Record/001476845","HathiTrust Record")</f>
        <v>HathiTrust Record</v>
      </c>
      <c r="AS315" s="6" t="str">
        <f>HYPERLINK("https://creighton-primo.hosted.exlibrisgroup.com/primo-explore/search?tab=default_tab&amp;search_scope=EVERYTHING&amp;vid=01CRU&amp;lang=en_US&amp;offset=0&amp;query=any,contains,991003303189702656","Catalog Record")</f>
        <v>Catalog Record</v>
      </c>
      <c r="AT315" s="6" t="str">
        <f>HYPERLINK("http://www.worldcat.org/oclc/826357","WorldCat Record")</f>
        <v>WorldCat Record</v>
      </c>
      <c r="AU315" s="3" t="s">
        <v>3922</v>
      </c>
      <c r="AV315" s="3" t="s">
        <v>3923</v>
      </c>
      <c r="AW315" s="3" t="s">
        <v>3924</v>
      </c>
      <c r="AX315" s="3" t="s">
        <v>3924</v>
      </c>
      <c r="AY315" s="3" t="s">
        <v>3925</v>
      </c>
      <c r="AZ315" s="3" t="s">
        <v>73</v>
      </c>
      <c r="BC315" s="3" t="s">
        <v>3926</v>
      </c>
      <c r="BD315" s="3" t="s">
        <v>3927</v>
      </c>
    </row>
    <row r="316" spans="1:56" ht="31.5" customHeight="1" x14ac:dyDescent="0.25">
      <c r="A316" s="7" t="s">
        <v>58</v>
      </c>
      <c r="B316" s="2" t="s">
        <v>3928</v>
      </c>
      <c r="C316" s="2" t="s">
        <v>3929</v>
      </c>
      <c r="D316" s="2" t="s">
        <v>3930</v>
      </c>
      <c r="F316" s="3" t="s">
        <v>58</v>
      </c>
      <c r="G316" s="3" t="s">
        <v>59</v>
      </c>
      <c r="H316" s="3" t="s">
        <v>58</v>
      </c>
      <c r="I316" s="3" t="s">
        <v>58</v>
      </c>
      <c r="J316" s="3" t="s">
        <v>60</v>
      </c>
      <c r="K316" s="2" t="s">
        <v>3931</v>
      </c>
      <c r="L316" s="2" t="s">
        <v>3932</v>
      </c>
      <c r="M316" s="3" t="s">
        <v>3933</v>
      </c>
      <c r="O316" s="3" t="s">
        <v>63</v>
      </c>
      <c r="P316" s="3" t="s">
        <v>129</v>
      </c>
      <c r="R316" s="3" t="s">
        <v>65</v>
      </c>
      <c r="S316" s="4">
        <v>9</v>
      </c>
      <c r="T316" s="4">
        <v>9</v>
      </c>
      <c r="U316" s="5" t="s">
        <v>3934</v>
      </c>
      <c r="V316" s="5" t="s">
        <v>3934</v>
      </c>
      <c r="W316" s="5" t="s">
        <v>3935</v>
      </c>
      <c r="X316" s="5" t="s">
        <v>3935</v>
      </c>
      <c r="Y316" s="4">
        <v>94</v>
      </c>
      <c r="Z316" s="4">
        <v>86</v>
      </c>
      <c r="AA316" s="4">
        <v>114</v>
      </c>
      <c r="AB316" s="4">
        <v>3</v>
      </c>
      <c r="AC316" s="4">
        <v>4</v>
      </c>
      <c r="AD316" s="4">
        <v>4</v>
      </c>
      <c r="AE316" s="4">
        <v>6</v>
      </c>
      <c r="AF316" s="4">
        <v>1</v>
      </c>
      <c r="AG316" s="4">
        <v>1</v>
      </c>
      <c r="AH316" s="4">
        <v>1</v>
      </c>
      <c r="AI316" s="4">
        <v>2</v>
      </c>
      <c r="AJ316" s="4">
        <v>0</v>
      </c>
      <c r="AK316" s="4">
        <v>0</v>
      </c>
      <c r="AL316" s="4">
        <v>2</v>
      </c>
      <c r="AM316" s="4">
        <v>3</v>
      </c>
      <c r="AN316" s="4">
        <v>0</v>
      </c>
      <c r="AO316" s="4">
        <v>0</v>
      </c>
      <c r="AP316" s="3" t="s">
        <v>68</v>
      </c>
      <c r="AQ316" s="3" t="s">
        <v>58</v>
      </c>
      <c r="AR316" s="6" t="str">
        <f>HYPERLINK("http://catalog.hathitrust.org/Record/006944761","HathiTrust Record")</f>
        <v>HathiTrust Record</v>
      </c>
      <c r="AS316" s="6" t="str">
        <f>HYPERLINK("https://creighton-primo.hosted.exlibrisgroup.com/primo-explore/search?tab=default_tab&amp;search_scope=EVERYTHING&amp;vid=01CRU&amp;lang=en_US&amp;offset=0&amp;query=any,contains,991004800279702656","Catalog Record")</f>
        <v>Catalog Record</v>
      </c>
      <c r="AT316" s="6" t="str">
        <f>HYPERLINK("http://www.worldcat.org/oclc/5210879","WorldCat Record")</f>
        <v>WorldCat Record</v>
      </c>
      <c r="AU316" s="3" t="s">
        <v>3936</v>
      </c>
      <c r="AV316" s="3" t="s">
        <v>3937</v>
      </c>
      <c r="AW316" s="3" t="s">
        <v>3938</v>
      </c>
      <c r="AX316" s="3" t="s">
        <v>3938</v>
      </c>
      <c r="AY316" s="3" t="s">
        <v>3939</v>
      </c>
      <c r="AZ316" s="3" t="s">
        <v>73</v>
      </c>
      <c r="BC316" s="3" t="s">
        <v>3940</v>
      </c>
      <c r="BD316" s="3" t="s">
        <v>3941</v>
      </c>
    </row>
    <row r="317" spans="1:56" ht="31.5" customHeight="1" x14ac:dyDescent="0.25">
      <c r="A317" s="7" t="s">
        <v>58</v>
      </c>
      <c r="B317" s="2" t="s">
        <v>3942</v>
      </c>
      <c r="C317" s="2" t="s">
        <v>3943</v>
      </c>
      <c r="D317" s="2" t="s">
        <v>3944</v>
      </c>
      <c r="F317" s="3" t="s">
        <v>58</v>
      </c>
      <c r="G317" s="3" t="s">
        <v>59</v>
      </c>
      <c r="H317" s="3" t="s">
        <v>58</v>
      </c>
      <c r="I317" s="3" t="s">
        <v>58</v>
      </c>
      <c r="J317" s="3" t="s">
        <v>60</v>
      </c>
      <c r="L317" s="2" t="s">
        <v>3945</v>
      </c>
      <c r="M317" s="3" t="s">
        <v>1912</v>
      </c>
      <c r="O317" s="3" t="s">
        <v>63</v>
      </c>
      <c r="P317" s="3" t="s">
        <v>3946</v>
      </c>
      <c r="R317" s="3" t="s">
        <v>65</v>
      </c>
      <c r="S317" s="4">
        <v>2</v>
      </c>
      <c r="T317" s="4">
        <v>2</v>
      </c>
      <c r="U317" s="5" t="s">
        <v>3947</v>
      </c>
      <c r="V317" s="5" t="s">
        <v>3947</v>
      </c>
      <c r="W317" s="5" t="s">
        <v>3407</v>
      </c>
      <c r="X317" s="5" t="s">
        <v>3407</v>
      </c>
      <c r="Y317" s="4">
        <v>338</v>
      </c>
      <c r="Z317" s="4">
        <v>288</v>
      </c>
      <c r="AA317" s="4">
        <v>309</v>
      </c>
      <c r="AB317" s="4">
        <v>4</v>
      </c>
      <c r="AC317" s="4">
        <v>4</v>
      </c>
      <c r="AD317" s="4">
        <v>7</v>
      </c>
      <c r="AE317" s="4">
        <v>8</v>
      </c>
      <c r="AF317" s="4">
        <v>1</v>
      </c>
      <c r="AG317" s="4">
        <v>2</v>
      </c>
      <c r="AH317" s="4">
        <v>3</v>
      </c>
      <c r="AI317" s="4">
        <v>4</v>
      </c>
      <c r="AJ317" s="4">
        <v>1</v>
      </c>
      <c r="AK317" s="4">
        <v>1</v>
      </c>
      <c r="AL317" s="4">
        <v>3</v>
      </c>
      <c r="AM317" s="4">
        <v>3</v>
      </c>
      <c r="AN317" s="4">
        <v>0</v>
      </c>
      <c r="AO317" s="4">
        <v>0</v>
      </c>
      <c r="AP317" s="3" t="s">
        <v>58</v>
      </c>
      <c r="AQ317" s="3" t="s">
        <v>68</v>
      </c>
      <c r="AR317" s="6" t="str">
        <f>HYPERLINK("http://catalog.hathitrust.org/Record/000438011","HathiTrust Record")</f>
        <v>HathiTrust Record</v>
      </c>
      <c r="AS317" s="6" t="str">
        <f>HYPERLINK("https://creighton-primo.hosted.exlibrisgroup.com/primo-explore/search?tab=default_tab&amp;search_scope=EVERYTHING&amp;vid=01CRU&amp;lang=en_US&amp;offset=0&amp;query=any,contains,991000840619702656","Catalog Record")</f>
        <v>Catalog Record</v>
      </c>
      <c r="AT317" s="6" t="str">
        <f>HYPERLINK("http://www.worldcat.org/oclc/13525460","WorldCat Record")</f>
        <v>WorldCat Record</v>
      </c>
      <c r="AU317" s="3" t="s">
        <v>3948</v>
      </c>
      <c r="AV317" s="3" t="s">
        <v>3949</v>
      </c>
      <c r="AW317" s="3" t="s">
        <v>3950</v>
      </c>
      <c r="AX317" s="3" t="s">
        <v>3950</v>
      </c>
      <c r="AY317" s="3" t="s">
        <v>3951</v>
      </c>
      <c r="AZ317" s="3" t="s">
        <v>73</v>
      </c>
      <c r="BB317" s="3" t="s">
        <v>3952</v>
      </c>
      <c r="BC317" s="3" t="s">
        <v>3953</v>
      </c>
      <c r="BD317" s="3" t="s">
        <v>3954</v>
      </c>
    </row>
    <row r="318" spans="1:56" ht="31.5" customHeight="1" x14ac:dyDescent="0.25">
      <c r="A318" s="7" t="s">
        <v>58</v>
      </c>
      <c r="B318" s="2" t="s">
        <v>3955</v>
      </c>
      <c r="C318" s="2" t="s">
        <v>3956</v>
      </c>
      <c r="D318" s="2" t="s">
        <v>3957</v>
      </c>
      <c r="F318" s="3" t="s">
        <v>58</v>
      </c>
      <c r="G318" s="3" t="s">
        <v>59</v>
      </c>
      <c r="H318" s="3" t="s">
        <v>58</v>
      </c>
      <c r="I318" s="3" t="s">
        <v>58</v>
      </c>
      <c r="J318" s="3" t="s">
        <v>60</v>
      </c>
      <c r="K318" s="2" t="s">
        <v>3958</v>
      </c>
      <c r="L318" s="2" t="s">
        <v>3959</v>
      </c>
      <c r="M318" s="3" t="s">
        <v>835</v>
      </c>
      <c r="N318" s="2" t="s">
        <v>3960</v>
      </c>
      <c r="O318" s="3" t="s">
        <v>63</v>
      </c>
      <c r="P318" s="3" t="s">
        <v>3406</v>
      </c>
      <c r="R318" s="3" t="s">
        <v>65</v>
      </c>
      <c r="S318" s="4">
        <v>1</v>
      </c>
      <c r="T318" s="4">
        <v>1</v>
      </c>
      <c r="U318" s="5" t="s">
        <v>3961</v>
      </c>
      <c r="V318" s="5" t="s">
        <v>3961</v>
      </c>
      <c r="W318" s="5" t="s">
        <v>3961</v>
      </c>
      <c r="X318" s="5" t="s">
        <v>3961</v>
      </c>
      <c r="Y318" s="4">
        <v>133</v>
      </c>
      <c r="Z318" s="4">
        <v>127</v>
      </c>
      <c r="AA318" s="4">
        <v>885</v>
      </c>
      <c r="AB318" s="4">
        <v>3</v>
      </c>
      <c r="AC318" s="4">
        <v>4</v>
      </c>
      <c r="AD318" s="4">
        <v>3</v>
      </c>
      <c r="AE318" s="4">
        <v>13</v>
      </c>
      <c r="AF318" s="4">
        <v>1</v>
      </c>
      <c r="AG318" s="4">
        <v>7</v>
      </c>
      <c r="AH318" s="4">
        <v>0</v>
      </c>
      <c r="AI318" s="4">
        <v>2</v>
      </c>
      <c r="AJ318" s="4">
        <v>1</v>
      </c>
      <c r="AK318" s="4">
        <v>6</v>
      </c>
      <c r="AL318" s="4">
        <v>1</v>
      </c>
      <c r="AM318" s="4">
        <v>1</v>
      </c>
      <c r="AN318" s="4">
        <v>0</v>
      </c>
      <c r="AO318" s="4">
        <v>0</v>
      </c>
      <c r="AP318" s="3" t="s">
        <v>58</v>
      </c>
      <c r="AQ318" s="3" t="s">
        <v>58</v>
      </c>
      <c r="AS318" s="6" t="str">
        <f>HYPERLINK("https://creighton-primo.hosted.exlibrisgroup.com/primo-explore/search?tab=default_tab&amp;search_scope=EVERYTHING&amp;vid=01CRU&amp;lang=en_US&amp;offset=0&amp;query=any,contains,991005278999702656","Catalog Record")</f>
        <v>Catalog Record</v>
      </c>
      <c r="AT318" s="6" t="str">
        <f>HYPERLINK("http://www.worldcat.org/oclc/39299241","WorldCat Record")</f>
        <v>WorldCat Record</v>
      </c>
      <c r="AU318" s="3" t="s">
        <v>3962</v>
      </c>
      <c r="AV318" s="3" t="s">
        <v>3963</v>
      </c>
      <c r="AW318" s="3" t="s">
        <v>3964</v>
      </c>
      <c r="AX318" s="3" t="s">
        <v>3964</v>
      </c>
      <c r="AY318" s="3" t="s">
        <v>3965</v>
      </c>
      <c r="AZ318" s="3" t="s">
        <v>73</v>
      </c>
      <c r="BB318" s="3" t="s">
        <v>3966</v>
      </c>
      <c r="BC318" s="3" t="s">
        <v>3967</v>
      </c>
      <c r="BD318" s="3" t="s">
        <v>3968</v>
      </c>
    </row>
    <row r="319" spans="1:56" ht="31.5" customHeight="1" x14ac:dyDescent="0.25">
      <c r="A319" s="7" t="s">
        <v>58</v>
      </c>
      <c r="B319" s="2" t="s">
        <v>3969</v>
      </c>
      <c r="C319" s="2" t="s">
        <v>3970</v>
      </c>
      <c r="D319" s="2" t="s">
        <v>3971</v>
      </c>
      <c r="F319" s="3" t="s">
        <v>58</v>
      </c>
      <c r="G319" s="3" t="s">
        <v>59</v>
      </c>
      <c r="H319" s="3" t="s">
        <v>58</v>
      </c>
      <c r="I319" s="3" t="s">
        <v>58</v>
      </c>
      <c r="J319" s="3" t="s">
        <v>60</v>
      </c>
      <c r="K319" s="2" t="s">
        <v>3972</v>
      </c>
      <c r="L319" s="2" t="s">
        <v>3973</v>
      </c>
      <c r="M319" s="3" t="s">
        <v>113</v>
      </c>
      <c r="O319" s="3" t="s">
        <v>63</v>
      </c>
      <c r="P319" s="3" t="s">
        <v>360</v>
      </c>
      <c r="R319" s="3" t="s">
        <v>65</v>
      </c>
      <c r="S319" s="4">
        <v>1</v>
      </c>
      <c r="T319" s="4">
        <v>1</v>
      </c>
      <c r="U319" s="5" t="s">
        <v>3974</v>
      </c>
      <c r="V319" s="5" t="s">
        <v>3974</v>
      </c>
      <c r="W319" s="5" t="s">
        <v>3974</v>
      </c>
      <c r="X319" s="5" t="s">
        <v>3974</v>
      </c>
      <c r="Y319" s="4">
        <v>1141</v>
      </c>
      <c r="Z319" s="4">
        <v>1027</v>
      </c>
      <c r="AA319" s="4">
        <v>1051</v>
      </c>
      <c r="AB319" s="4">
        <v>7</v>
      </c>
      <c r="AC319" s="4">
        <v>7</v>
      </c>
      <c r="AD319" s="4">
        <v>17</v>
      </c>
      <c r="AE319" s="4">
        <v>17</v>
      </c>
      <c r="AF319" s="4">
        <v>7</v>
      </c>
      <c r="AG319" s="4">
        <v>7</v>
      </c>
      <c r="AH319" s="4">
        <v>3</v>
      </c>
      <c r="AI319" s="4">
        <v>3</v>
      </c>
      <c r="AJ319" s="4">
        <v>10</v>
      </c>
      <c r="AK319" s="4">
        <v>10</v>
      </c>
      <c r="AL319" s="4">
        <v>4</v>
      </c>
      <c r="AM319" s="4">
        <v>4</v>
      </c>
      <c r="AN319" s="4">
        <v>0</v>
      </c>
      <c r="AO319" s="4">
        <v>0</v>
      </c>
      <c r="AP319" s="3" t="s">
        <v>58</v>
      </c>
      <c r="AQ319" s="3" t="s">
        <v>58</v>
      </c>
      <c r="AS319" s="6" t="str">
        <f>HYPERLINK("https://creighton-primo.hosted.exlibrisgroup.com/primo-explore/search?tab=default_tab&amp;search_scope=EVERYTHING&amp;vid=01CRU&amp;lang=en_US&amp;offset=0&amp;query=any,contains,991004077899702656","Catalog Record")</f>
        <v>Catalog Record</v>
      </c>
      <c r="AT319" s="6" t="str">
        <f>HYPERLINK("http://www.worldcat.org/oclc/52129583","WorldCat Record")</f>
        <v>WorldCat Record</v>
      </c>
      <c r="AU319" s="3" t="s">
        <v>3975</v>
      </c>
      <c r="AV319" s="3" t="s">
        <v>3976</v>
      </c>
      <c r="AW319" s="3" t="s">
        <v>3977</v>
      </c>
      <c r="AX319" s="3" t="s">
        <v>3977</v>
      </c>
      <c r="AY319" s="3" t="s">
        <v>3978</v>
      </c>
      <c r="AZ319" s="3" t="s">
        <v>73</v>
      </c>
      <c r="BB319" s="3" t="s">
        <v>3979</v>
      </c>
      <c r="BC319" s="3" t="s">
        <v>3980</v>
      </c>
      <c r="BD319" s="3" t="s">
        <v>3981</v>
      </c>
    </row>
    <row r="320" spans="1:56" ht="31.5" customHeight="1" x14ac:dyDescent="0.25">
      <c r="A320" s="7" t="s">
        <v>58</v>
      </c>
      <c r="B320" s="2" t="s">
        <v>3982</v>
      </c>
      <c r="C320" s="2" t="s">
        <v>3983</v>
      </c>
      <c r="D320" s="2" t="s">
        <v>3984</v>
      </c>
      <c r="F320" s="3" t="s">
        <v>58</v>
      </c>
      <c r="G320" s="3" t="s">
        <v>59</v>
      </c>
      <c r="H320" s="3" t="s">
        <v>58</v>
      </c>
      <c r="I320" s="3" t="s">
        <v>58</v>
      </c>
      <c r="J320" s="3" t="s">
        <v>60</v>
      </c>
      <c r="K320" s="2" t="s">
        <v>3985</v>
      </c>
      <c r="L320" s="2" t="s">
        <v>3986</v>
      </c>
      <c r="M320" s="3" t="s">
        <v>2353</v>
      </c>
      <c r="N320" s="2" t="s">
        <v>566</v>
      </c>
      <c r="O320" s="3" t="s">
        <v>63</v>
      </c>
      <c r="P320" s="3" t="s">
        <v>796</v>
      </c>
      <c r="R320" s="3" t="s">
        <v>65</v>
      </c>
      <c r="S320" s="4">
        <v>3</v>
      </c>
      <c r="T320" s="4">
        <v>3</v>
      </c>
      <c r="U320" s="5" t="s">
        <v>3987</v>
      </c>
      <c r="V320" s="5" t="s">
        <v>3987</v>
      </c>
      <c r="W320" s="5" t="s">
        <v>3407</v>
      </c>
      <c r="X320" s="5" t="s">
        <v>3407</v>
      </c>
      <c r="Y320" s="4">
        <v>82</v>
      </c>
      <c r="Z320" s="4">
        <v>55</v>
      </c>
      <c r="AA320" s="4">
        <v>83</v>
      </c>
      <c r="AB320" s="4">
        <v>1</v>
      </c>
      <c r="AC320" s="4">
        <v>1</v>
      </c>
      <c r="AD320" s="4">
        <v>0</v>
      </c>
      <c r="AE320" s="4">
        <v>2</v>
      </c>
      <c r="AF320" s="4">
        <v>0</v>
      </c>
      <c r="AG320" s="4">
        <v>0</v>
      </c>
      <c r="AH320" s="4">
        <v>0</v>
      </c>
      <c r="AI320" s="4">
        <v>1</v>
      </c>
      <c r="AJ320" s="4">
        <v>0</v>
      </c>
      <c r="AK320" s="4">
        <v>1</v>
      </c>
      <c r="AL320" s="4">
        <v>0</v>
      </c>
      <c r="AM320" s="4">
        <v>0</v>
      </c>
      <c r="AN320" s="4">
        <v>0</v>
      </c>
      <c r="AO320" s="4">
        <v>0</v>
      </c>
      <c r="AP320" s="3" t="s">
        <v>58</v>
      </c>
      <c r="AQ320" s="3" t="s">
        <v>58</v>
      </c>
      <c r="AS320" s="6" t="str">
        <f>HYPERLINK("https://creighton-primo.hosted.exlibrisgroup.com/primo-explore/search?tab=default_tab&amp;search_scope=EVERYTHING&amp;vid=01CRU&amp;lang=en_US&amp;offset=0&amp;query=any,contains,991004071219702656","Catalog Record")</f>
        <v>Catalog Record</v>
      </c>
      <c r="AT320" s="6" t="str">
        <f>HYPERLINK("http://www.worldcat.org/oclc/2301715","WorldCat Record")</f>
        <v>WorldCat Record</v>
      </c>
      <c r="AU320" s="3" t="s">
        <v>3988</v>
      </c>
      <c r="AV320" s="3" t="s">
        <v>3989</v>
      </c>
      <c r="AW320" s="3" t="s">
        <v>3990</v>
      </c>
      <c r="AX320" s="3" t="s">
        <v>3990</v>
      </c>
      <c r="AY320" s="3" t="s">
        <v>3991</v>
      </c>
      <c r="AZ320" s="3" t="s">
        <v>73</v>
      </c>
      <c r="BC320" s="3" t="s">
        <v>3992</v>
      </c>
      <c r="BD320" s="3" t="s">
        <v>3993</v>
      </c>
    </row>
    <row r="321" spans="1:56" ht="31.5" customHeight="1" x14ac:dyDescent="0.25">
      <c r="A321" s="7" t="s">
        <v>58</v>
      </c>
      <c r="B321" s="2" t="s">
        <v>3994</v>
      </c>
      <c r="C321" s="2" t="s">
        <v>3995</v>
      </c>
      <c r="D321" s="2" t="s">
        <v>3996</v>
      </c>
      <c r="F321" s="3" t="s">
        <v>58</v>
      </c>
      <c r="G321" s="3" t="s">
        <v>59</v>
      </c>
      <c r="H321" s="3" t="s">
        <v>58</v>
      </c>
      <c r="I321" s="3" t="s">
        <v>58</v>
      </c>
      <c r="J321" s="3" t="s">
        <v>60</v>
      </c>
      <c r="K321" s="2" t="s">
        <v>3997</v>
      </c>
      <c r="L321" s="2" t="s">
        <v>3998</v>
      </c>
      <c r="M321" s="3" t="s">
        <v>3999</v>
      </c>
      <c r="N321" s="2" t="s">
        <v>4000</v>
      </c>
      <c r="O321" s="3" t="s">
        <v>63</v>
      </c>
      <c r="P321" s="3" t="s">
        <v>64</v>
      </c>
      <c r="R321" s="3" t="s">
        <v>65</v>
      </c>
      <c r="S321" s="4">
        <v>2</v>
      </c>
      <c r="T321" s="4">
        <v>2</v>
      </c>
      <c r="U321" s="5" t="s">
        <v>4001</v>
      </c>
      <c r="V321" s="5" t="s">
        <v>4001</v>
      </c>
      <c r="W321" s="5" t="s">
        <v>4002</v>
      </c>
      <c r="X321" s="5" t="s">
        <v>4002</v>
      </c>
      <c r="Y321" s="4">
        <v>426</v>
      </c>
      <c r="Z321" s="4">
        <v>405</v>
      </c>
      <c r="AA321" s="4">
        <v>973</v>
      </c>
      <c r="AB321" s="4">
        <v>2</v>
      </c>
      <c r="AC321" s="4">
        <v>7</v>
      </c>
      <c r="AD321" s="4">
        <v>11</v>
      </c>
      <c r="AE321" s="4">
        <v>20</v>
      </c>
      <c r="AF321" s="4">
        <v>6</v>
      </c>
      <c r="AG321" s="4">
        <v>8</v>
      </c>
      <c r="AH321" s="4">
        <v>2</v>
      </c>
      <c r="AI321" s="4">
        <v>5</v>
      </c>
      <c r="AJ321" s="4">
        <v>5</v>
      </c>
      <c r="AK321" s="4">
        <v>8</v>
      </c>
      <c r="AL321" s="4">
        <v>1</v>
      </c>
      <c r="AM321" s="4">
        <v>4</v>
      </c>
      <c r="AN321" s="4">
        <v>0</v>
      </c>
      <c r="AO321" s="4">
        <v>0</v>
      </c>
      <c r="AP321" s="3" t="s">
        <v>58</v>
      </c>
      <c r="AQ321" s="3" t="s">
        <v>68</v>
      </c>
      <c r="AR321" s="6" t="str">
        <f>HYPERLINK("http://catalog.hathitrust.org/Record/001476934","HathiTrust Record")</f>
        <v>HathiTrust Record</v>
      </c>
      <c r="AS321" s="6" t="str">
        <f>HYPERLINK("https://creighton-primo.hosted.exlibrisgroup.com/primo-explore/search?tab=default_tab&amp;search_scope=EVERYTHING&amp;vid=01CRU&amp;lang=en_US&amp;offset=0&amp;query=any,contains,991003578609702656","Catalog Record")</f>
        <v>Catalog Record</v>
      </c>
      <c r="AT321" s="6" t="str">
        <f>HYPERLINK("http://www.worldcat.org/oclc/1158941","WorldCat Record")</f>
        <v>WorldCat Record</v>
      </c>
      <c r="AU321" s="3" t="s">
        <v>4003</v>
      </c>
      <c r="AV321" s="3" t="s">
        <v>4004</v>
      </c>
      <c r="AW321" s="3" t="s">
        <v>4005</v>
      </c>
      <c r="AX321" s="3" t="s">
        <v>4005</v>
      </c>
      <c r="AY321" s="3" t="s">
        <v>4006</v>
      </c>
      <c r="AZ321" s="3" t="s">
        <v>73</v>
      </c>
      <c r="BC321" s="3" t="s">
        <v>4007</v>
      </c>
      <c r="BD321" s="3" t="s">
        <v>4008</v>
      </c>
    </row>
    <row r="322" spans="1:56" ht="31.5" customHeight="1" x14ac:dyDescent="0.25">
      <c r="A322" s="7" t="s">
        <v>58</v>
      </c>
      <c r="B322" s="2" t="s">
        <v>4009</v>
      </c>
      <c r="C322" s="2" t="s">
        <v>4010</v>
      </c>
      <c r="D322" s="2" t="s">
        <v>4011</v>
      </c>
      <c r="E322" s="3" t="s">
        <v>526</v>
      </c>
      <c r="F322" s="3" t="s">
        <v>68</v>
      </c>
      <c r="G322" s="3" t="s">
        <v>59</v>
      </c>
      <c r="H322" s="3" t="s">
        <v>58</v>
      </c>
      <c r="I322" s="3" t="s">
        <v>58</v>
      </c>
      <c r="J322" s="3" t="s">
        <v>60</v>
      </c>
      <c r="L322" s="2" t="s">
        <v>4012</v>
      </c>
      <c r="M322" s="3" t="s">
        <v>144</v>
      </c>
      <c r="O322" s="3" t="s">
        <v>63</v>
      </c>
      <c r="P322" s="3" t="s">
        <v>186</v>
      </c>
      <c r="R322" s="3" t="s">
        <v>65</v>
      </c>
      <c r="S322" s="4">
        <v>4</v>
      </c>
      <c r="T322" s="4">
        <v>8</v>
      </c>
      <c r="U322" s="5" t="s">
        <v>4013</v>
      </c>
      <c r="V322" s="5" t="s">
        <v>4013</v>
      </c>
      <c r="W322" s="5" t="s">
        <v>204</v>
      </c>
      <c r="X322" s="5" t="s">
        <v>204</v>
      </c>
      <c r="Y322" s="4">
        <v>351</v>
      </c>
      <c r="Z322" s="4">
        <v>273</v>
      </c>
      <c r="AA322" s="4">
        <v>273</v>
      </c>
      <c r="AB322" s="4">
        <v>3</v>
      </c>
      <c r="AC322" s="4">
        <v>3</v>
      </c>
      <c r="AD322" s="4">
        <v>5</v>
      </c>
      <c r="AE322" s="4">
        <v>5</v>
      </c>
      <c r="AF322" s="4">
        <v>3</v>
      </c>
      <c r="AG322" s="4">
        <v>3</v>
      </c>
      <c r="AH322" s="4">
        <v>0</v>
      </c>
      <c r="AI322" s="4">
        <v>0</v>
      </c>
      <c r="AJ322" s="4">
        <v>1</v>
      </c>
      <c r="AK322" s="4">
        <v>1</v>
      </c>
      <c r="AL322" s="4">
        <v>2</v>
      </c>
      <c r="AM322" s="4">
        <v>2</v>
      </c>
      <c r="AN322" s="4">
        <v>0</v>
      </c>
      <c r="AO322" s="4">
        <v>0</v>
      </c>
      <c r="AP322" s="3" t="s">
        <v>58</v>
      </c>
      <c r="AQ322" s="3" t="s">
        <v>58</v>
      </c>
      <c r="AS322" s="6" t="str">
        <f>HYPERLINK("https://creighton-primo.hosted.exlibrisgroup.com/primo-explore/search?tab=default_tab&amp;search_scope=EVERYTHING&amp;vid=01CRU&amp;lang=en_US&amp;offset=0&amp;query=any,contains,991005187869702656","Catalog Record")</f>
        <v>Catalog Record</v>
      </c>
      <c r="AT322" s="6" t="str">
        <f>HYPERLINK("http://www.worldcat.org/oclc/7978015","WorldCat Record")</f>
        <v>WorldCat Record</v>
      </c>
      <c r="AU322" s="3" t="s">
        <v>4014</v>
      </c>
      <c r="AV322" s="3" t="s">
        <v>4015</v>
      </c>
      <c r="AW322" s="3" t="s">
        <v>4016</v>
      </c>
      <c r="AX322" s="3" t="s">
        <v>4016</v>
      </c>
      <c r="AY322" s="3" t="s">
        <v>4017</v>
      </c>
      <c r="AZ322" s="3" t="s">
        <v>73</v>
      </c>
      <c r="BB322" s="3" t="s">
        <v>4018</v>
      </c>
      <c r="BC322" s="3" t="s">
        <v>4019</v>
      </c>
      <c r="BD322" s="3" t="s">
        <v>4020</v>
      </c>
    </row>
    <row r="323" spans="1:56" ht="31.5" customHeight="1" x14ac:dyDescent="0.25">
      <c r="A323" s="7" t="s">
        <v>58</v>
      </c>
      <c r="B323" s="2" t="s">
        <v>4009</v>
      </c>
      <c r="C323" s="2" t="s">
        <v>4010</v>
      </c>
      <c r="D323" s="2" t="s">
        <v>4011</v>
      </c>
      <c r="E323" s="3" t="s">
        <v>514</v>
      </c>
      <c r="F323" s="3" t="s">
        <v>68</v>
      </c>
      <c r="G323" s="3" t="s">
        <v>59</v>
      </c>
      <c r="H323" s="3" t="s">
        <v>58</v>
      </c>
      <c r="I323" s="3" t="s">
        <v>58</v>
      </c>
      <c r="J323" s="3" t="s">
        <v>60</v>
      </c>
      <c r="L323" s="2" t="s">
        <v>4012</v>
      </c>
      <c r="M323" s="3" t="s">
        <v>144</v>
      </c>
      <c r="O323" s="3" t="s">
        <v>63</v>
      </c>
      <c r="P323" s="3" t="s">
        <v>186</v>
      </c>
      <c r="R323" s="3" t="s">
        <v>65</v>
      </c>
      <c r="S323" s="4">
        <v>4</v>
      </c>
      <c r="T323" s="4">
        <v>8</v>
      </c>
      <c r="U323" s="5" t="s">
        <v>4013</v>
      </c>
      <c r="V323" s="5" t="s">
        <v>4013</v>
      </c>
      <c r="W323" s="5" t="s">
        <v>4021</v>
      </c>
      <c r="X323" s="5" t="s">
        <v>204</v>
      </c>
      <c r="Y323" s="4">
        <v>351</v>
      </c>
      <c r="Z323" s="4">
        <v>273</v>
      </c>
      <c r="AA323" s="4">
        <v>273</v>
      </c>
      <c r="AB323" s="4">
        <v>3</v>
      </c>
      <c r="AC323" s="4">
        <v>3</v>
      </c>
      <c r="AD323" s="4">
        <v>5</v>
      </c>
      <c r="AE323" s="4">
        <v>5</v>
      </c>
      <c r="AF323" s="4">
        <v>3</v>
      </c>
      <c r="AG323" s="4">
        <v>3</v>
      </c>
      <c r="AH323" s="4">
        <v>0</v>
      </c>
      <c r="AI323" s="4">
        <v>0</v>
      </c>
      <c r="AJ323" s="4">
        <v>1</v>
      </c>
      <c r="AK323" s="4">
        <v>1</v>
      </c>
      <c r="AL323" s="4">
        <v>2</v>
      </c>
      <c r="AM323" s="4">
        <v>2</v>
      </c>
      <c r="AN323" s="4">
        <v>0</v>
      </c>
      <c r="AO323" s="4">
        <v>0</v>
      </c>
      <c r="AP323" s="3" t="s">
        <v>58</v>
      </c>
      <c r="AQ323" s="3" t="s">
        <v>58</v>
      </c>
      <c r="AS323" s="6" t="str">
        <f>HYPERLINK("https://creighton-primo.hosted.exlibrisgroup.com/primo-explore/search?tab=default_tab&amp;search_scope=EVERYTHING&amp;vid=01CRU&amp;lang=en_US&amp;offset=0&amp;query=any,contains,991005187869702656","Catalog Record")</f>
        <v>Catalog Record</v>
      </c>
      <c r="AT323" s="6" t="str">
        <f>HYPERLINK("http://www.worldcat.org/oclc/7978015","WorldCat Record")</f>
        <v>WorldCat Record</v>
      </c>
      <c r="AU323" s="3" t="s">
        <v>4014</v>
      </c>
      <c r="AV323" s="3" t="s">
        <v>4015</v>
      </c>
      <c r="AW323" s="3" t="s">
        <v>4016</v>
      </c>
      <c r="AX323" s="3" t="s">
        <v>4016</v>
      </c>
      <c r="AY323" s="3" t="s">
        <v>4017</v>
      </c>
      <c r="AZ323" s="3" t="s">
        <v>73</v>
      </c>
      <c r="BB323" s="3" t="s">
        <v>4018</v>
      </c>
      <c r="BC323" s="3" t="s">
        <v>4022</v>
      </c>
      <c r="BD323" s="3" t="s">
        <v>4023</v>
      </c>
    </row>
    <row r="324" spans="1:56" ht="31.5" customHeight="1" x14ac:dyDescent="0.25">
      <c r="A324" s="7" t="s">
        <v>58</v>
      </c>
      <c r="B324" s="2" t="s">
        <v>4024</v>
      </c>
      <c r="C324" s="2" t="s">
        <v>4025</v>
      </c>
      <c r="D324" s="2" t="s">
        <v>4026</v>
      </c>
      <c r="F324" s="3" t="s">
        <v>58</v>
      </c>
      <c r="G324" s="3" t="s">
        <v>59</v>
      </c>
      <c r="H324" s="3" t="s">
        <v>58</v>
      </c>
      <c r="I324" s="3" t="s">
        <v>58</v>
      </c>
      <c r="J324" s="3" t="s">
        <v>60</v>
      </c>
      <c r="K324" s="2" t="s">
        <v>4027</v>
      </c>
      <c r="L324" s="2" t="s">
        <v>4028</v>
      </c>
      <c r="M324" s="3" t="s">
        <v>4029</v>
      </c>
      <c r="O324" s="3" t="s">
        <v>63</v>
      </c>
      <c r="P324" s="3" t="s">
        <v>1152</v>
      </c>
      <c r="Q324" s="2" t="s">
        <v>4030</v>
      </c>
      <c r="R324" s="3" t="s">
        <v>65</v>
      </c>
      <c r="S324" s="4">
        <v>2</v>
      </c>
      <c r="T324" s="4">
        <v>2</v>
      </c>
      <c r="U324" s="5" t="s">
        <v>4031</v>
      </c>
      <c r="V324" s="5" t="s">
        <v>4031</v>
      </c>
      <c r="W324" s="5" t="s">
        <v>4031</v>
      </c>
      <c r="X324" s="5" t="s">
        <v>4031</v>
      </c>
      <c r="Y324" s="4">
        <v>208</v>
      </c>
      <c r="Z324" s="4">
        <v>172</v>
      </c>
      <c r="AA324" s="4">
        <v>186</v>
      </c>
      <c r="AB324" s="4">
        <v>2</v>
      </c>
      <c r="AC324" s="4">
        <v>2</v>
      </c>
      <c r="AD324" s="4">
        <v>3</v>
      </c>
      <c r="AE324" s="4">
        <v>4</v>
      </c>
      <c r="AF324" s="4">
        <v>0</v>
      </c>
      <c r="AG324" s="4">
        <v>0</v>
      </c>
      <c r="AH324" s="4">
        <v>0</v>
      </c>
      <c r="AI324" s="4">
        <v>1</v>
      </c>
      <c r="AJ324" s="4">
        <v>2</v>
      </c>
      <c r="AK324" s="4">
        <v>2</v>
      </c>
      <c r="AL324" s="4">
        <v>1</v>
      </c>
      <c r="AM324" s="4">
        <v>1</v>
      </c>
      <c r="AN324" s="4">
        <v>0</v>
      </c>
      <c r="AO324" s="4">
        <v>0</v>
      </c>
      <c r="AP324" s="3" t="s">
        <v>68</v>
      </c>
      <c r="AQ324" s="3" t="s">
        <v>58</v>
      </c>
      <c r="AR324" s="6" t="str">
        <f>HYPERLINK("http://catalog.hathitrust.org/Record/001475363","HathiTrust Record")</f>
        <v>HathiTrust Record</v>
      </c>
      <c r="AS324" s="6" t="str">
        <f>HYPERLINK("https://creighton-primo.hosted.exlibrisgroup.com/primo-explore/search?tab=default_tab&amp;search_scope=EVERYTHING&amp;vid=01CRU&amp;lang=en_US&amp;offset=0&amp;query=any,contains,991004071329702656","Catalog Record")</f>
        <v>Catalog Record</v>
      </c>
      <c r="AT324" s="6" t="str">
        <f>HYPERLINK("http://www.worldcat.org/oclc/2302021","WorldCat Record")</f>
        <v>WorldCat Record</v>
      </c>
      <c r="AU324" s="3" t="s">
        <v>4032</v>
      </c>
      <c r="AV324" s="3" t="s">
        <v>4033</v>
      </c>
      <c r="AW324" s="3" t="s">
        <v>4034</v>
      </c>
      <c r="AX324" s="3" t="s">
        <v>4034</v>
      </c>
      <c r="AY324" s="3" t="s">
        <v>4035</v>
      </c>
      <c r="AZ324" s="3" t="s">
        <v>73</v>
      </c>
      <c r="BC324" s="3" t="s">
        <v>4036</v>
      </c>
      <c r="BD324" s="3" t="s">
        <v>4037</v>
      </c>
    </row>
    <row r="325" spans="1:56" ht="31.5" customHeight="1" x14ac:dyDescent="0.25">
      <c r="A325" s="7" t="s">
        <v>58</v>
      </c>
      <c r="B325" s="2" t="s">
        <v>4038</v>
      </c>
      <c r="C325" s="2" t="s">
        <v>4039</v>
      </c>
      <c r="D325" s="2" t="s">
        <v>4040</v>
      </c>
      <c r="F325" s="3" t="s">
        <v>58</v>
      </c>
      <c r="G325" s="3" t="s">
        <v>59</v>
      </c>
      <c r="H325" s="3" t="s">
        <v>58</v>
      </c>
      <c r="I325" s="3" t="s">
        <v>58</v>
      </c>
      <c r="J325" s="3" t="s">
        <v>60</v>
      </c>
      <c r="K325" s="2" t="s">
        <v>4041</v>
      </c>
      <c r="L325" s="2" t="s">
        <v>4042</v>
      </c>
      <c r="M325" s="3" t="s">
        <v>230</v>
      </c>
      <c r="O325" s="3" t="s">
        <v>63</v>
      </c>
      <c r="P325" s="3" t="s">
        <v>186</v>
      </c>
      <c r="Q325" s="2" t="s">
        <v>4043</v>
      </c>
      <c r="R325" s="3" t="s">
        <v>65</v>
      </c>
      <c r="S325" s="4">
        <v>4</v>
      </c>
      <c r="T325" s="4">
        <v>4</v>
      </c>
      <c r="U325" s="5" t="s">
        <v>2932</v>
      </c>
      <c r="V325" s="5" t="s">
        <v>2932</v>
      </c>
      <c r="W325" s="5" t="s">
        <v>3407</v>
      </c>
      <c r="X325" s="5" t="s">
        <v>3407</v>
      </c>
      <c r="Y325" s="4">
        <v>142</v>
      </c>
      <c r="Z325" s="4">
        <v>140</v>
      </c>
      <c r="AA325" s="4">
        <v>222</v>
      </c>
      <c r="AB325" s="4">
        <v>2</v>
      </c>
      <c r="AC325" s="4">
        <v>2</v>
      </c>
      <c r="AD325" s="4">
        <v>4</v>
      </c>
      <c r="AE325" s="4">
        <v>5</v>
      </c>
      <c r="AF325" s="4">
        <v>2</v>
      </c>
      <c r="AG325" s="4">
        <v>2</v>
      </c>
      <c r="AH325" s="4">
        <v>0</v>
      </c>
      <c r="AI325" s="4">
        <v>0</v>
      </c>
      <c r="AJ325" s="4">
        <v>1</v>
      </c>
      <c r="AK325" s="4">
        <v>2</v>
      </c>
      <c r="AL325" s="4">
        <v>1</v>
      </c>
      <c r="AM325" s="4">
        <v>1</v>
      </c>
      <c r="AN325" s="4">
        <v>0</v>
      </c>
      <c r="AO325" s="4">
        <v>0</v>
      </c>
      <c r="AP325" s="3" t="s">
        <v>58</v>
      </c>
      <c r="AQ325" s="3" t="s">
        <v>68</v>
      </c>
      <c r="AR325" s="6" t="str">
        <f>HYPERLINK("http://catalog.hathitrust.org/Record/000254904","HathiTrust Record")</f>
        <v>HathiTrust Record</v>
      </c>
      <c r="AS325" s="6" t="str">
        <f>HYPERLINK("https://creighton-primo.hosted.exlibrisgroup.com/primo-explore/search?tab=default_tab&amp;search_scope=EVERYTHING&amp;vid=01CRU&amp;lang=en_US&amp;offset=0&amp;query=any,contains,991004642659702656","Catalog Record")</f>
        <v>Catalog Record</v>
      </c>
      <c r="AT325" s="6" t="str">
        <f>HYPERLINK("http://www.worldcat.org/oclc/4471252","WorldCat Record")</f>
        <v>WorldCat Record</v>
      </c>
      <c r="AU325" s="3" t="s">
        <v>4044</v>
      </c>
      <c r="AV325" s="3" t="s">
        <v>4045</v>
      </c>
      <c r="AW325" s="3" t="s">
        <v>4046</v>
      </c>
      <c r="AX325" s="3" t="s">
        <v>4046</v>
      </c>
      <c r="AY325" s="3" t="s">
        <v>4047</v>
      </c>
      <c r="AZ325" s="3" t="s">
        <v>73</v>
      </c>
      <c r="BB325" s="3" t="s">
        <v>4048</v>
      </c>
      <c r="BC325" s="3" t="s">
        <v>4049</v>
      </c>
      <c r="BD325" s="3" t="s">
        <v>4050</v>
      </c>
    </row>
    <row r="326" spans="1:56" ht="31.5" customHeight="1" x14ac:dyDescent="0.25">
      <c r="A326" s="7" t="s">
        <v>58</v>
      </c>
      <c r="B326" s="2" t="s">
        <v>4051</v>
      </c>
      <c r="C326" s="2" t="s">
        <v>4052</v>
      </c>
      <c r="D326" s="2" t="s">
        <v>4053</v>
      </c>
      <c r="F326" s="3" t="s">
        <v>58</v>
      </c>
      <c r="G326" s="3" t="s">
        <v>59</v>
      </c>
      <c r="H326" s="3" t="s">
        <v>58</v>
      </c>
      <c r="I326" s="3" t="s">
        <v>58</v>
      </c>
      <c r="J326" s="3" t="s">
        <v>60</v>
      </c>
      <c r="K326" s="2" t="s">
        <v>4054</v>
      </c>
      <c r="L326" s="2" t="s">
        <v>4055</v>
      </c>
      <c r="M326" s="3" t="s">
        <v>2546</v>
      </c>
      <c r="O326" s="3" t="s">
        <v>63</v>
      </c>
      <c r="P326" s="3" t="s">
        <v>186</v>
      </c>
      <c r="R326" s="3" t="s">
        <v>65</v>
      </c>
      <c r="S326" s="4">
        <v>1</v>
      </c>
      <c r="T326" s="4">
        <v>1</v>
      </c>
      <c r="U326" s="5" t="s">
        <v>4056</v>
      </c>
      <c r="V326" s="5" t="s">
        <v>4056</v>
      </c>
      <c r="W326" s="5" t="s">
        <v>4057</v>
      </c>
      <c r="X326" s="5" t="s">
        <v>4057</v>
      </c>
      <c r="Y326" s="4">
        <v>310</v>
      </c>
      <c r="Z326" s="4">
        <v>211</v>
      </c>
      <c r="AA326" s="4">
        <v>291</v>
      </c>
      <c r="AB326" s="4">
        <v>2</v>
      </c>
      <c r="AC326" s="4">
        <v>2</v>
      </c>
      <c r="AD326" s="4">
        <v>4</v>
      </c>
      <c r="AE326" s="4">
        <v>5</v>
      </c>
      <c r="AF326" s="4">
        <v>0</v>
      </c>
      <c r="AG326" s="4">
        <v>1</v>
      </c>
      <c r="AH326" s="4">
        <v>2</v>
      </c>
      <c r="AI326" s="4">
        <v>2</v>
      </c>
      <c r="AJ326" s="4">
        <v>2</v>
      </c>
      <c r="AK326" s="4">
        <v>2</v>
      </c>
      <c r="AL326" s="4">
        <v>1</v>
      </c>
      <c r="AM326" s="4">
        <v>1</v>
      </c>
      <c r="AN326" s="4">
        <v>0</v>
      </c>
      <c r="AO326" s="4">
        <v>0</v>
      </c>
      <c r="AP326" s="3" t="s">
        <v>58</v>
      </c>
      <c r="AQ326" s="3" t="s">
        <v>58</v>
      </c>
      <c r="AS326" s="6" t="str">
        <f>HYPERLINK("https://creighton-primo.hosted.exlibrisgroup.com/primo-explore/search?tab=default_tab&amp;search_scope=EVERYTHING&amp;vid=01CRU&amp;lang=en_US&amp;offset=0&amp;query=any,contains,991003771819702656","Catalog Record")</f>
        <v>Catalog Record</v>
      </c>
      <c r="AT326" s="6" t="str">
        <f>HYPERLINK("http://www.worldcat.org/oclc/45283049","WorldCat Record")</f>
        <v>WorldCat Record</v>
      </c>
      <c r="AU326" s="3" t="s">
        <v>4058</v>
      </c>
      <c r="AV326" s="3" t="s">
        <v>4059</v>
      </c>
      <c r="AW326" s="3" t="s">
        <v>4060</v>
      </c>
      <c r="AX326" s="3" t="s">
        <v>4060</v>
      </c>
      <c r="AY326" s="3" t="s">
        <v>4061</v>
      </c>
      <c r="AZ326" s="3" t="s">
        <v>73</v>
      </c>
      <c r="BB326" s="3" t="s">
        <v>4062</v>
      </c>
      <c r="BC326" s="3" t="s">
        <v>4063</v>
      </c>
      <c r="BD326" s="3" t="s">
        <v>4064</v>
      </c>
    </row>
    <row r="327" spans="1:56" ht="31.5" customHeight="1" x14ac:dyDescent="0.25">
      <c r="A327" s="7" t="s">
        <v>58</v>
      </c>
      <c r="B327" s="2" t="s">
        <v>4065</v>
      </c>
      <c r="C327" s="2" t="s">
        <v>4066</v>
      </c>
      <c r="D327" s="2" t="s">
        <v>4067</v>
      </c>
      <c r="F327" s="3" t="s">
        <v>58</v>
      </c>
      <c r="G327" s="3" t="s">
        <v>59</v>
      </c>
      <c r="H327" s="3" t="s">
        <v>58</v>
      </c>
      <c r="I327" s="3" t="s">
        <v>58</v>
      </c>
      <c r="J327" s="3" t="s">
        <v>60</v>
      </c>
      <c r="K327" s="2" t="s">
        <v>4068</v>
      </c>
      <c r="L327" s="2" t="s">
        <v>4069</v>
      </c>
      <c r="M327" s="3" t="s">
        <v>944</v>
      </c>
      <c r="O327" s="3" t="s">
        <v>63</v>
      </c>
      <c r="P327" s="3" t="s">
        <v>98</v>
      </c>
      <c r="Q327" s="2" t="s">
        <v>2367</v>
      </c>
      <c r="R327" s="3" t="s">
        <v>65</v>
      </c>
      <c r="S327" s="4">
        <v>8</v>
      </c>
      <c r="T327" s="4">
        <v>8</v>
      </c>
      <c r="U327" s="5" t="s">
        <v>4070</v>
      </c>
      <c r="V327" s="5" t="s">
        <v>4070</v>
      </c>
      <c r="W327" s="5" t="s">
        <v>4071</v>
      </c>
      <c r="X327" s="5" t="s">
        <v>4071</v>
      </c>
      <c r="Y327" s="4">
        <v>397</v>
      </c>
      <c r="Z327" s="4">
        <v>317</v>
      </c>
      <c r="AA327" s="4">
        <v>475</v>
      </c>
      <c r="AB327" s="4">
        <v>2</v>
      </c>
      <c r="AC327" s="4">
        <v>2</v>
      </c>
      <c r="AD327" s="4">
        <v>14</v>
      </c>
      <c r="AE327" s="4">
        <v>19</v>
      </c>
      <c r="AF327" s="4">
        <v>4</v>
      </c>
      <c r="AG327" s="4">
        <v>5</v>
      </c>
      <c r="AH327" s="4">
        <v>3</v>
      </c>
      <c r="AI327" s="4">
        <v>4</v>
      </c>
      <c r="AJ327" s="4">
        <v>8</v>
      </c>
      <c r="AK327" s="4">
        <v>12</v>
      </c>
      <c r="AL327" s="4">
        <v>1</v>
      </c>
      <c r="AM327" s="4">
        <v>1</v>
      </c>
      <c r="AN327" s="4">
        <v>0</v>
      </c>
      <c r="AO327" s="4">
        <v>0</v>
      </c>
      <c r="AP327" s="3" t="s">
        <v>58</v>
      </c>
      <c r="AQ327" s="3" t="s">
        <v>68</v>
      </c>
      <c r="AR327" s="6" t="str">
        <f>HYPERLINK("http://catalog.hathitrust.org/Record/001949339","HathiTrust Record")</f>
        <v>HathiTrust Record</v>
      </c>
      <c r="AS327" s="6" t="str">
        <f>HYPERLINK("https://creighton-primo.hosted.exlibrisgroup.com/primo-explore/search?tab=default_tab&amp;search_scope=EVERYTHING&amp;vid=01CRU&amp;lang=en_US&amp;offset=0&amp;query=any,contains,991001512049702656","Catalog Record")</f>
        <v>Catalog Record</v>
      </c>
      <c r="AT327" s="6" t="str">
        <f>HYPERLINK("http://www.worldcat.org/oclc/19919828","WorldCat Record")</f>
        <v>WorldCat Record</v>
      </c>
      <c r="AU327" s="3" t="s">
        <v>4072</v>
      </c>
      <c r="AV327" s="3" t="s">
        <v>4073</v>
      </c>
      <c r="AW327" s="3" t="s">
        <v>4074</v>
      </c>
      <c r="AX327" s="3" t="s">
        <v>4074</v>
      </c>
      <c r="AY327" s="3" t="s">
        <v>4075</v>
      </c>
      <c r="AZ327" s="3" t="s">
        <v>73</v>
      </c>
      <c r="BB327" s="3" t="s">
        <v>4076</v>
      </c>
      <c r="BC327" s="3" t="s">
        <v>4077</v>
      </c>
      <c r="BD327" s="3" t="s">
        <v>4078</v>
      </c>
    </row>
    <row r="328" spans="1:56" ht="31.5" customHeight="1" x14ac:dyDescent="0.25">
      <c r="A328" s="7" t="s">
        <v>58</v>
      </c>
      <c r="B328" s="2" t="s">
        <v>4079</v>
      </c>
      <c r="C328" s="2" t="s">
        <v>4080</v>
      </c>
      <c r="D328" s="2" t="s">
        <v>4081</v>
      </c>
      <c r="F328" s="3" t="s">
        <v>58</v>
      </c>
      <c r="G328" s="3" t="s">
        <v>59</v>
      </c>
      <c r="H328" s="3" t="s">
        <v>58</v>
      </c>
      <c r="I328" s="3" t="s">
        <v>58</v>
      </c>
      <c r="J328" s="3" t="s">
        <v>60</v>
      </c>
      <c r="K328" s="2" t="s">
        <v>4082</v>
      </c>
      <c r="L328" s="2" t="s">
        <v>4083</v>
      </c>
      <c r="M328" s="3" t="s">
        <v>1412</v>
      </c>
      <c r="O328" s="3" t="s">
        <v>63</v>
      </c>
      <c r="P328" s="3" t="s">
        <v>64</v>
      </c>
      <c r="R328" s="3" t="s">
        <v>65</v>
      </c>
      <c r="S328" s="4">
        <v>3</v>
      </c>
      <c r="T328" s="4">
        <v>3</v>
      </c>
      <c r="U328" s="5" t="s">
        <v>4084</v>
      </c>
      <c r="V328" s="5" t="s">
        <v>4084</v>
      </c>
      <c r="W328" s="5" t="s">
        <v>4085</v>
      </c>
      <c r="X328" s="5" t="s">
        <v>4085</v>
      </c>
      <c r="Y328" s="4">
        <v>384</v>
      </c>
      <c r="Z328" s="4">
        <v>360</v>
      </c>
      <c r="AA328" s="4">
        <v>1073</v>
      </c>
      <c r="AB328" s="4">
        <v>3</v>
      </c>
      <c r="AC328" s="4">
        <v>5</v>
      </c>
      <c r="AD328" s="4">
        <v>7</v>
      </c>
      <c r="AE328" s="4">
        <v>21</v>
      </c>
      <c r="AF328" s="4">
        <v>3</v>
      </c>
      <c r="AG328" s="4">
        <v>12</v>
      </c>
      <c r="AH328" s="4">
        <v>0</v>
      </c>
      <c r="AI328" s="4">
        <v>3</v>
      </c>
      <c r="AJ328" s="4">
        <v>3</v>
      </c>
      <c r="AK328" s="4">
        <v>9</v>
      </c>
      <c r="AL328" s="4">
        <v>2</v>
      </c>
      <c r="AM328" s="4">
        <v>3</v>
      </c>
      <c r="AN328" s="4">
        <v>0</v>
      </c>
      <c r="AO328" s="4">
        <v>0</v>
      </c>
      <c r="AP328" s="3" t="s">
        <v>58</v>
      </c>
      <c r="AQ328" s="3" t="s">
        <v>58</v>
      </c>
      <c r="AS328" s="6" t="str">
        <f>HYPERLINK("https://creighton-primo.hosted.exlibrisgroup.com/primo-explore/search?tab=default_tab&amp;search_scope=EVERYTHING&amp;vid=01CRU&amp;lang=en_US&amp;offset=0&amp;query=any,contains,991003179679702656","Catalog Record")</f>
        <v>Catalog Record</v>
      </c>
      <c r="AT328" s="6" t="str">
        <f>HYPERLINK("http://www.worldcat.org/oclc/711495","WorldCat Record")</f>
        <v>WorldCat Record</v>
      </c>
      <c r="AU328" s="3" t="s">
        <v>4086</v>
      </c>
      <c r="AV328" s="3" t="s">
        <v>4087</v>
      </c>
      <c r="AW328" s="3" t="s">
        <v>4088</v>
      </c>
      <c r="AX328" s="3" t="s">
        <v>4088</v>
      </c>
      <c r="AY328" s="3" t="s">
        <v>4089</v>
      </c>
      <c r="AZ328" s="3" t="s">
        <v>73</v>
      </c>
      <c r="BC328" s="3" t="s">
        <v>4090</v>
      </c>
      <c r="BD328" s="3" t="s">
        <v>4091</v>
      </c>
    </row>
    <row r="329" spans="1:56" ht="31.5" customHeight="1" x14ac:dyDescent="0.25">
      <c r="A329" s="7" t="s">
        <v>58</v>
      </c>
      <c r="B329" s="2" t="s">
        <v>4092</v>
      </c>
      <c r="C329" s="2" t="s">
        <v>4093</v>
      </c>
      <c r="D329" s="2" t="s">
        <v>4094</v>
      </c>
      <c r="F329" s="3" t="s">
        <v>58</v>
      </c>
      <c r="G329" s="3" t="s">
        <v>59</v>
      </c>
      <c r="H329" s="3" t="s">
        <v>58</v>
      </c>
      <c r="I329" s="3" t="s">
        <v>58</v>
      </c>
      <c r="J329" s="3" t="s">
        <v>60</v>
      </c>
      <c r="K329" s="2" t="s">
        <v>314</v>
      </c>
      <c r="L329" s="2" t="s">
        <v>4095</v>
      </c>
      <c r="M329" s="3" t="s">
        <v>1029</v>
      </c>
      <c r="O329" s="3" t="s">
        <v>63</v>
      </c>
      <c r="P329" s="3" t="s">
        <v>64</v>
      </c>
      <c r="R329" s="3" t="s">
        <v>65</v>
      </c>
      <c r="S329" s="4">
        <v>2</v>
      </c>
      <c r="T329" s="4">
        <v>2</v>
      </c>
      <c r="U329" s="5" t="s">
        <v>4084</v>
      </c>
      <c r="V329" s="5" t="s">
        <v>4084</v>
      </c>
      <c r="W329" s="5" t="s">
        <v>4002</v>
      </c>
      <c r="X329" s="5" t="s">
        <v>4002</v>
      </c>
      <c r="Y329" s="4">
        <v>474</v>
      </c>
      <c r="Z329" s="4">
        <v>461</v>
      </c>
      <c r="AA329" s="4">
        <v>760</v>
      </c>
      <c r="AB329" s="4">
        <v>8</v>
      </c>
      <c r="AC329" s="4">
        <v>10</v>
      </c>
      <c r="AD329" s="4">
        <v>17</v>
      </c>
      <c r="AE329" s="4">
        <v>17</v>
      </c>
      <c r="AF329" s="4">
        <v>6</v>
      </c>
      <c r="AG329" s="4">
        <v>6</v>
      </c>
      <c r="AH329" s="4">
        <v>3</v>
      </c>
      <c r="AI329" s="4">
        <v>3</v>
      </c>
      <c r="AJ329" s="4">
        <v>7</v>
      </c>
      <c r="AK329" s="4">
        <v>7</v>
      </c>
      <c r="AL329" s="4">
        <v>5</v>
      </c>
      <c r="AM329" s="4">
        <v>5</v>
      </c>
      <c r="AN329" s="4">
        <v>0</v>
      </c>
      <c r="AO329" s="4">
        <v>0</v>
      </c>
      <c r="AP329" s="3" t="s">
        <v>58</v>
      </c>
      <c r="AQ329" s="3" t="s">
        <v>58</v>
      </c>
      <c r="AR329" s="6" t="str">
        <f>HYPERLINK("http://catalog.hathitrust.org/Record/006090516","HathiTrust Record")</f>
        <v>HathiTrust Record</v>
      </c>
      <c r="AS329" s="6" t="str">
        <f>HYPERLINK("https://creighton-primo.hosted.exlibrisgroup.com/primo-explore/search?tab=default_tab&amp;search_scope=EVERYTHING&amp;vid=01CRU&amp;lang=en_US&amp;offset=0&amp;query=any,contains,991002930429702656","Catalog Record")</f>
        <v>Catalog Record</v>
      </c>
      <c r="AT329" s="6" t="str">
        <f>HYPERLINK("http://www.worldcat.org/oclc/530695","WorldCat Record")</f>
        <v>WorldCat Record</v>
      </c>
      <c r="AU329" s="3" t="s">
        <v>4096</v>
      </c>
      <c r="AV329" s="3" t="s">
        <v>4097</v>
      </c>
      <c r="AW329" s="3" t="s">
        <v>4098</v>
      </c>
      <c r="AX329" s="3" t="s">
        <v>4098</v>
      </c>
      <c r="AY329" s="3" t="s">
        <v>4099</v>
      </c>
      <c r="AZ329" s="3" t="s">
        <v>73</v>
      </c>
      <c r="BC329" s="3" t="s">
        <v>4100</v>
      </c>
      <c r="BD329" s="3" t="s">
        <v>4101</v>
      </c>
    </row>
    <row r="330" spans="1:56" ht="31.5" customHeight="1" x14ac:dyDescent="0.25">
      <c r="A330" s="7" t="s">
        <v>58</v>
      </c>
      <c r="B330" s="2" t="s">
        <v>4102</v>
      </c>
      <c r="C330" s="2" t="s">
        <v>4103</v>
      </c>
      <c r="D330" s="2" t="s">
        <v>4104</v>
      </c>
      <c r="F330" s="3" t="s">
        <v>58</v>
      </c>
      <c r="G330" s="3" t="s">
        <v>59</v>
      </c>
      <c r="H330" s="3" t="s">
        <v>58</v>
      </c>
      <c r="I330" s="3" t="s">
        <v>58</v>
      </c>
      <c r="J330" s="3" t="s">
        <v>60</v>
      </c>
      <c r="K330" s="2" t="s">
        <v>4105</v>
      </c>
      <c r="L330" s="2" t="s">
        <v>4106</v>
      </c>
      <c r="M330" s="3" t="s">
        <v>128</v>
      </c>
      <c r="O330" s="3" t="s">
        <v>63</v>
      </c>
      <c r="P330" s="3" t="s">
        <v>64</v>
      </c>
      <c r="Q330" s="2" t="s">
        <v>4107</v>
      </c>
      <c r="R330" s="3" t="s">
        <v>65</v>
      </c>
      <c r="S330" s="4">
        <v>5</v>
      </c>
      <c r="T330" s="4">
        <v>5</v>
      </c>
      <c r="U330" s="5" t="s">
        <v>4108</v>
      </c>
      <c r="V330" s="5" t="s">
        <v>4108</v>
      </c>
      <c r="W330" s="5" t="s">
        <v>4109</v>
      </c>
      <c r="X330" s="5" t="s">
        <v>4109</v>
      </c>
      <c r="Y330" s="4">
        <v>853</v>
      </c>
      <c r="Z330" s="4">
        <v>750</v>
      </c>
      <c r="AA330" s="4">
        <v>759</v>
      </c>
      <c r="AB330" s="4">
        <v>5</v>
      </c>
      <c r="AC330" s="4">
        <v>5</v>
      </c>
      <c r="AD330" s="4">
        <v>22</v>
      </c>
      <c r="AE330" s="4">
        <v>22</v>
      </c>
      <c r="AF330" s="4">
        <v>8</v>
      </c>
      <c r="AG330" s="4">
        <v>8</v>
      </c>
      <c r="AH330" s="4">
        <v>4</v>
      </c>
      <c r="AI330" s="4">
        <v>4</v>
      </c>
      <c r="AJ330" s="4">
        <v>11</v>
      </c>
      <c r="AK330" s="4">
        <v>11</v>
      </c>
      <c r="AL330" s="4">
        <v>4</v>
      </c>
      <c r="AM330" s="4">
        <v>4</v>
      </c>
      <c r="AN330" s="4">
        <v>0</v>
      </c>
      <c r="AO330" s="4">
        <v>0</v>
      </c>
      <c r="AP330" s="3" t="s">
        <v>58</v>
      </c>
      <c r="AQ330" s="3" t="s">
        <v>58</v>
      </c>
      <c r="AS330" s="6" t="str">
        <f>HYPERLINK("https://creighton-primo.hosted.exlibrisgroup.com/primo-explore/search?tab=default_tab&amp;search_scope=EVERYTHING&amp;vid=01CRU&amp;lang=en_US&amp;offset=0&amp;query=any,contains,991002122089702656","Catalog Record")</f>
        <v>Catalog Record</v>
      </c>
      <c r="AT330" s="6" t="str">
        <f>HYPERLINK("http://www.worldcat.org/oclc/27186556","WorldCat Record")</f>
        <v>WorldCat Record</v>
      </c>
      <c r="AU330" s="3" t="s">
        <v>4110</v>
      </c>
      <c r="AV330" s="3" t="s">
        <v>4111</v>
      </c>
      <c r="AW330" s="3" t="s">
        <v>4112</v>
      </c>
      <c r="AX330" s="3" t="s">
        <v>4112</v>
      </c>
      <c r="AY330" s="3" t="s">
        <v>4113</v>
      </c>
      <c r="AZ330" s="3" t="s">
        <v>73</v>
      </c>
      <c r="BB330" s="3" t="s">
        <v>4114</v>
      </c>
      <c r="BC330" s="3" t="s">
        <v>4115</v>
      </c>
      <c r="BD330" s="3" t="s">
        <v>4116</v>
      </c>
    </row>
    <row r="331" spans="1:56" ht="31.5" customHeight="1" x14ac:dyDescent="0.25">
      <c r="A331" s="7" t="s">
        <v>58</v>
      </c>
      <c r="B331" s="2" t="s">
        <v>4117</v>
      </c>
      <c r="C331" s="2" t="s">
        <v>4118</v>
      </c>
      <c r="D331" s="2" t="s">
        <v>4119</v>
      </c>
      <c r="F331" s="3" t="s">
        <v>58</v>
      </c>
      <c r="G331" s="3" t="s">
        <v>59</v>
      </c>
      <c r="H331" s="3" t="s">
        <v>58</v>
      </c>
      <c r="I331" s="3" t="s">
        <v>58</v>
      </c>
      <c r="J331" s="3" t="s">
        <v>60</v>
      </c>
      <c r="K331" s="2" t="s">
        <v>4120</v>
      </c>
      <c r="L331" s="2" t="s">
        <v>4121</v>
      </c>
      <c r="M331" s="3" t="s">
        <v>244</v>
      </c>
      <c r="O331" s="3" t="s">
        <v>63</v>
      </c>
      <c r="P331" s="3" t="s">
        <v>444</v>
      </c>
      <c r="R331" s="3" t="s">
        <v>65</v>
      </c>
      <c r="S331" s="4">
        <v>5</v>
      </c>
      <c r="T331" s="4">
        <v>5</v>
      </c>
      <c r="U331" s="5" t="s">
        <v>4122</v>
      </c>
      <c r="V331" s="5" t="s">
        <v>4122</v>
      </c>
      <c r="W331" s="5" t="s">
        <v>4123</v>
      </c>
      <c r="X331" s="5" t="s">
        <v>4123</v>
      </c>
      <c r="Y331" s="4">
        <v>678</v>
      </c>
      <c r="Z331" s="4">
        <v>531</v>
      </c>
      <c r="AA331" s="4">
        <v>538</v>
      </c>
      <c r="AB331" s="4">
        <v>4</v>
      </c>
      <c r="AC331" s="4">
        <v>4</v>
      </c>
      <c r="AD331" s="4">
        <v>17</v>
      </c>
      <c r="AE331" s="4">
        <v>17</v>
      </c>
      <c r="AF331" s="4">
        <v>2</v>
      </c>
      <c r="AG331" s="4">
        <v>2</v>
      </c>
      <c r="AH331" s="4">
        <v>4</v>
      </c>
      <c r="AI331" s="4">
        <v>4</v>
      </c>
      <c r="AJ331" s="4">
        <v>10</v>
      </c>
      <c r="AK331" s="4">
        <v>10</v>
      </c>
      <c r="AL331" s="4">
        <v>3</v>
      </c>
      <c r="AM331" s="4">
        <v>3</v>
      </c>
      <c r="AN331" s="4">
        <v>0</v>
      </c>
      <c r="AO331" s="4">
        <v>0</v>
      </c>
      <c r="AP331" s="3" t="s">
        <v>58</v>
      </c>
      <c r="AQ331" s="3" t="s">
        <v>58</v>
      </c>
      <c r="AS331" s="6" t="str">
        <f>HYPERLINK("https://creighton-primo.hosted.exlibrisgroup.com/primo-explore/search?tab=default_tab&amp;search_scope=EVERYTHING&amp;vid=01CRU&amp;lang=en_US&amp;offset=0&amp;query=any,contains,991005003429702656","Catalog Record")</f>
        <v>Catalog Record</v>
      </c>
      <c r="AT331" s="6" t="str">
        <f>HYPERLINK("http://www.worldcat.org/oclc/6555273","WorldCat Record")</f>
        <v>WorldCat Record</v>
      </c>
      <c r="AU331" s="3" t="s">
        <v>4124</v>
      </c>
      <c r="AV331" s="3" t="s">
        <v>4125</v>
      </c>
      <c r="AW331" s="3" t="s">
        <v>4126</v>
      </c>
      <c r="AX331" s="3" t="s">
        <v>4126</v>
      </c>
      <c r="AY331" s="3" t="s">
        <v>4127</v>
      </c>
      <c r="AZ331" s="3" t="s">
        <v>73</v>
      </c>
      <c r="BB331" s="3" t="s">
        <v>4128</v>
      </c>
      <c r="BC331" s="3" t="s">
        <v>4129</v>
      </c>
      <c r="BD331" s="3" t="s">
        <v>4130</v>
      </c>
    </row>
    <row r="332" spans="1:56" ht="31.5" customHeight="1" x14ac:dyDescent="0.25">
      <c r="A332" s="7" t="s">
        <v>58</v>
      </c>
      <c r="B332" s="2" t="s">
        <v>4131</v>
      </c>
      <c r="C332" s="2" t="s">
        <v>4132</v>
      </c>
      <c r="D332" s="2" t="s">
        <v>4133</v>
      </c>
      <c r="F332" s="3" t="s">
        <v>58</v>
      </c>
      <c r="G332" s="3" t="s">
        <v>59</v>
      </c>
      <c r="H332" s="3" t="s">
        <v>58</v>
      </c>
      <c r="I332" s="3" t="s">
        <v>58</v>
      </c>
      <c r="J332" s="3" t="s">
        <v>60</v>
      </c>
      <c r="K332" s="2" t="s">
        <v>2944</v>
      </c>
      <c r="L332" s="2" t="s">
        <v>4134</v>
      </c>
      <c r="M332" s="3" t="s">
        <v>1412</v>
      </c>
      <c r="O332" s="3" t="s">
        <v>63</v>
      </c>
      <c r="P332" s="3" t="s">
        <v>64</v>
      </c>
      <c r="Q332" s="2" t="s">
        <v>4135</v>
      </c>
      <c r="R332" s="3" t="s">
        <v>65</v>
      </c>
      <c r="S332" s="4">
        <v>5</v>
      </c>
      <c r="T332" s="4">
        <v>5</v>
      </c>
      <c r="U332" s="5" t="s">
        <v>4136</v>
      </c>
      <c r="V332" s="5" t="s">
        <v>4136</v>
      </c>
      <c r="W332" s="5" t="s">
        <v>3407</v>
      </c>
      <c r="X332" s="5" t="s">
        <v>3407</v>
      </c>
      <c r="Y332" s="4">
        <v>512</v>
      </c>
      <c r="Z332" s="4">
        <v>463</v>
      </c>
      <c r="AA332" s="4">
        <v>466</v>
      </c>
      <c r="AB332" s="4">
        <v>3</v>
      </c>
      <c r="AC332" s="4">
        <v>3</v>
      </c>
      <c r="AD332" s="4">
        <v>11</v>
      </c>
      <c r="AE332" s="4">
        <v>11</v>
      </c>
      <c r="AF332" s="4">
        <v>4</v>
      </c>
      <c r="AG332" s="4">
        <v>4</v>
      </c>
      <c r="AH332" s="4">
        <v>3</v>
      </c>
      <c r="AI332" s="4">
        <v>3</v>
      </c>
      <c r="AJ332" s="4">
        <v>5</v>
      </c>
      <c r="AK332" s="4">
        <v>5</v>
      </c>
      <c r="AL332" s="4">
        <v>2</v>
      </c>
      <c r="AM332" s="4">
        <v>2</v>
      </c>
      <c r="AN332" s="4">
        <v>0</v>
      </c>
      <c r="AO332" s="4">
        <v>0</v>
      </c>
      <c r="AP332" s="3" t="s">
        <v>58</v>
      </c>
      <c r="AQ332" s="3" t="s">
        <v>58</v>
      </c>
      <c r="AS332" s="6" t="str">
        <f>HYPERLINK("https://creighton-primo.hosted.exlibrisgroup.com/primo-explore/search?tab=default_tab&amp;search_scope=EVERYTHING&amp;vid=01CRU&amp;lang=en_US&amp;offset=0&amp;query=any,contains,991002992399702656","Catalog Record")</f>
        <v>Catalog Record</v>
      </c>
      <c r="AT332" s="6" t="str">
        <f>HYPERLINK("http://www.worldcat.org/oclc/561561","WorldCat Record")</f>
        <v>WorldCat Record</v>
      </c>
      <c r="AU332" s="3" t="s">
        <v>4137</v>
      </c>
      <c r="AV332" s="3" t="s">
        <v>4138</v>
      </c>
      <c r="AW332" s="3" t="s">
        <v>4139</v>
      </c>
      <c r="AX332" s="3" t="s">
        <v>4139</v>
      </c>
      <c r="AY332" s="3" t="s">
        <v>4140</v>
      </c>
      <c r="AZ332" s="3" t="s">
        <v>73</v>
      </c>
      <c r="BC332" s="3" t="s">
        <v>4141</v>
      </c>
      <c r="BD332" s="3" t="s">
        <v>4142</v>
      </c>
    </row>
    <row r="333" spans="1:56" ht="31.5" customHeight="1" x14ac:dyDescent="0.25">
      <c r="A333" s="7" t="s">
        <v>58</v>
      </c>
      <c r="B333" s="2" t="s">
        <v>4143</v>
      </c>
      <c r="C333" s="2" t="s">
        <v>4144</v>
      </c>
      <c r="D333" s="2" t="s">
        <v>4145</v>
      </c>
      <c r="F333" s="3" t="s">
        <v>58</v>
      </c>
      <c r="G333" s="3" t="s">
        <v>59</v>
      </c>
      <c r="H333" s="3" t="s">
        <v>58</v>
      </c>
      <c r="I333" s="3" t="s">
        <v>58</v>
      </c>
      <c r="J333" s="3" t="s">
        <v>60</v>
      </c>
      <c r="K333" s="2" t="s">
        <v>631</v>
      </c>
      <c r="L333" s="2" t="s">
        <v>4146</v>
      </c>
      <c r="M333" s="3" t="s">
        <v>3840</v>
      </c>
      <c r="O333" s="3" t="s">
        <v>63</v>
      </c>
      <c r="P333" s="3" t="s">
        <v>64</v>
      </c>
      <c r="R333" s="3" t="s">
        <v>65</v>
      </c>
      <c r="S333" s="4">
        <v>1</v>
      </c>
      <c r="T333" s="4">
        <v>1</v>
      </c>
      <c r="U333" s="5" t="s">
        <v>4147</v>
      </c>
      <c r="V333" s="5" t="s">
        <v>4147</v>
      </c>
      <c r="W333" s="5" t="s">
        <v>4147</v>
      </c>
      <c r="X333" s="5" t="s">
        <v>4147</v>
      </c>
      <c r="Y333" s="4">
        <v>179</v>
      </c>
      <c r="Z333" s="4">
        <v>159</v>
      </c>
      <c r="AA333" s="4">
        <v>2073</v>
      </c>
      <c r="AB333" s="4">
        <v>1</v>
      </c>
      <c r="AC333" s="4">
        <v>15</v>
      </c>
      <c r="AD333" s="4">
        <v>1</v>
      </c>
      <c r="AE333" s="4">
        <v>30</v>
      </c>
      <c r="AF333" s="4">
        <v>0</v>
      </c>
      <c r="AG333" s="4">
        <v>12</v>
      </c>
      <c r="AH333" s="4">
        <v>0</v>
      </c>
      <c r="AI333" s="4">
        <v>4</v>
      </c>
      <c r="AJ333" s="4">
        <v>1</v>
      </c>
      <c r="AK333" s="4">
        <v>15</v>
      </c>
      <c r="AL333" s="4">
        <v>0</v>
      </c>
      <c r="AM333" s="4">
        <v>5</v>
      </c>
      <c r="AN333" s="4">
        <v>0</v>
      </c>
      <c r="AO333" s="4">
        <v>0</v>
      </c>
      <c r="AP333" s="3" t="s">
        <v>58</v>
      </c>
      <c r="AQ333" s="3" t="s">
        <v>68</v>
      </c>
      <c r="AR333" s="6" t="str">
        <f>HYPERLINK("http://catalog.hathitrust.org/Record/005885048","HathiTrust Record")</f>
        <v>HathiTrust Record</v>
      </c>
      <c r="AS333" s="6" t="str">
        <f>HYPERLINK("https://creighton-primo.hosted.exlibrisgroup.com/primo-explore/search?tab=default_tab&amp;search_scope=EVERYTHING&amp;vid=01CRU&amp;lang=en_US&amp;offset=0&amp;query=any,contains,991005131129702656","Catalog Record")</f>
        <v>Catalog Record</v>
      </c>
      <c r="AT333" s="6" t="str">
        <f>HYPERLINK("http://www.worldcat.org/oclc/74839818","WorldCat Record")</f>
        <v>WorldCat Record</v>
      </c>
      <c r="AU333" s="3" t="s">
        <v>4148</v>
      </c>
      <c r="AV333" s="3" t="s">
        <v>4149</v>
      </c>
      <c r="AW333" s="3" t="s">
        <v>4150</v>
      </c>
      <c r="AX333" s="3" t="s">
        <v>4150</v>
      </c>
      <c r="AY333" s="3" t="s">
        <v>4151</v>
      </c>
      <c r="AZ333" s="3" t="s">
        <v>73</v>
      </c>
      <c r="BB333" s="3" t="s">
        <v>4152</v>
      </c>
      <c r="BC333" s="3" t="s">
        <v>4153</v>
      </c>
      <c r="BD333" s="3" t="s">
        <v>4154</v>
      </c>
    </row>
    <row r="334" spans="1:56" ht="31.5" customHeight="1" x14ac:dyDescent="0.25">
      <c r="A334" s="7" t="s">
        <v>58</v>
      </c>
      <c r="B334" s="2" t="s">
        <v>4155</v>
      </c>
      <c r="C334" s="2" t="s">
        <v>4156</v>
      </c>
      <c r="D334" s="2" t="s">
        <v>4157</v>
      </c>
      <c r="F334" s="3" t="s">
        <v>58</v>
      </c>
      <c r="G334" s="3" t="s">
        <v>59</v>
      </c>
      <c r="H334" s="3" t="s">
        <v>58</v>
      </c>
      <c r="I334" s="3" t="s">
        <v>58</v>
      </c>
      <c r="J334" s="3" t="s">
        <v>60</v>
      </c>
      <c r="K334" s="2" t="s">
        <v>4158</v>
      </c>
      <c r="L334" s="2" t="s">
        <v>4159</v>
      </c>
      <c r="M334" s="3" t="s">
        <v>1195</v>
      </c>
      <c r="N334" s="2" t="s">
        <v>2985</v>
      </c>
      <c r="O334" s="3" t="s">
        <v>63</v>
      </c>
      <c r="P334" s="3" t="s">
        <v>129</v>
      </c>
      <c r="Q334" s="2" t="s">
        <v>3228</v>
      </c>
      <c r="R334" s="3" t="s">
        <v>65</v>
      </c>
      <c r="S334" s="4">
        <v>3</v>
      </c>
      <c r="T334" s="4">
        <v>3</v>
      </c>
      <c r="U334" s="5" t="s">
        <v>4084</v>
      </c>
      <c r="V334" s="5" t="s">
        <v>4084</v>
      </c>
      <c r="W334" s="5" t="s">
        <v>4002</v>
      </c>
      <c r="X334" s="5" t="s">
        <v>4002</v>
      </c>
      <c r="Y334" s="4">
        <v>421</v>
      </c>
      <c r="Z334" s="4">
        <v>345</v>
      </c>
      <c r="AA334" s="4">
        <v>1038</v>
      </c>
      <c r="AB334" s="4">
        <v>4</v>
      </c>
      <c r="AC334" s="4">
        <v>9</v>
      </c>
      <c r="AD334" s="4">
        <v>9</v>
      </c>
      <c r="AE334" s="4">
        <v>40</v>
      </c>
      <c r="AF334" s="4">
        <v>3</v>
      </c>
      <c r="AG334" s="4">
        <v>13</v>
      </c>
      <c r="AH334" s="4">
        <v>1</v>
      </c>
      <c r="AI334" s="4">
        <v>5</v>
      </c>
      <c r="AJ334" s="4">
        <v>3</v>
      </c>
      <c r="AK334" s="4">
        <v>21</v>
      </c>
      <c r="AL334" s="4">
        <v>3</v>
      </c>
      <c r="AM334" s="4">
        <v>8</v>
      </c>
      <c r="AN334" s="4">
        <v>0</v>
      </c>
      <c r="AO334" s="4">
        <v>0</v>
      </c>
      <c r="AP334" s="3" t="s">
        <v>58</v>
      </c>
      <c r="AQ334" s="3" t="s">
        <v>68</v>
      </c>
      <c r="AR334" s="6" t="str">
        <f>HYPERLINK("http://catalog.hathitrust.org/Record/006255992","HathiTrust Record")</f>
        <v>HathiTrust Record</v>
      </c>
      <c r="AS334" s="6" t="str">
        <f>HYPERLINK("https://creighton-primo.hosted.exlibrisgroup.com/primo-explore/search?tab=default_tab&amp;search_scope=EVERYTHING&amp;vid=01CRU&amp;lang=en_US&amp;offset=0&amp;query=any,contains,991002300699702656","Catalog Record")</f>
        <v>Catalog Record</v>
      </c>
      <c r="AT334" s="6" t="str">
        <f>HYPERLINK("http://www.worldcat.org/oclc/317313","WorldCat Record")</f>
        <v>WorldCat Record</v>
      </c>
      <c r="AU334" s="3" t="s">
        <v>4160</v>
      </c>
      <c r="AV334" s="3" t="s">
        <v>4161</v>
      </c>
      <c r="AW334" s="3" t="s">
        <v>4162</v>
      </c>
      <c r="AX334" s="3" t="s">
        <v>4162</v>
      </c>
      <c r="AY334" s="3" t="s">
        <v>4163</v>
      </c>
      <c r="AZ334" s="3" t="s">
        <v>73</v>
      </c>
      <c r="BC334" s="3" t="s">
        <v>4164</v>
      </c>
      <c r="BD334" s="3" t="s">
        <v>4165</v>
      </c>
    </row>
    <row r="335" spans="1:56" ht="31.5" customHeight="1" x14ac:dyDescent="0.25">
      <c r="A335" s="7" t="s">
        <v>58</v>
      </c>
      <c r="B335" s="2" t="s">
        <v>4166</v>
      </c>
      <c r="C335" s="2" t="s">
        <v>4167</v>
      </c>
      <c r="D335" s="2" t="s">
        <v>4168</v>
      </c>
      <c r="F335" s="3" t="s">
        <v>58</v>
      </c>
      <c r="G335" s="3" t="s">
        <v>59</v>
      </c>
      <c r="H335" s="3" t="s">
        <v>58</v>
      </c>
      <c r="I335" s="3" t="s">
        <v>58</v>
      </c>
      <c r="J335" s="3" t="s">
        <v>60</v>
      </c>
      <c r="K335" s="2" t="s">
        <v>4158</v>
      </c>
      <c r="L335" s="2" t="s">
        <v>4169</v>
      </c>
      <c r="M335" s="3" t="s">
        <v>244</v>
      </c>
      <c r="O335" s="3" t="s">
        <v>63</v>
      </c>
      <c r="P335" s="3" t="s">
        <v>129</v>
      </c>
      <c r="Q335" s="2" t="s">
        <v>3228</v>
      </c>
      <c r="R335" s="3" t="s">
        <v>65</v>
      </c>
      <c r="S335" s="4">
        <v>8</v>
      </c>
      <c r="T335" s="4">
        <v>8</v>
      </c>
      <c r="U335" s="5" t="s">
        <v>4170</v>
      </c>
      <c r="V335" s="5" t="s">
        <v>4170</v>
      </c>
      <c r="W335" s="5" t="s">
        <v>4171</v>
      </c>
      <c r="X335" s="5" t="s">
        <v>4171</v>
      </c>
      <c r="Y335" s="4">
        <v>1050</v>
      </c>
      <c r="Z335" s="4">
        <v>956</v>
      </c>
      <c r="AA335" s="4">
        <v>967</v>
      </c>
      <c r="AB335" s="4">
        <v>10</v>
      </c>
      <c r="AC335" s="4">
        <v>10</v>
      </c>
      <c r="AD335" s="4">
        <v>32</v>
      </c>
      <c r="AE335" s="4">
        <v>32</v>
      </c>
      <c r="AF335" s="4">
        <v>11</v>
      </c>
      <c r="AG335" s="4">
        <v>11</v>
      </c>
      <c r="AH335" s="4">
        <v>5</v>
      </c>
      <c r="AI335" s="4">
        <v>5</v>
      </c>
      <c r="AJ335" s="4">
        <v>15</v>
      </c>
      <c r="AK335" s="4">
        <v>15</v>
      </c>
      <c r="AL335" s="4">
        <v>6</v>
      </c>
      <c r="AM335" s="4">
        <v>6</v>
      </c>
      <c r="AN335" s="4">
        <v>0</v>
      </c>
      <c r="AO335" s="4">
        <v>0</v>
      </c>
      <c r="AP335" s="3" t="s">
        <v>58</v>
      </c>
      <c r="AQ335" s="3" t="s">
        <v>68</v>
      </c>
      <c r="AR335" s="6" t="str">
        <f>HYPERLINK("http://catalog.hathitrust.org/Record/000182419","HathiTrust Record")</f>
        <v>HathiTrust Record</v>
      </c>
      <c r="AS335" s="6" t="str">
        <f>HYPERLINK("https://creighton-primo.hosted.exlibrisgroup.com/primo-explore/search?tab=default_tab&amp;search_scope=EVERYTHING&amp;vid=01CRU&amp;lang=en_US&amp;offset=0&amp;query=any,contains,991005008309702656","Catalog Record")</f>
        <v>Catalog Record</v>
      </c>
      <c r="AT335" s="6" t="str">
        <f>HYPERLINK("http://www.worldcat.org/oclc/6581486","WorldCat Record")</f>
        <v>WorldCat Record</v>
      </c>
      <c r="AU335" s="3" t="s">
        <v>4172</v>
      </c>
      <c r="AV335" s="3" t="s">
        <v>4173</v>
      </c>
      <c r="AW335" s="3" t="s">
        <v>4174</v>
      </c>
      <c r="AX335" s="3" t="s">
        <v>4174</v>
      </c>
      <c r="AY335" s="3" t="s">
        <v>4175</v>
      </c>
      <c r="AZ335" s="3" t="s">
        <v>73</v>
      </c>
      <c r="BB335" s="3" t="s">
        <v>4176</v>
      </c>
      <c r="BC335" s="3" t="s">
        <v>4177</v>
      </c>
      <c r="BD335" s="3" t="s">
        <v>4178</v>
      </c>
    </row>
    <row r="336" spans="1:56" ht="31.5" customHeight="1" x14ac:dyDescent="0.25">
      <c r="A336" s="7" t="s">
        <v>58</v>
      </c>
      <c r="B336" s="2" t="s">
        <v>4179</v>
      </c>
      <c r="C336" s="2" t="s">
        <v>4180</v>
      </c>
      <c r="D336" s="2" t="s">
        <v>4181</v>
      </c>
      <c r="F336" s="3" t="s">
        <v>58</v>
      </c>
      <c r="G336" s="3" t="s">
        <v>59</v>
      </c>
      <c r="H336" s="3" t="s">
        <v>58</v>
      </c>
      <c r="I336" s="3" t="s">
        <v>58</v>
      </c>
      <c r="J336" s="3" t="s">
        <v>60</v>
      </c>
      <c r="K336" s="2" t="s">
        <v>4182</v>
      </c>
      <c r="L336" s="2" t="s">
        <v>4183</v>
      </c>
      <c r="M336" s="3" t="s">
        <v>62</v>
      </c>
      <c r="O336" s="3" t="s">
        <v>63</v>
      </c>
      <c r="P336" s="3" t="s">
        <v>580</v>
      </c>
      <c r="R336" s="3" t="s">
        <v>65</v>
      </c>
      <c r="S336" s="4">
        <v>4</v>
      </c>
      <c r="T336" s="4">
        <v>4</v>
      </c>
      <c r="U336" s="5" t="s">
        <v>4184</v>
      </c>
      <c r="V336" s="5" t="s">
        <v>4184</v>
      </c>
      <c r="W336" s="5" t="s">
        <v>4185</v>
      </c>
      <c r="X336" s="5" t="s">
        <v>4185</v>
      </c>
      <c r="Y336" s="4">
        <v>986</v>
      </c>
      <c r="Z336" s="4">
        <v>944</v>
      </c>
      <c r="AA336" s="4">
        <v>958</v>
      </c>
      <c r="AB336" s="4">
        <v>12</v>
      </c>
      <c r="AC336" s="4">
        <v>12</v>
      </c>
      <c r="AD336" s="4">
        <v>19</v>
      </c>
      <c r="AE336" s="4">
        <v>19</v>
      </c>
      <c r="AF336" s="4">
        <v>8</v>
      </c>
      <c r="AG336" s="4">
        <v>8</v>
      </c>
      <c r="AH336" s="4">
        <v>6</v>
      </c>
      <c r="AI336" s="4">
        <v>6</v>
      </c>
      <c r="AJ336" s="4">
        <v>8</v>
      </c>
      <c r="AK336" s="4">
        <v>8</v>
      </c>
      <c r="AL336" s="4">
        <v>3</v>
      </c>
      <c r="AM336" s="4">
        <v>3</v>
      </c>
      <c r="AN336" s="4">
        <v>0</v>
      </c>
      <c r="AO336" s="4">
        <v>0</v>
      </c>
      <c r="AP336" s="3" t="s">
        <v>58</v>
      </c>
      <c r="AQ336" s="3" t="s">
        <v>58</v>
      </c>
      <c r="AS336" s="6" t="str">
        <f>HYPERLINK("https://creighton-primo.hosted.exlibrisgroup.com/primo-explore/search?tab=default_tab&amp;search_scope=EVERYTHING&amp;vid=01CRU&amp;lang=en_US&amp;offset=0&amp;query=any,contains,991003041599702656","Catalog Record")</f>
        <v>Catalog Record</v>
      </c>
      <c r="AT336" s="6" t="str">
        <f>HYPERLINK("http://www.worldcat.org/oclc/42207862","WorldCat Record")</f>
        <v>WorldCat Record</v>
      </c>
      <c r="AU336" s="3" t="s">
        <v>4186</v>
      </c>
      <c r="AV336" s="3" t="s">
        <v>4187</v>
      </c>
      <c r="AW336" s="3" t="s">
        <v>4188</v>
      </c>
      <c r="AX336" s="3" t="s">
        <v>4188</v>
      </c>
      <c r="AY336" s="3" t="s">
        <v>4189</v>
      </c>
      <c r="AZ336" s="3" t="s">
        <v>73</v>
      </c>
      <c r="BB336" s="3" t="s">
        <v>4190</v>
      </c>
      <c r="BC336" s="3" t="s">
        <v>4191</v>
      </c>
      <c r="BD336" s="3" t="s">
        <v>4192</v>
      </c>
    </row>
    <row r="337" spans="1:56" ht="31.5" customHeight="1" x14ac:dyDescent="0.25">
      <c r="A337" s="7" t="s">
        <v>58</v>
      </c>
      <c r="B337" s="2" t="s">
        <v>4193</v>
      </c>
      <c r="C337" s="2" t="s">
        <v>4194</v>
      </c>
      <c r="D337" s="2" t="s">
        <v>4195</v>
      </c>
      <c r="F337" s="3" t="s">
        <v>58</v>
      </c>
      <c r="G337" s="3" t="s">
        <v>59</v>
      </c>
      <c r="H337" s="3" t="s">
        <v>58</v>
      </c>
      <c r="I337" s="3" t="s">
        <v>58</v>
      </c>
      <c r="J337" s="3" t="s">
        <v>60</v>
      </c>
      <c r="L337" s="2" t="s">
        <v>4196</v>
      </c>
      <c r="M337" s="3" t="s">
        <v>159</v>
      </c>
      <c r="O337" s="3" t="s">
        <v>63</v>
      </c>
      <c r="P337" s="3" t="s">
        <v>444</v>
      </c>
      <c r="R337" s="3" t="s">
        <v>65</v>
      </c>
      <c r="S337" s="4">
        <v>3</v>
      </c>
      <c r="T337" s="4">
        <v>3</v>
      </c>
      <c r="U337" s="5" t="s">
        <v>4197</v>
      </c>
      <c r="V337" s="5" t="s">
        <v>4197</v>
      </c>
      <c r="W337" s="5" t="s">
        <v>3407</v>
      </c>
      <c r="X337" s="5" t="s">
        <v>3407</v>
      </c>
      <c r="Y337" s="4">
        <v>470</v>
      </c>
      <c r="Z337" s="4">
        <v>408</v>
      </c>
      <c r="AA337" s="4">
        <v>413</v>
      </c>
      <c r="AB337" s="4">
        <v>3</v>
      </c>
      <c r="AC337" s="4">
        <v>3</v>
      </c>
      <c r="AD337" s="4">
        <v>7</v>
      </c>
      <c r="AE337" s="4">
        <v>7</v>
      </c>
      <c r="AF337" s="4">
        <v>3</v>
      </c>
      <c r="AG337" s="4">
        <v>3</v>
      </c>
      <c r="AH337" s="4">
        <v>1</v>
      </c>
      <c r="AI337" s="4">
        <v>1</v>
      </c>
      <c r="AJ337" s="4">
        <v>3</v>
      </c>
      <c r="AK337" s="4">
        <v>3</v>
      </c>
      <c r="AL337" s="4">
        <v>2</v>
      </c>
      <c r="AM337" s="4">
        <v>2</v>
      </c>
      <c r="AN337" s="4">
        <v>0</v>
      </c>
      <c r="AO337" s="4">
        <v>0</v>
      </c>
      <c r="AP337" s="3" t="s">
        <v>58</v>
      </c>
      <c r="AQ337" s="3" t="s">
        <v>58</v>
      </c>
      <c r="AS337" s="6" t="str">
        <f>HYPERLINK("https://creighton-primo.hosted.exlibrisgroup.com/primo-explore/search?tab=default_tab&amp;search_scope=EVERYTHING&amp;vid=01CRU&amp;lang=en_US&amp;offset=0&amp;query=any,contains,991000116669702656","Catalog Record")</f>
        <v>Catalog Record</v>
      </c>
      <c r="AT337" s="6" t="str">
        <f>HYPERLINK("http://www.worldcat.org/oclc/9042611","WorldCat Record")</f>
        <v>WorldCat Record</v>
      </c>
      <c r="AU337" s="3" t="s">
        <v>4198</v>
      </c>
      <c r="AV337" s="3" t="s">
        <v>4199</v>
      </c>
      <c r="AW337" s="3" t="s">
        <v>4200</v>
      </c>
      <c r="AX337" s="3" t="s">
        <v>4200</v>
      </c>
      <c r="AY337" s="3" t="s">
        <v>4201</v>
      </c>
      <c r="AZ337" s="3" t="s">
        <v>73</v>
      </c>
      <c r="BB337" s="3" t="s">
        <v>4202</v>
      </c>
      <c r="BC337" s="3" t="s">
        <v>4203</v>
      </c>
      <c r="BD337" s="3" t="s">
        <v>4204</v>
      </c>
    </row>
    <row r="338" spans="1:56" ht="31.5" customHeight="1" x14ac:dyDescent="0.25">
      <c r="A338" s="7" t="s">
        <v>58</v>
      </c>
      <c r="B338" s="2" t="s">
        <v>4205</v>
      </c>
      <c r="C338" s="2" t="s">
        <v>4206</v>
      </c>
      <c r="D338" s="2" t="s">
        <v>4207</v>
      </c>
      <c r="F338" s="3" t="s">
        <v>58</v>
      </c>
      <c r="G338" s="3" t="s">
        <v>59</v>
      </c>
      <c r="H338" s="3" t="s">
        <v>58</v>
      </c>
      <c r="I338" s="3" t="s">
        <v>58</v>
      </c>
      <c r="J338" s="3" t="s">
        <v>60</v>
      </c>
      <c r="K338" s="2" t="s">
        <v>4208</v>
      </c>
      <c r="L338" s="2" t="s">
        <v>4209</v>
      </c>
      <c r="M338" s="3" t="s">
        <v>244</v>
      </c>
      <c r="O338" s="3" t="s">
        <v>63</v>
      </c>
      <c r="P338" s="3" t="s">
        <v>64</v>
      </c>
      <c r="R338" s="3" t="s">
        <v>65</v>
      </c>
      <c r="S338" s="4">
        <v>7</v>
      </c>
      <c r="T338" s="4">
        <v>7</v>
      </c>
      <c r="U338" s="5" t="s">
        <v>4210</v>
      </c>
      <c r="V338" s="5" t="s">
        <v>4210</v>
      </c>
      <c r="W338" s="5" t="s">
        <v>4211</v>
      </c>
      <c r="X338" s="5" t="s">
        <v>4211</v>
      </c>
      <c r="Y338" s="4">
        <v>405</v>
      </c>
      <c r="Z338" s="4">
        <v>327</v>
      </c>
      <c r="AA338" s="4">
        <v>333</v>
      </c>
      <c r="AB338" s="4">
        <v>3</v>
      </c>
      <c r="AC338" s="4">
        <v>3</v>
      </c>
      <c r="AD338" s="4">
        <v>6</v>
      </c>
      <c r="AE338" s="4">
        <v>6</v>
      </c>
      <c r="AF338" s="4">
        <v>1</v>
      </c>
      <c r="AG338" s="4">
        <v>1</v>
      </c>
      <c r="AH338" s="4">
        <v>0</v>
      </c>
      <c r="AI338" s="4">
        <v>0</v>
      </c>
      <c r="AJ338" s="4">
        <v>3</v>
      </c>
      <c r="AK338" s="4">
        <v>3</v>
      </c>
      <c r="AL338" s="4">
        <v>2</v>
      </c>
      <c r="AM338" s="4">
        <v>2</v>
      </c>
      <c r="AN338" s="4">
        <v>0</v>
      </c>
      <c r="AO338" s="4">
        <v>0</v>
      </c>
      <c r="AP338" s="3" t="s">
        <v>58</v>
      </c>
      <c r="AQ338" s="3" t="s">
        <v>68</v>
      </c>
      <c r="AR338" s="6" t="str">
        <f>HYPERLINK("http://catalog.hathitrust.org/Record/000181058","HathiTrust Record")</f>
        <v>HathiTrust Record</v>
      </c>
      <c r="AS338" s="6" t="str">
        <f>HYPERLINK("https://creighton-primo.hosted.exlibrisgroup.com/primo-explore/search?tab=default_tab&amp;search_scope=EVERYTHING&amp;vid=01CRU&amp;lang=en_US&amp;offset=0&amp;query=any,contains,991005096889702656","Catalog Record")</f>
        <v>Catalog Record</v>
      </c>
      <c r="AT338" s="6" t="str">
        <f>HYPERLINK("http://www.worldcat.org/oclc/7274928","WorldCat Record")</f>
        <v>WorldCat Record</v>
      </c>
      <c r="AU338" s="3" t="s">
        <v>4212</v>
      </c>
      <c r="AV338" s="3" t="s">
        <v>4213</v>
      </c>
      <c r="AW338" s="3" t="s">
        <v>4214</v>
      </c>
      <c r="AX338" s="3" t="s">
        <v>4214</v>
      </c>
      <c r="AY338" s="3" t="s">
        <v>4215</v>
      </c>
      <c r="AZ338" s="3" t="s">
        <v>73</v>
      </c>
      <c r="BB338" s="3" t="s">
        <v>4216</v>
      </c>
      <c r="BC338" s="3" t="s">
        <v>4217</v>
      </c>
      <c r="BD338" s="3" t="s">
        <v>4218</v>
      </c>
    </row>
    <row r="339" spans="1:56" ht="31.5" customHeight="1" x14ac:dyDescent="0.25">
      <c r="A339" s="7" t="s">
        <v>58</v>
      </c>
      <c r="B339" s="2" t="s">
        <v>4219</v>
      </c>
      <c r="C339" s="2" t="s">
        <v>4220</v>
      </c>
      <c r="D339" s="2" t="s">
        <v>4221</v>
      </c>
      <c r="F339" s="3" t="s">
        <v>58</v>
      </c>
      <c r="G339" s="3" t="s">
        <v>59</v>
      </c>
      <c r="H339" s="3" t="s">
        <v>58</v>
      </c>
      <c r="I339" s="3" t="s">
        <v>58</v>
      </c>
      <c r="J339" s="3" t="s">
        <v>60</v>
      </c>
      <c r="L339" s="2" t="s">
        <v>4222</v>
      </c>
      <c r="M339" s="3" t="s">
        <v>97</v>
      </c>
      <c r="O339" s="3" t="s">
        <v>63</v>
      </c>
      <c r="P339" s="3" t="s">
        <v>1014</v>
      </c>
      <c r="Q339" s="2" t="s">
        <v>4223</v>
      </c>
      <c r="R339" s="3" t="s">
        <v>65</v>
      </c>
      <c r="S339" s="4">
        <v>1</v>
      </c>
      <c r="T339" s="4">
        <v>1</v>
      </c>
      <c r="U339" s="5" t="s">
        <v>4224</v>
      </c>
      <c r="V339" s="5" t="s">
        <v>4224</v>
      </c>
      <c r="W339" s="5" t="s">
        <v>4225</v>
      </c>
      <c r="X339" s="5" t="s">
        <v>4225</v>
      </c>
      <c r="Y339" s="4">
        <v>311</v>
      </c>
      <c r="Z339" s="4">
        <v>244</v>
      </c>
      <c r="AA339" s="4">
        <v>246</v>
      </c>
      <c r="AB339" s="4">
        <v>3</v>
      </c>
      <c r="AC339" s="4">
        <v>3</v>
      </c>
      <c r="AD339" s="4">
        <v>8</v>
      </c>
      <c r="AE339" s="4">
        <v>8</v>
      </c>
      <c r="AF339" s="4">
        <v>1</v>
      </c>
      <c r="AG339" s="4">
        <v>1</v>
      </c>
      <c r="AH339" s="4">
        <v>2</v>
      </c>
      <c r="AI339" s="4">
        <v>2</v>
      </c>
      <c r="AJ339" s="4">
        <v>4</v>
      </c>
      <c r="AK339" s="4">
        <v>4</v>
      </c>
      <c r="AL339" s="4">
        <v>2</v>
      </c>
      <c r="AM339" s="4">
        <v>2</v>
      </c>
      <c r="AN339" s="4">
        <v>0</v>
      </c>
      <c r="AO339" s="4">
        <v>0</v>
      </c>
      <c r="AP339" s="3" t="s">
        <v>58</v>
      </c>
      <c r="AQ339" s="3" t="s">
        <v>68</v>
      </c>
      <c r="AR339" s="6" t="str">
        <f>HYPERLINK("http://catalog.hathitrust.org/Record/001295246","HathiTrust Record")</f>
        <v>HathiTrust Record</v>
      </c>
      <c r="AS339" s="6" t="str">
        <f>HYPERLINK("https://creighton-primo.hosted.exlibrisgroup.com/primo-explore/search?tab=default_tab&amp;search_scope=EVERYTHING&amp;vid=01CRU&amp;lang=en_US&amp;offset=0&amp;query=any,contains,991001435369702656","Catalog Record")</f>
        <v>Catalog Record</v>
      </c>
      <c r="AT339" s="6" t="str">
        <f>HYPERLINK("http://www.worldcat.org/oclc/19128676","WorldCat Record")</f>
        <v>WorldCat Record</v>
      </c>
      <c r="AU339" s="3" t="s">
        <v>4226</v>
      </c>
      <c r="AV339" s="3" t="s">
        <v>4227</v>
      </c>
      <c r="AW339" s="3" t="s">
        <v>4228</v>
      </c>
      <c r="AX339" s="3" t="s">
        <v>4228</v>
      </c>
      <c r="AY339" s="3" t="s">
        <v>4229</v>
      </c>
      <c r="AZ339" s="3" t="s">
        <v>73</v>
      </c>
      <c r="BB339" s="3" t="s">
        <v>4230</v>
      </c>
      <c r="BC339" s="3" t="s">
        <v>4231</v>
      </c>
      <c r="BD339" s="3" t="s">
        <v>4232</v>
      </c>
    </row>
    <row r="340" spans="1:56" ht="31.5" customHeight="1" x14ac:dyDescent="0.25">
      <c r="A340" s="7" t="s">
        <v>58</v>
      </c>
      <c r="B340" s="2" t="s">
        <v>4233</v>
      </c>
      <c r="C340" s="2" t="s">
        <v>4234</v>
      </c>
      <c r="D340" s="2" t="s">
        <v>4235</v>
      </c>
      <c r="F340" s="3" t="s">
        <v>58</v>
      </c>
      <c r="G340" s="3" t="s">
        <v>59</v>
      </c>
      <c r="H340" s="3" t="s">
        <v>58</v>
      </c>
      <c r="I340" s="3" t="s">
        <v>58</v>
      </c>
      <c r="J340" s="3" t="s">
        <v>60</v>
      </c>
      <c r="K340" s="2" t="s">
        <v>4041</v>
      </c>
      <c r="L340" s="2" t="s">
        <v>4236</v>
      </c>
      <c r="M340" s="3" t="s">
        <v>821</v>
      </c>
      <c r="O340" s="3" t="s">
        <v>63</v>
      </c>
      <c r="P340" s="3" t="s">
        <v>186</v>
      </c>
      <c r="R340" s="3" t="s">
        <v>65</v>
      </c>
      <c r="S340" s="4">
        <v>1</v>
      </c>
      <c r="T340" s="4">
        <v>1</v>
      </c>
      <c r="U340" s="5" t="s">
        <v>4210</v>
      </c>
      <c r="V340" s="5" t="s">
        <v>4210</v>
      </c>
      <c r="W340" s="5" t="s">
        <v>3407</v>
      </c>
      <c r="X340" s="5" t="s">
        <v>3407</v>
      </c>
      <c r="Y340" s="4">
        <v>330</v>
      </c>
      <c r="Z340" s="4">
        <v>234</v>
      </c>
      <c r="AA340" s="4">
        <v>242</v>
      </c>
      <c r="AB340" s="4">
        <v>3</v>
      </c>
      <c r="AC340" s="4">
        <v>3</v>
      </c>
      <c r="AD340" s="4">
        <v>6</v>
      </c>
      <c r="AE340" s="4">
        <v>6</v>
      </c>
      <c r="AF340" s="4">
        <v>0</v>
      </c>
      <c r="AG340" s="4">
        <v>0</v>
      </c>
      <c r="AH340" s="4">
        <v>2</v>
      </c>
      <c r="AI340" s="4">
        <v>2</v>
      </c>
      <c r="AJ340" s="4">
        <v>3</v>
      </c>
      <c r="AK340" s="4">
        <v>3</v>
      </c>
      <c r="AL340" s="4">
        <v>2</v>
      </c>
      <c r="AM340" s="4">
        <v>2</v>
      </c>
      <c r="AN340" s="4">
        <v>0</v>
      </c>
      <c r="AO340" s="4">
        <v>0</v>
      </c>
      <c r="AP340" s="3" t="s">
        <v>58</v>
      </c>
      <c r="AQ340" s="3" t="s">
        <v>68</v>
      </c>
      <c r="AR340" s="6" t="str">
        <f>HYPERLINK("http://catalog.hathitrust.org/Record/000418184","HathiTrust Record")</f>
        <v>HathiTrust Record</v>
      </c>
      <c r="AS340" s="6" t="str">
        <f>HYPERLINK("https://creighton-primo.hosted.exlibrisgroup.com/primo-explore/search?tab=default_tab&amp;search_scope=EVERYTHING&amp;vid=01CRU&amp;lang=en_US&amp;offset=0&amp;query=any,contains,991000540529702656","Catalog Record")</f>
        <v>Catalog Record</v>
      </c>
      <c r="AT340" s="6" t="str">
        <f>HYPERLINK("http://www.worldcat.org/oclc/12549679","WorldCat Record")</f>
        <v>WorldCat Record</v>
      </c>
      <c r="AU340" s="3" t="s">
        <v>4237</v>
      </c>
      <c r="AV340" s="3" t="s">
        <v>4238</v>
      </c>
      <c r="AW340" s="3" t="s">
        <v>4239</v>
      </c>
      <c r="AX340" s="3" t="s">
        <v>4239</v>
      </c>
      <c r="AY340" s="3" t="s">
        <v>4240</v>
      </c>
      <c r="AZ340" s="3" t="s">
        <v>73</v>
      </c>
      <c r="BB340" s="3" t="s">
        <v>4241</v>
      </c>
      <c r="BC340" s="3" t="s">
        <v>4242</v>
      </c>
      <c r="BD340" s="3" t="s">
        <v>4243</v>
      </c>
    </row>
    <row r="341" spans="1:56" ht="31.5" customHeight="1" x14ac:dyDescent="0.25">
      <c r="A341" s="7" t="s">
        <v>58</v>
      </c>
      <c r="B341" s="2" t="s">
        <v>4244</v>
      </c>
      <c r="C341" s="2" t="s">
        <v>4245</v>
      </c>
      <c r="D341" s="2" t="s">
        <v>4246</v>
      </c>
      <c r="F341" s="3" t="s">
        <v>58</v>
      </c>
      <c r="G341" s="3" t="s">
        <v>59</v>
      </c>
      <c r="H341" s="3" t="s">
        <v>58</v>
      </c>
      <c r="I341" s="3" t="s">
        <v>58</v>
      </c>
      <c r="J341" s="3" t="s">
        <v>60</v>
      </c>
      <c r="K341" s="2" t="s">
        <v>4247</v>
      </c>
      <c r="L341" s="2" t="s">
        <v>4248</v>
      </c>
      <c r="M341" s="3" t="s">
        <v>1939</v>
      </c>
      <c r="N341" s="2" t="s">
        <v>501</v>
      </c>
      <c r="O341" s="3" t="s">
        <v>63</v>
      </c>
      <c r="P341" s="3" t="s">
        <v>64</v>
      </c>
      <c r="R341" s="3" t="s">
        <v>65</v>
      </c>
      <c r="S341" s="4">
        <v>2</v>
      </c>
      <c r="T341" s="4">
        <v>2</v>
      </c>
      <c r="U341" s="5" t="s">
        <v>4249</v>
      </c>
      <c r="V341" s="5" t="s">
        <v>4249</v>
      </c>
      <c r="W341" s="5" t="s">
        <v>4250</v>
      </c>
      <c r="X341" s="5" t="s">
        <v>4250</v>
      </c>
      <c r="Y341" s="4">
        <v>905</v>
      </c>
      <c r="Z341" s="4">
        <v>825</v>
      </c>
      <c r="AA341" s="4">
        <v>943</v>
      </c>
      <c r="AB341" s="4">
        <v>4</v>
      </c>
      <c r="AC341" s="4">
        <v>4</v>
      </c>
      <c r="AD341" s="4">
        <v>24</v>
      </c>
      <c r="AE341" s="4">
        <v>25</v>
      </c>
      <c r="AF341" s="4">
        <v>8</v>
      </c>
      <c r="AG341" s="4">
        <v>9</v>
      </c>
      <c r="AH341" s="4">
        <v>6</v>
      </c>
      <c r="AI341" s="4">
        <v>6</v>
      </c>
      <c r="AJ341" s="4">
        <v>13</v>
      </c>
      <c r="AK341" s="4">
        <v>14</v>
      </c>
      <c r="AL341" s="4">
        <v>2</v>
      </c>
      <c r="AM341" s="4">
        <v>2</v>
      </c>
      <c r="AN341" s="4">
        <v>0</v>
      </c>
      <c r="AO341" s="4">
        <v>0</v>
      </c>
      <c r="AP341" s="3" t="s">
        <v>58</v>
      </c>
      <c r="AQ341" s="3" t="s">
        <v>58</v>
      </c>
      <c r="AS341" s="6" t="str">
        <f>HYPERLINK("https://creighton-primo.hosted.exlibrisgroup.com/primo-explore/search?tab=default_tab&amp;search_scope=EVERYTHING&amp;vid=01CRU&amp;lang=en_US&amp;offset=0&amp;query=any,contains,991004596619702656","Catalog Record")</f>
        <v>Catalog Record</v>
      </c>
      <c r="AT341" s="6" t="str">
        <f>HYPERLINK("http://www.worldcat.org/oclc/33078849","WorldCat Record")</f>
        <v>WorldCat Record</v>
      </c>
      <c r="AU341" s="3" t="s">
        <v>4251</v>
      </c>
      <c r="AV341" s="3" t="s">
        <v>4252</v>
      </c>
      <c r="AW341" s="3" t="s">
        <v>4253</v>
      </c>
      <c r="AX341" s="3" t="s">
        <v>4253</v>
      </c>
      <c r="AY341" s="3" t="s">
        <v>4254</v>
      </c>
      <c r="AZ341" s="3" t="s">
        <v>73</v>
      </c>
      <c r="BB341" s="3" t="s">
        <v>4255</v>
      </c>
      <c r="BC341" s="3" t="s">
        <v>4256</v>
      </c>
      <c r="BD341" s="3" t="s">
        <v>4257</v>
      </c>
    </row>
    <row r="342" spans="1:56" ht="31.5" customHeight="1" x14ac:dyDescent="0.25">
      <c r="A342" s="7" t="s">
        <v>58</v>
      </c>
      <c r="B342" s="2" t="s">
        <v>4258</v>
      </c>
      <c r="C342" s="2" t="s">
        <v>4259</v>
      </c>
      <c r="D342" s="2" t="s">
        <v>4260</v>
      </c>
      <c r="F342" s="3" t="s">
        <v>58</v>
      </c>
      <c r="G342" s="3" t="s">
        <v>59</v>
      </c>
      <c r="H342" s="3" t="s">
        <v>58</v>
      </c>
      <c r="I342" s="3" t="s">
        <v>58</v>
      </c>
      <c r="J342" s="3" t="s">
        <v>60</v>
      </c>
      <c r="K342" s="2" t="s">
        <v>4261</v>
      </c>
      <c r="L342" s="2" t="s">
        <v>4262</v>
      </c>
      <c r="M342" s="3" t="s">
        <v>821</v>
      </c>
      <c r="O342" s="3" t="s">
        <v>63</v>
      </c>
      <c r="P342" s="3" t="s">
        <v>129</v>
      </c>
      <c r="R342" s="3" t="s">
        <v>65</v>
      </c>
      <c r="S342" s="4">
        <v>5</v>
      </c>
      <c r="T342" s="4">
        <v>5</v>
      </c>
      <c r="U342" s="5" t="s">
        <v>4263</v>
      </c>
      <c r="V342" s="5" t="s">
        <v>4263</v>
      </c>
      <c r="W342" s="5" t="s">
        <v>3407</v>
      </c>
      <c r="X342" s="5" t="s">
        <v>3407</v>
      </c>
      <c r="Y342" s="4">
        <v>706</v>
      </c>
      <c r="Z342" s="4">
        <v>637</v>
      </c>
      <c r="AA342" s="4">
        <v>719</v>
      </c>
      <c r="AB342" s="4">
        <v>6</v>
      </c>
      <c r="AC342" s="4">
        <v>6</v>
      </c>
      <c r="AD342" s="4">
        <v>19</v>
      </c>
      <c r="AE342" s="4">
        <v>23</v>
      </c>
      <c r="AF342" s="4">
        <v>7</v>
      </c>
      <c r="AG342" s="4">
        <v>11</v>
      </c>
      <c r="AH342" s="4">
        <v>4</v>
      </c>
      <c r="AI342" s="4">
        <v>5</v>
      </c>
      <c r="AJ342" s="4">
        <v>7</v>
      </c>
      <c r="AK342" s="4">
        <v>8</v>
      </c>
      <c r="AL342" s="4">
        <v>5</v>
      </c>
      <c r="AM342" s="4">
        <v>5</v>
      </c>
      <c r="AN342" s="4">
        <v>0</v>
      </c>
      <c r="AO342" s="4">
        <v>0</v>
      </c>
      <c r="AP342" s="3" t="s">
        <v>58</v>
      </c>
      <c r="AQ342" s="3" t="s">
        <v>68</v>
      </c>
      <c r="AR342" s="6" t="str">
        <f>HYPERLINK("http://catalog.hathitrust.org/Record/000452106","HathiTrust Record")</f>
        <v>HathiTrust Record</v>
      </c>
      <c r="AS342" s="6" t="str">
        <f>HYPERLINK("https://creighton-primo.hosted.exlibrisgroup.com/primo-explore/search?tab=default_tab&amp;search_scope=EVERYTHING&amp;vid=01CRU&amp;lang=en_US&amp;offset=0&amp;query=any,contains,991000425209702656","Catalog Record")</f>
        <v>Catalog Record</v>
      </c>
      <c r="AT342" s="6" t="str">
        <f>HYPERLINK("http://www.worldcat.org/oclc/10753126","WorldCat Record")</f>
        <v>WorldCat Record</v>
      </c>
      <c r="AU342" s="3" t="s">
        <v>4264</v>
      </c>
      <c r="AV342" s="3" t="s">
        <v>4265</v>
      </c>
      <c r="AW342" s="3" t="s">
        <v>4266</v>
      </c>
      <c r="AX342" s="3" t="s">
        <v>4266</v>
      </c>
      <c r="AY342" s="3" t="s">
        <v>4267</v>
      </c>
      <c r="AZ342" s="3" t="s">
        <v>73</v>
      </c>
      <c r="BB342" s="3" t="s">
        <v>4268</v>
      </c>
      <c r="BC342" s="3" t="s">
        <v>4269</v>
      </c>
      <c r="BD342" s="3" t="s">
        <v>4270</v>
      </c>
    </row>
    <row r="343" spans="1:56" ht="31.5" customHeight="1" x14ac:dyDescent="0.25">
      <c r="A343" s="7" t="s">
        <v>58</v>
      </c>
      <c r="B343" s="2" t="s">
        <v>4271</v>
      </c>
      <c r="C343" s="2" t="s">
        <v>4272</v>
      </c>
      <c r="D343" s="2" t="s">
        <v>4273</v>
      </c>
      <c r="F343" s="3" t="s">
        <v>58</v>
      </c>
      <c r="G343" s="3" t="s">
        <v>59</v>
      </c>
      <c r="H343" s="3" t="s">
        <v>58</v>
      </c>
      <c r="I343" s="3" t="s">
        <v>58</v>
      </c>
      <c r="J343" s="3" t="s">
        <v>60</v>
      </c>
      <c r="K343" s="2" t="s">
        <v>4274</v>
      </c>
      <c r="L343" s="2" t="s">
        <v>4275</v>
      </c>
      <c r="M343" s="3" t="s">
        <v>82</v>
      </c>
      <c r="O343" s="3" t="s">
        <v>63</v>
      </c>
      <c r="P343" s="3" t="s">
        <v>186</v>
      </c>
      <c r="R343" s="3" t="s">
        <v>65</v>
      </c>
      <c r="S343" s="4">
        <v>2</v>
      </c>
      <c r="T343" s="4">
        <v>2</v>
      </c>
      <c r="U343" s="5" t="s">
        <v>4276</v>
      </c>
      <c r="V343" s="5" t="s">
        <v>4276</v>
      </c>
      <c r="W343" s="5" t="s">
        <v>4276</v>
      </c>
      <c r="X343" s="5" t="s">
        <v>4276</v>
      </c>
      <c r="Y343" s="4">
        <v>230</v>
      </c>
      <c r="Z343" s="4">
        <v>173</v>
      </c>
      <c r="AA343" s="4">
        <v>185</v>
      </c>
      <c r="AB343" s="4">
        <v>1</v>
      </c>
      <c r="AC343" s="4">
        <v>1</v>
      </c>
      <c r="AD343" s="4">
        <v>4</v>
      </c>
      <c r="AE343" s="4">
        <v>6</v>
      </c>
      <c r="AF343" s="4">
        <v>1</v>
      </c>
      <c r="AG343" s="4">
        <v>2</v>
      </c>
      <c r="AH343" s="4">
        <v>3</v>
      </c>
      <c r="AI343" s="4">
        <v>4</v>
      </c>
      <c r="AJ343" s="4">
        <v>2</v>
      </c>
      <c r="AK343" s="4">
        <v>2</v>
      </c>
      <c r="AL343" s="4">
        <v>0</v>
      </c>
      <c r="AM343" s="4">
        <v>0</v>
      </c>
      <c r="AN343" s="4">
        <v>0</v>
      </c>
      <c r="AO343" s="4">
        <v>0</v>
      </c>
      <c r="AP343" s="3" t="s">
        <v>58</v>
      </c>
      <c r="AQ343" s="3" t="s">
        <v>58</v>
      </c>
      <c r="AS343" s="6" t="str">
        <f>HYPERLINK("https://creighton-primo.hosted.exlibrisgroup.com/primo-explore/search?tab=default_tab&amp;search_scope=EVERYTHING&amp;vid=01CRU&amp;lang=en_US&amp;offset=0&amp;query=any,contains,991004181049702656","Catalog Record")</f>
        <v>Catalog Record</v>
      </c>
      <c r="AT343" s="6" t="str">
        <f>HYPERLINK("http://www.worldcat.org/oclc/47216164","WorldCat Record")</f>
        <v>WorldCat Record</v>
      </c>
      <c r="AU343" s="3" t="s">
        <v>4277</v>
      </c>
      <c r="AV343" s="3" t="s">
        <v>4278</v>
      </c>
      <c r="AW343" s="3" t="s">
        <v>4279</v>
      </c>
      <c r="AX343" s="3" t="s">
        <v>4279</v>
      </c>
      <c r="AY343" s="3" t="s">
        <v>4280</v>
      </c>
      <c r="AZ343" s="3" t="s">
        <v>73</v>
      </c>
      <c r="BB343" s="3" t="s">
        <v>4281</v>
      </c>
      <c r="BC343" s="3" t="s">
        <v>4282</v>
      </c>
      <c r="BD343" s="3" t="s">
        <v>4283</v>
      </c>
    </row>
    <row r="344" spans="1:56" ht="31.5" customHeight="1" x14ac:dyDescent="0.25">
      <c r="A344" s="7" t="s">
        <v>58</v>
      </c>
      <c r="B344" s="2" t="s">
        <v>4284</v>
      </c>
      <c r="C344" s="2" t="s">
        <v>4285</v>
      </c>
      <c r="D344" s="2" t="s">
        <v>4286</v>
      </c>
      <c r="F344" s="3" t="s">
        <v>58</v>
      </c>
      <c r="G344" s="3" t="s">
        <v>59</v>
      </c>
      <c r="H344" s="3" t="s">
        <v>58</v>
      </c>
      <c r="I344" s="3" t="s">
        <v>58</v>
      </c>
      <c r="J344" s="3" t="s">
        <v>60</v>
      </c>
      <c r="K344" s="2" t="s">
        <v>4287</v>
      </c>
      <c r="L344" s="2" t="s">
        <v>4288</v>
      </c>
      <c r="M344" s="3" t="s">
        <v>144</v>
      </c>
      <c r="O344" s="3" t="s">
        <v>63</v>
      </c>
      <c r="P344" s="3" t="s">
        <v>186</v>
      </c>
      <c r="R344" s="3" t="s">
        <v>65</v>
      </c>
      <c r="S344" s="4">
        <v>5</v>
      </c>
      <c r="T344" s="4">
        <v>5</v>
      </c>
      <c r="U344" s="5" t="s">
        <v>4289</v>
      </c>
      <c r="V344" s="5" t="s">
        <v>4289</v>
      </c>
      <c r="W344" s="5" t="s">
        <v>3407</v>
      </c>
      <c r="X344" s="5" t="s">
        <v>3407</v>
      </c>
      <c r="Y344" s="4">
        <v>1272</v>
      </c>
      <c r="Z344" s="4">
        <v>1076</v>
      </c>
      <c r="AA344" s="4">
        <v>1116</v>
      </c>
      <c r="AB344" s="4">
        <v>6</v>
      </c>
      <c r="AC344" s="4">
        <v>6</v>
      </c>
      <c r="AD344" s="4">
        <v>18</v>
      </c>
      <c r="AE344" s="4">
        <v>18</v>
      </c>
      <c r="AF344" s="4">
        <v>8</v>
      </c>
      <c r="AG344" s="4">
        <v>8</v>
      </c>
      <c r="AH344" s="4">
        <v>2</v>
      </c>
      <c r="AI344" s="4">
        <v>2</v>
      </c>
      <c r="AJ344" s="4">
        <v>7</v>
      </c>
      <c r="AK344" s="4">
        <v>7</v>
      </c>
      <c r="AL344" s="4">
        <v>4</v>
      </c>
      <c r="AM344" s="4">
        <v>4</v>
      </c>
      <c r="AN344" s="4">
        <v>0</v>
      </c>
      <c r="AO344" s="4">
        <v>0</v>
      </c>
      <c r="AP344" s="3" t="s">
        <v>58</v>
      </c>
      <c r="AQ344" s="3" t="s">
        <v>58</v>
      </c>
      <c r="AS344" s="6" t="str">
        <f>HYPERLINK("https://creighton-primo.hosted.exlibrisgroup.com/primo-explore/search?tab=default_tab&amp;search_scope=EVERYTHING&amp;vid=01CRU&amp;lang=en_US&amp;offset=0&amp;query=any,contains,991005162359702656","Catalog Record")</f>
        <v>Catalog Record</v>
      </c>
      <c r="AT344" s="6" t="str">
        <f>HYPERLINK("http://www.worldcat.org/oclc/7796646","WorldCat Record")</f>
        <v>WorldCat Record</v>
      </c>
      <c r="AU344" s="3" t="s">
        <v>4290</v>
      </c>
      <c r="AV344" s="3" t="s">
        <v>4291</v>
      </c>
      <c r="AW344" s="3" t="s">
        <v>4292</v>
      </c>
      <c r="AX344" s="3" t="s">
        <v>4292</v>
      </c>
      <c r="AY344" s="3" t="s">
        <v>4293</v>
      </c>
      <c r="AZ344" s="3" t="s">
        <v>73</v>
      </c>
      <c r="BB344" s="3" t="s">
        <v>4294</v>
      </c>
      <c r="BC344" s="3" t="s">
        <v>4295</v>
      </c>
      <c r="BD344" s="3" t="s">
        <v>4296</v>
      </c>
    </row>
    <row r="345" spans="1:56" ht="31.5" customHeight="1" x14ac:dyDescent="0.25">
      <c r="A345" s="7" t="s">
        <v>58</v>
      </c>
      <c r="B345" s="2" t="s">
        <v>4297</v>
      </c>
      <c r="C345" s="2" t="s">
        <v>4298</v>
      </c>
      <c r="D345" s="2" t="s">
        <v>4299</v>
      </c>
      <c r="F345" s="3" t="s">
        <v>58</v>
      </c>
      <c r="G345" s="3" t="s">
        <v>59</v>
      </c>
      <c r="H345" s="3" t="s">
        <v>58</v>
      </c>
      <c r="I345" s="3" t="s">
        <v>58</v>
      </c>
      <c r="J345" s="3" t="s">
        <v>60</v>
      </c>
      <c r="L345" s="2" t="s">
        <v>4300</v>
      </c>
      <c r="M345" s="3" t="s">
        <v>230</v>
      </c>
      <c r="O345" s="3" t="s">
        <v>63</v>
      </c>
      <c r="P345" s="3" t="s">
        <v>444</v>
      </c>
      <c r="R345" s="3" t="s">
        <v>65</v>
      </c>
      <c r="S345" s="4">
        <v>2</v>
      </c>
      <c r="T345" s="4">
        <v>2</v>
      </c>
      <c r="U345" s="5" t="s">
        <v>4301</v>
      </c>
      <c r="V345" s="5" t="s">
        <v>4301</v>
      </c>
      <c r="W345" s="5" t="s">
        <v>2091</v>
      </c>
      <c r="X345" s="5" t="s">
        <v>2091</v>
      </c>
      <c r="Y345" s="4">
        <v>46</v>
      </c>
      <c r="Z345" s="4">
        <v>41</v>
      </c>
      <c r="AA345" s="4">
        <v>44</v>
      </c>
      <c r="AB345" s="4">
        <v>1</v>
      </c>
      <c r="AC345" s="4">
        <v>1</v>
      </c>
      <c r="AD345" s="4">
        <v>2</v>
      </c>
      <c r="AE345" s="4">
        <v>2</v>
      </c>
      <c r="AF345" s="4">
        <v>1</v>
      </c>
      <c r="AG345" s="4">
        <v>1</v>
      </c>
      <c r="AH345" s="4">
        <v>0</v>
      </c>
      <c r="AI345" s="4">
        <v>0</v>
      </c>
      <c r="AJ345" s="4">
        <v>2</v>
      </c>
      <c r="AK345" s="4">
        <v>2</v>
      </c>
      <c r="AL345" s="4">
        <v>0</v>
      </c>
      <c r="AM345" s="4">
        <v>0</v>
      </c>
      <c r="AN345" s="4">
        <v>0</v>
      </c>
      <c r="AO345" s="4">
        <v>0</v>
      </c>
      <c r="AP345" s="3" t="s">
        <v>58</v>
      </c>
      <c r="AQ345" s="3" t="s">
        <v>68</v>
      </c>
      <c r="AR345" s="6" t="str">
        <f>HYPERLINK("http://catalog.hathitrust.org/Record/000301754","HathiTrust Record")</f>
        <v>HathiTrust Record</v>
      </c>
      <c r="AS345" s="6" t="str">
        <f>HYPERLINK("https://creighton-primo.hosted.exlibrisgroup.com/primo-explore/search?tab=default_tab&amp;search_scope=EVERYTHING&amp;vid=01CRU&amp;lang=en_US&amp;offset=0&amp;query=any,contains,991004760099702656","Catalog Record")</f>
        <v>Catalog Record</v>
      </c>
      <c r="AT345" s="6" t="str">
        <f>HYPERLINK("http://www.worldcat.org/oclc/4992934","WorldCat Record")</f>
        <v>WorldCat Record</v>
      </c>
      <c r="AU345" s="3" t="s">
        <v>4302</v>
      </c>
      <c r="AV345" s="3" t="s">
        <v>4303</v>
      </c>
      <c r="AW345" s="3" t="s">
        <v>4304</v>
      </c>
      <c r="AX345" s="3" t="s">
        <v>4304</v>
      </c>
      <c r="AY345" s="3" t="s">
        <v>4305</v>
      </c>
      <c r="AZ345" s="3" t="s">
        <v>73</v>
      </c>
      <c r="BC345" s="3" t="s">
        <v>4306</v>
      </c>
      <c r="BD345" s="3" t="s">
        <v>4307</v>
      </c>
    </row>
    <row r="346" spans="1:56" ht="31.5" customHeight="1" x14ac:dyDescent="0.25">
      <c r="A346" s="7" t="s">
        <v>58</v>
      </c>
      <c r="B346" s="2" t="s">
        <v>4308</v>
      </c>
      <c r="C346" s="2" t="s">
        <v>4309</v>
      </c>
      <c r="D346" s="2" t="s">
        <v>4310</v>
      </c>
      <c r="F346" s="3" t="s">
        <v>58</v>
      </c>
      <c r="G346" s="3" t="s">
        <v>59</v>
      </c>
      <c r="H346" s="3" t="s">
        <v>58</v>
      </c>
      <c r="I346" s="3" t="s">
        <v>58</v>
      </c>
      <c r="J346" s="3" t="s">
        <v>60</v>
      </c>
      <c r="K346" s="2" t="s">
        <v>4311</v>
      </c>
      <c r="L346" s="2" t="s">
        <v>4312</v>
      </c>
      <c r="M346" s="3" t="s">
        <v>257</v>
      </c>
      <c r="O346" s="3" t="s">
        <v>63</v>
      </c>
      <c r="P346" s="3" t="s">
        <v>64</v>
      </c>
      <c r="R346" s="3" t="s">
        <v>65</v>
      </c>
      <c r="S346" s="4">
        <v>3</v>
      </c>
      <c r="T346" s="4">
        <v>3</v>
      </c>
      <c r="U346" s="5" t="s">
        <v>4313</v>
      </c>
      <c r="V346" s="5" t="s">
        <v>4313</v>
      </c>
      <c r="W346" s="5" t="s">
        <v>4314</v>
      </c>
      <c r="X346" s="5" t="s">
        <v>4314</v>
      </c>
      <c r="Y346" s="4">
        <v>434</v>
      </c>
      <c r="Z346" s="4">
        <v>421</v>
      </c>
      <c r="AA346" s="4">
        <v>450</v>
      </c>
      <c r="AB346" s="4">
        <v>3</v>
      </c>
      <c r="AC346" s="4">
        <v>3</v>
      </c>
      <c r="AD346" s="4">
        <v>19</v>
      </c>
      <c r="AE346" s="4">
        <v>20</v>
      </c>
      <c r="AF346" s="4">
        <v>11</v>
      </c>
      <c r="AG346" s="4">
        <v>12</v>
      </c>
      <c r="AH346" s="4">
        <v>4</v>
      </c>
      <c r="AI346" s="4">
        <v>4</v>
      </c>
      <c r="AJ346" s="4">
        <v>6</v>
      </c>
      <c r="AK346" s="4">
        <v>7</v>
      </c>
      <c r="AL346" s="4">
        <v>2</v>
      </c>
      <c r="AM346" s="4">
        <v>2</v>
      </c>
      <c r="AN346" s="4">
        <v>0</v>
      </c>
      <c r="AO346" s="4">
        <v>0</v>
      </c>
      <c r="AP346" s="3" t="s">
        <v>58</v>
      </c>
      <c r="AQ346" s="3" t="s">
        <v>68</v>
      </c>
      <c r="AR346" s="6" t="str">
        <f>HYPERLINK("http://catalog.hathitrust.org/Record/008442292","HathiTrust Record")</f>
        <v>HathiTrust Record</v>
      </c>
      <c r="AS346" s="6" t="str">
        <f>HYPERLINK("https://creighton-primo.hosted.exlibrisgroup.com/primo-explore/search?tab=default_tab&amp;search_scope=EVERYTHING&amp;vid=01CRU&amp;lang=en_US&amp;offset=0&amp;query=any,contains,991002842249702656","Catalog Record")</f>
        <v>Catalog Record</v>
      </c>
      <c r="AT346" s="6" t="str">
        <f>HYPERLINK("http://www.worldcat.org/oclc/37443322","WorldCat Record")</f>
        <v>WorldCat Record</v>
      </c>
      <c r="AU346" s="3" t="s">
        <v>4315</v>
      </c>
      <c r="AV346" s="3" t="s">
        <v>4316</v>
      </c>
      <c r="AW346" s="3" t="s">
        <v>4317</v>
      </c>
      <c r="AX346" s="3" t="s">
        <v>4317</v>
      </c>
      <c r="AY346" s="3" t="s">
        <v>4318</v>
      </c>
      <c r="AZ346" s="3" t="s">
        <v>73</v>
      </c>
      <c r="BB346" s="3" t="s">
        <v>4319</v>
      </c>
      <c r="BC346" s="3" t="s">
        <v>4320</v>
      </c>
      <c r="BD346" s="3" t="s">
        <v>4321</v>
      </c>
    </row>
    <row r="347" spans="1:56" ht="31.5" customHeight="1" x14ac:dyDescent="0.25">
      <c r="A347" s="7" t="s">
        <v>58</v>
      </c>
      <c r="B347" s="2" t="s">
        <v>4322</v>
      </c>
      <c r="C347" s="2" t="s">
        <v>4323</v>
      </c>
      <c r="D347" s="2" t="s">
        <v>4324</v>
      </c>
      <c r="F347" s="3" t="s">
        <v>58</v>
      </c>
      <c r="G347" s="3" t="s">
        <v>59</v>
      </c>
      <c r="H347" s="3" t="s">
        <v>58</v>
      </c>
      <c r="I347" s="3" t="s">
        <v>58</v>
      </c>
      <c r="J347" s="3" t="s">
        <v>60</v>
      </c>
      <c r="K347" s="2" t="s">
        <v>4325</v>
      </c>
      <c r="L347" s="2" t="s">
        <v>4326</v>
      </c>
      <c r="M347" s="3" t="s">
        <v>2546</v>
      </c>
      <c r="O347" s="3" t="s">
        <v>63</v>
      </c>
      <c r="P347" s="3" t="s">
        <v>1152</v>
      </c>
      <c r="R347" s="3" t="s">
        <v>65</v>
      </c>
      <c r="S347" s="4">
        <v>4</v>
      </c>
      <c r="T347" s="4">
        <v>4</v>
      </c>
      <c r="U347" s="5" t="s">
        <v>4327</v>
      </c>
      <c r="V347" s="5" t="s">
        <v>4327</v>
      </c>
      <c r="W347" s="5" t="s">
        <v>4328</v>
      </c>
      <c r="X347" s="5" t="s">
        <v>4328</v>
      </c>
      <c r="Y347" s="4">
        <v>268</v>
      </c>
      <c r="Z347" s="4">
        <v>228</v>
      </c>
      <c r="AA347" s="4">
        <v>228</v>
      </c>
      <c r="AB347" s="4">
        <v>3</v>
      </c>
      <c r="AC347" s="4">
        <v>3</v>
      </c>
      <c r="AD347" s="4">
        <v>8</v>
      </c>
      <c r="AE347" s="4">
        <v>8</v>
      </c>
      <c r="AF347" s="4">
        <v>3</v>
      </c>
      <c r="AG347" s="4">
        <v>3</v>
      </c>
      <c r="AH347" s="4">
        <v>2</v>
      </c>
      <c r="AI347" s="4">
        <v>2</v>
      </c>
      <c r="AJ347" s="4">
        <v>3</v>
      </c>
      <c r="AK347" s="4">
        <v>3</v>
      </c>
      <c r="AL347" s="4">
        <v>2</v>
      </c>
      <c r="AM347" s="4">
        <v>2</v>
      </c>
      <c r="AN347" s="4">
        <v>0</v>
      </c>
      <c r="AO347" s="4">
        <v>0</v>
      </c>
      <c r="AP347" s="3" t="s">
        <v>58</v>
      </c>
      <c r="AQ347" s="3" t="s">
        <v>58</v>
      </c>
      <c r="AS347" s="6" t="str">
        <f>HYPERLINK("https://creighton-primo.hosted.exlibrisgroup.com/primo-explore/search?tab=default_tab&amp;search_scope=EVERYTHING&amp;vid=01CRU&amp;lang=en_US&amp;offset=0&amp;query=any,contains,991003586789702656","Catalog Record")</f>
        <v>Catalog Record</v>
      </c>
      <c r="AT347" s="6" t="str">
        <f>HYPERLINK("http://www.worldcat.org/oclc/45956434","WorldCat Record")</f>
        <v>WorldCat Record</v>
      </c>
      <c r="AU347" s="3" t="s">
        <v>4329</v>
      </c>
      <c r="AV347" s="3" t="s">
        <v>4330</v>
      </c>
      <c r="AW347" s="3" t="s">
        <v>4331</v>
      </c>
      <c r="AX347" s="3" t="s">
        <v>4331</v>
      </c>
      <c r="AY347" s="3" t="s">
        <v>4332</v>
      </c>
      <c r="AZ347" s="3" t="s">
        <v>73</v>
      </c>
      <c r="BB347" s="3" t="s">
        <v>4333</v>
      </c>
      <c r="BC347" s="3" t="s">
        <v>4334</v>
      </c>
      <c r="BD347" s="3" t="s">
        <v>4335</v>
      </c>
    </row>
    <row r="348" spans="1:56" ht="31.5" customHeight="1" x14ac:dyDescent="0.25">
      <c r="A348" s="7" t="s">
        <v>58</v>
      </c>
      <c r="B348" s="2" t="s">
        <v>4336</v>
      </c>
      <c r="C348" s="2" t="s">
        <v>4337</v>
      </c>
      <c r="D348" s="2" t="s">
        <v>4338</v>
      </c>
      <c r="F348" s="3" t="s">
        <v>58</v>
      </c>
      <c r="G348" s="3" t="s">
        <v>59</v>
      </c>
      <c r="H348" s="3" t="s">
        <v>58</v>
      </c>
      <c r="I348" s="3" t="s">
        <v>58</v>
      </c>
      <c r="J348" s="3" t="s">
        <v>60</v>
      </c>
      <c r="K348" s="2" t="s">
        <v>4339</v>
      </c>
      <c r="L348" s="2" t="s">
        <v>4340</v>
      </c>
      <c r="M348" s="3" t="s">
        <v>144</v>
      </c>
      <c r="O348" s="3" t="s">
        <v>63</v>
      </c>
      <c r="P348" s="3" t="s">
        <v>186</v>
      </c>
      <c r="Q348" s="2" t="s">
        <v>660</v>
      </c>
      <c r="R348" s="3" t="s">
        <v>65</v>
      </c>
      <c r="S348" s="4">
        <v>1</v>
      </c>
      <c r="T348" s="4">
        <v>1</v>
      </c>
      <c r="U348" s="5" t="s">
        <v>4341</v>
      </c>
      <c r="V348" s="5" t="s">
        <v>4341</v>
      </c>
      <c r="W348" s="5" t="s">
        <v>3407</v>
      </c>
      <c r="X348" s="5" t="s">
        <v>3407</v>
      </c>
      <c r="Y348" s="4">
        <v>280</v>
      </c>
      <c r="Z348" s="4">
        <v>198</v>
      </c>
      <c r="AA348" s="4">
        <v>204</v>
      </c>
      <c r="AB348" s="4">
        <v>1</v>
      </c>
      <c r="AC348" s="4">
        <v>1</v>
      </c>
      <c r="AD348" s="4">
        <v>6</v>
      </c>
      <c r="AE348" s="4">
        <v>6</v>
      </c>
      <c r="AF348" s="4">
        <v>0</v>
      </c>
      <c r="AG348" s="4">
        <v>0</v>
      </c>
      <c r="AH348" s="4">
        <v>1</v>
      </c>
      <c r="AI348" s="4">
        <v>1</v>
      </c>
      <c r="AJ348" s="4">
        <v>4</v>
      </c>
      <c r="AK348" s="4">
        <v>4</v>
      </c>
      <c r="AL348" s="4">
        <v>1</v>
      </c>
      <c r="AM348" s="4">
        <v>1</v>
      </c>
      <c r="AN348" s="4">
        <v>0</v>
      </c>
      <c r="AO348" s="4">
        <v>0</v>
      </c>
      <c r="AP348" s="3" t="s">
        <v>58</v>
      </c>
      <c r="AQ348" s="3" t="s">
        <v>68</v>
      </c>
      <c r="AR348" s="6" t="str">
        <f>HYPERLINK("http://catalog.hathitrust.org/Record/000240717","HathiTrust Record")</f>
        <v>HathiTrust Record</v>
      </c>
      <c r="AS348" s="6" t="str">
        <f>HYPERLINK("https://creighton-primo.hosted.exlibrisgroup.com/primo-explore/search?tab=default_tab&amp;search_scope=EVERYTHING&amp;vid=01CRU&amp;lang=en_US&amp;offset=0&amp;query=any,contains,991000072859702656","Catalog Record")</f>
        <v>Catalog Record</v>
      </c>
      <c r="AT348" s="6" t="str">
        <f>HYPERLINK("http://www.worldcat.org/oclc/8787800","WorldCat Record")</f>
        <v>WorldCat Record</v>
      </c>
      <c r="AU348" s="3" t="s">
        <v>4342</v>
      </c>
      <c r="AV348" s="3" t="s">
        <v>4343</v>
      </c>
      <c r="AW348" s="3" t="s">
        <v>4344</v>
      </c>
      <c r="AX348" s="3" t="s">
        <v>4344</v>
      </c>
      <c r="AY348" s="3" t="s">
        <v>4345</v>
      </c>
      <c r="AZ348" s="3" t="s">
        <v>73</v>
      </c>
      <c r="BB348" s="3" t="s">
        <v>4346</v>
      </c>
      <c r="BC348" s="3" t="s">
        <v>4347</v>
      </c>
      <c r="BD348" s="3" t="s">
        <v>4348</v>
      </c>
    </row>
    <row r="349" spans="1:56" ht="31.5" customHeight="1" x14ac:dyDescent="0.25">
      <c r="A349" s="7" t="s">
        <v>58</v>
      </c>
      <c r="B349" s="2" t="s">
        <v>4349</v>
      </c>
      <c r="C349" s="2" t="s">
        <v>4350</v>
      </c>
      <c r="D349" s="2" t="s">
        <v>4351</v>
      </c>
      <c r="F349" s="3" t="s">
        <v>58</v>
      </c>
      <c r="G349" s="3" t="s">
        <v>59</v>
      </c>
      <c r="H349" s="3" t="s">
        <v>58</v>
      </c>
      <c r="I349" s="3" t="s">
        <v>58</v>
      </c>
      <c r="J349" s="3" t="s">
        <v>60</v>
      </c>
      <c r="K349" s="2" t="s">
        <v>4352</v>
      </c>
      <c r="L349" s="2" t="s">
        <v>4353</v>
      </c>
      <c r="M349" s="3" t="s">
        <v>1912</v>
      </c>
      <c r="O349" s="3" t="s">
        <v>63</v>
      </c>
      <c r="P349" s="3" t="s">
        <v>186</v>
      </c>
      <c r="R349" s="3" t="s">
        <v>65</v>
      </c>
      <c r="S349" s="4">
        <v>4</v>
      </c>
      <c r="T349" s="4">
        <v>4</v>
      </c>
      <c r="U349" s="5" t="s">
        <v>245</v>
      </c>
      <c r="V349" s="5" t="s">
        <v>245</v>
      </c>
      <c r="W349" s="5" t="s">
        <v>4354</v>
      </c>
      <c r="X349" s="5" t="s">
        <v>4354</v>
      </c>
      <c r="Y349" s="4">
        <v>338</v>
      </c>
      <c r="Z349" s="4">
        <v>259</v>
      </c>
      <c r="AA349" s="4">
        <v>261</v>
      </c>
      <c r="AB349" s="4">
        <v>3</v>
      </c>
      <c r="AC349" s="4">
        <v>3</v>
      </c>
      <c r="AD349" s="4">
        <v>8</v>
      </c>
      <c r="AE349" s="4">
        <v>8</v>
      </c>
      <c r="AF349" s="4">
        <v>3</v>
      </c>
      <c r="AG349" s="4">
        <v>3</v>
      </c>
      <c r="AH349" s="4">
        <v>2</v>
      </c>
      <c r="AI349" s="4">
        <v>2</v>
      </c>
      <c r="AJ349" s="4">
        <v>3</v>
      </c>
      <c r="AK349" s="4">
        <v>3</v>
      </c>
      <c r="AL349" s="4">
        <v>2</v>
      </c>
      <c r="AM349" s="4">
        <v>2</v>
      </c>
      <c r="AN349" s="4">
        <v>0</v>
      </c>
      <c r="AO349" s="4">
        <v>0</v>
      </c>
      <c r="AP349" s="3" t="s">
        <v>58</v>
      </c>
      <c r="AQ349" s="3" t="s">
        <v>68</v>
      </c>
      <c r="AR349" s="6" t="str">
        <f>HYPERLINK("http://catalog.hathitrust.org/Record/000479210","HathiTrust Record")</f>
        <v>HathiTrust Record</v>
      </c>
      <c r="AS349" s="6" t="str">
        <f>HYPERLINK("https://creighton-primo.hosted.exlibrisgroup.com/primo-explore/search?tab=default_tab&amp;search_scope=EVERYTHING&amp;vid=01CRU&amp;lang=en_US&amp;offset=0&amp;query=any,contains,991000611599702656","Catalog Record")</f>
        <v>Catalog Record</v>
      </c>
      <c r="AT349" s="6" t="str">
        <f>HYPERLINK("http://www.worldcat.org/oclc/11916051","WorldCat Record")</f>
        <v>WorldCat Record</v>
      </c>
      <c r="AU349" s="3" t="s">
        <v>4355</v>
      </c>
      <c r="AV349" s="3" t="s">
        <v>4356</v>
      </c>
      <c r="AW349" s="3" t="s">
        <v>4357</v>
      </c>
      <c r="AX349" s="3" t="s">
        <v>4357</v>
      </c>
      <c r="AY349" s="3" t="s">
        <v>4358</v>
      </c>
      <c r="AZ349" s="3" t="s">
        <v>73</v>
      </c>
      <c r="BB349" s="3" t="s">
        <v>4359</v>
      </c>
      <c r="BC349" s="3" t="s">
        <v>4360</v>
      </c>
      <c r="BD349" s="3" t="s">
        <v>4361</v>
      </c>
    </row>
    <row r="350" spans="1:56" ht="31.5" customHeight="1" x14ac:dyDescent="0.25">
      <c r="A350" s="7" t="s">
        <v>58</v>
      </c>
      <c r="B350" s="2" t="s">
        <v>4362</v>
      </c>
      <c r="C350" s="2" t="s">
        <v>4363</v>
      </c>
      <c r="D350" s="2" t="s">
        <v>4364</v>
      </c>
      <c r="F350" s="3" t="s">
        <v>58</v>
      </c>
      <c r="G350" s="3" t="s">
        <v>59</v>
      </c>
      <c r="H350" s="3" t="s">
        <v>58</v>
      </c>
      <c r="I350" s="3" t="s">
        <v>58</v>
      </c>
      <c r="J350" s="3" t="s">
        <v>60</v>
      </c>
      <c r="K350" s="2" t="s">
        <v>4365</v>
      </c>
      <c r="L350" s="2" t="s">
        <v>4366</v>
      </c>
      <c r="M350" s="3" t="s">
        <v>257</v>
      </c>
      <c r="O350" s="3" t="s">
        <v>63</v>
      </c>
      <c r="P350" s="3" t="s">
        <v>129</v>
      </c>
      <c r="R350" s="3" t="s">
        <v>65</v>
      </c>
      <c r="S350" s="4">
        <v>2</v>
      </c>
      <c r="T350" s="4">
        <v>2</v>
      </c>
      <c r="U350" s="5" t="s">
        <v>4367</v>
      </c>
      <c r="V350" s="5" t="s">
        <v>4367</v>
      </c>
      <c r="W350" s="5" t="s">
        <v>4368</v>
      </c>
      <c r="X350" s="5" t="s">
        <v>4368</v>
      </c>
      <c r="Y350" s="4">
        <v>780</v>
      </c>
      <c r="Z350" s="4">
        <v>727</v>
      </c>
      <c r="AA350" s="4">
        <v>813</v>
      </c>
      <c r="AB350" s="4">
        <v>6</v>
      </c>
      <c r="AC350" s="4">
        <v>7</v>
      </c>
      <c r="AD350" s="4">
        <v>17</v>
      </c>
      <c r="AE350" s="4">
        <v>18</v>
      </c>
      <c r="AF350" s="4">
        <v>4</v>
      </c>
      <c r="AG350" s="4">
        <v>4</v>
      </c>
      <c r="AH350" s="4">
        <v>3</v>
      </c>
      <c r="AI350" s="4">
        <v>3</v>
      </c>
      <c r="AJ350" s="4">
        <v>9</v>
      </c>
      <c r="AK350" s="4">
        <v>9</v>
      </c>
      <c r="AL350" s="4">
        <v>4</v>
      </c>
      <c r="AM350" s="4">
        <v>5</v>
      </c>
      <c r="AN350" s="4">
        <v>0</v>
      </c>
      <c r="AO350" s="4">
        <v>0</v>
      </c>
      <c r="AP350" s="3" t="s">
        <v>58</v>
      </c>
      <c r="AQ350" s="3" t="s">
        <v>68</v>
      </c>
      <c r="AR350" s="6" t="str">
        <f>HYPERLINK("http://catalog.hathitrust.org/Record/003126532","HathiTrust Record")</f>
        <v>HathiTrust Record</v>
      </c>
      <c r="AS350" s="6" t="str">
        <f>HYPERLINK("https://creighton-primo.hosted.exlibrisgroup.com/primo-explore/search?tab=default_tab&amp;search_scope=EVERYTHING&amp;vid=01CRU&amp;lang=en_US&amp;offset=0&amp;query=any,contains,991002702749702656","Catalog Record")</f>
        <v>Catalog Record</v>
      </c>
      <c r="AT350" s="6" t="str">
        <f>HYPERLINK("http://www.worldcat.org/oclc/35285447","WorldCat Record")</f>
        <v>WorldCat Record</v>
      </c>
      <c r="AU350" s="3" t="s">
        <v>4369</v>
      </c>
      <c r="AV350" s="3" t="s">
        <v>4370</v>
      </c>
      <c r="AW350" s="3" t="s">
        <v>4371</v>
      </c>
      <c r="AX350" s="3" t="s">
        <v>4371</v>
      </c>
      <c r="AY350" s="3" t="s">
        <v>4372</v>
      </c>
      <c r="AZ350" s="3" t="s">
        <v>73</v>
      </c>
      <c r="BB350" s="3" t="s">
        <v>4373</v>
      </c>
      <c r="BC350" s="3" t="s">
        <v>4374</v>
      </c>
      <c r="BD350" s="3" t="s">
        <v>4375</v>
      </c>
    </row>
    <row r="351" spans="1:56" ht="31.5" customHeight="1" x14ac:dyDescent="0.25">
      <c r="A351" s="7" t="s">
        <v>58</v>
      </c>
      <c r="B351" s="2" t="s">
        <v>4376</v>
      </c>
      <c r="C351" s="2" t="s">
        <v>4377</v>
      </c>
      <c r="D351" s="2" t="s">
        <v>4378</v>
      </c>
      <c r="F351" s="3" t="s">
        <v>58</v>
      </c>
      <c r="G351" s="3" t="s">
        <v>59</v>
      </c>
      <c r="H351" s="3" t="s">
        <v>58</v>
      </c>
      <c r="I351" s="3" t="s">
        <v>68</v>
      </c>
      <c r="J351" s="3" t="s">
        <v>60</v>
      </c>
      <c r="K351" s="2" t="s">
        <v>4379</v>
      </c>
      <c r="L351" s="2" t="s">
        <v>4380</v>
      </c>
      <c r="M351" s="3" t="s">
        <v>144</v>
      </c>
      <c r="O351" s="3" t="s">
        <v>63</v>
      </c>
      <c r="P351" s="3" t="s">
        <v>186</v>
      </c>
      <c r="R351" s="3" t="s">
        <v>65</v>
      </c>
      <c r="S351" s="4">
        <v>2</v>
      </c>
      <c r="T351" s="4">
        <v>2</v>
      </c>
      <c r="U351" s="5" t="s">
        <v>4381</v>
      </c>
      <c r="V351" s="5" t="s">
        <v>4381</v>
      </c>
      <c r="W351" s="5" t="s">
        <v>3407</v>
      </c>
      <c r="X351" s="5" t="s">
        <v>3407</v>
      </c>
      <c r="Y351" s="4">
        <v>559</v>
      </c>
      <c r="Z351" s="4">
        <v>477</v>
      </c>
      <c r="AA351" s="4">
        <v>776</v>
      </c>
      <c r="AB351" s="4">
        <v>2</v>
      </c>
      <c r="AC351" s="4">
        <v>4</v>
      </c>
      <c r="AD351" s="4">
        <v>10</v>
      </c>
      <c r="AE351" s="4">
        <v>19</v>
      </c>
      <c r="AF351" s="4">
        <v>4</v>
      </c>
      <c r="AG351" s="4">
        <v>6</v>
      </c>
      <c r="AH351" s="4">
        <v>3</v>
      </c>
      <c r="AI351" s="4">
        <v>5</v>
      </c>
      <c r="AJ351" s="4">
        <v>3</v>
      </c>
      <c r="AK351" s="4">
        <v>8</v>
      </c>
      <c r="AL351" s="4">
        <v>1</v>
      </c>
      <c r="AM351" s="4">
        <v>3</v>
      </c>
      <c r="AN351" s="4">
        <v>0</v>
      </c>
      <c r="AO351" s="4">
        <v>0</v>
      </c>
      <c r="AP351" s="3" t="s">
        <v>58</v>
      </c>
      <c r="AQ351" s="3" t="s">
        <v>58</v>
      </c>
      <c r="AS351" s="6" t="str">
        <f>HYPERLINK("https://creighton-primo.hosted.exlibrisgroup.com/primo-explore/search?tab=default_tab&amp;search_scope=EVERYTHING&amp;vid=01CRU&amp;lang=en_US&amp;offset=0&amp;query=any,contains,991005242389702656","Catalog Record")</f>
        <v>Catalog Record</v>
      </c>
      <c r="AT351" s="6" t="str">
        <f>HYPERLINK("http://www.worldcat.org/oclc/8430661","WorldCat Record")</f>
        <v>WorldCat Record</v>
      </c>
      <c r="AU351" s="3" t="s">
        <v>4382</v>
      </c>
      <c r="AV351" s="3" t="s">
        <v>4383</v>
      </c>
      <c r="AW351" s="3" t="s">
        <v>4384</v>
      </c>
      <c r="AX351" s="3" t="s">
        <v>4384</v>
      </c>
      <c r="AY351" s="3" t="s">
        <v>4385</v>
      </c>
      <c r="AZ351" s="3" t="s">
        <v>73</v>
      </c>
      <c r="BB351" s="3" t="s">
        <v>4386</v>
      </c>
      <c r="BC351" s="3" t="s">
        <v>4387</v>
      </c>
      <c r="BD351" s="3" t="s">
        <v>4388</v>
      </c>
    </row>
    <row r="352" spans="1:56" ht="31.5" customHeight="1" x14ac:dyDescent="0.25">
      <c r="A352" s="7" t="s">
        <v>58</v>
      </c>
      <c r="B352" s="2" t="s">
        <v>4389</v>
      </c>
      <c r="C352" s="2" t="s">
        <v>4390</v>
      </c>
      <c r="D352" s="2" t="s">
        <v>4391</v>
      </c>
      <c r="F352" s="3" t="s">
        <v>58</v>
      </c>
      <c r="G352" s="3" t="s">
        <v>59</v>
      </c>
      <c r="H352" s="3" t="s">
        <v>58</v>
      </c>
      <c r="I352" s="3" t="s">
        <v>68</v>
      </c>
      <c r="J352" s="3" t="s">
        <v>60</v>
      </c>
      <c r="K352" s="2" t="s">
        <v>314</v>
      </c>
      <c r="L352" s="2" t="s">
        <v>3986</v>
      </c>
      <c r="M352" s="3" t="s">
        <v>2353</v>
      </c>
      <c r="N352" s="2" t="s">
        <v>4392</v>
      </c>
      <c r="O352" s="3" t="s">
        <v>63</v>
      </c>
      <c r="P352" s="3" t="s">
        <v>186</v>
      </c>
      <c r="R352" s="3" t="s">
        <v>65</v>
      </c>
      <c r="S352" s="4">
        <v>2</v>
      </c>
      <c r="T352" s="4">
        <v>2</v>
      </c>
      <c r="U352" s="5" t="s">
        <v>4381</v>
      </c>
      <c r="V352" s="5" t="s">
        <v>4381</v>
      </c>
      <c r="W352" s="5" t="s">
        <v>1524</v>
      </c>
      <c r="X352" s="5" t="s">
        <v>1524</v>
      </c>
      <c r="Y352" s="4">
        <v>23</v>
      </c>
      <c r="Z352" s="4">
        <v>8</v>
      </c>
      <c r="AA352" s="4">
        <v>776</v>
      </c>
      <c r="AB352" s="4">
        <v>1</v>
      </c>
      <c r="AC352" s="4">
        <v>4</v>
      </c>
      <c r="AD352" s="4">
        <v>0</v>
      </c>
      <c r="AE352" s="4">
        <v>19</v>
      </c>
      <c r="AF352" s="4">
        <v>0</v>
      </c>
      <c r="AG352" s="4">
        <v>6</v>
      </c>
      <c r="AH352" s="4">
        <v>0</v>
      </c>
      <c r="AI352" s="4">
        <v>5</v>
      </c>
      <c r="AJ352" s="4">
        <v>0</v>
      </c>
      <c r="AK352" s="4">
        <v>8</v>
      </c>
      <c r="AL352" s="4">
        <v>0</v>
      </c>
      <c r="AM352" s="4">
        <v>3</v>
      </c>
      <c r="AN352" s="4">
        <v>0</v>
      </c>
      <c r="AO352" s="4">
        <v>0</v>
      </c>
      <c r="AP352" s="3" t="s">
        <v>58</v>
      </c>
      <c r="AQ352" s="3" t="s">
        <v>58</v>
      </c>
      <c r="AS352" s="6" t="str">
        <f>HYPERLINK("https://creighton-primo.hosted.exlibrisgroup.com/primo-explore/search?tab=default_tab&amp;search_scope=EVERYTHING&amp;vid=01CRU&amp;lang=en_US&amp;offset=0&amp;query=any,contains,991000750859702656","Catalog Record")</f>
        <v>Catalog Record</v>
      </c>
      <c r="AT352" s="6" t="str">
        <f>HYPERLINK("http://www.worldcat.org/oclc/12921042","WorldCat Record")</f>
        <v>WorldCat Record</v>
      </c>
      <c r="AU352" s="3" t="s">
        <v>4382</v>
      </c>
      <c r="AV352" s="3" t="s">
        <v>4393</v>
      </c>
      <c r="AW352" s="3" t="s">
        <v>4394</v>
      </c>
      <c r="AX352" s="3" t="s">
        <v>4394</v>
      </c>
      <c r="AY352" s="3" t="s">
        <v>4395</v>
      </c>
      <c r="AZ352" s="3" t="s">
        <v>73</v>
      </c>
      <c r="BC352" s="3" t="s">
        <v>4396</v>
      </c>
      <c r="BD352" s="3" t="s">
        <v>4397</v>
      </c>
    </row>
    <row r="353" spans="1:56" ht="31.5" customHeight="1" x14ac:dyDescent="0.25">
      <c r="A353" s="7" t="s">
        <v>58</v>
      </c>
      <c r="B353" s="2" t="s">
        <v>4398</v>
      </c>
      <c r="C353" s="2" t="s">
        <v>4399</v>
      </c>
      <c r="D353" s="2" t="s">
        <v>4400</v>
      </c>
      <c r="E353" s="3" t="s">
        <v>526</v>
      </c>
      <c r="F353" s="3" t="s">
        <v>68</v>
      </c>
      <c r="G353" s="3" t="s">
        <v>59</v>
      </c>
      <c r="H353" s="3" t="s">
        <v>58</v>
      </c>
      <c r="I353" s="3" t="s">
        <v>58</v>
      </c>
      <c r="J353" s="3" t="s">
        <v>60</v>
      </c>
      <c r="K353" s="2" t="s">
        <v>4401</v>
      </c>
      <c r="L353" s="2" t="s">
        <v>4402</v>
      </c>
      <c r="M353" s="3" t="s">
        <v>344</v>
      </c>
      <c r="N353" s="2" t="s">
        <v>4403</v>
      </c>
      <c r="O353" s="3" t="s">
        <v>63</v>
      </c>
      <c r="P353" s="3" t="s">
        <v>186</v>
      </c>
      <c r="Q353" s="2" t="s">
        <v>4404</v>
      </c>
      <c r="R353" s="3" t="s">
        <v>65</v>
      </c>
      <c r="S353" s="4">
        <v>5</v>
      </c>
      <c r="T353" s="4">
        <v>10</v>
      </c>
      <c r="U353" s="5" t="s">
        <v>4405</v>
      </c>
      <c r="V353" s="5" t="s">
        <v>4405</v>
      </c>
      <c r="W353" s="5" t="s">
        <v>4406</v>
      </c>
      <c r="X353" s="5" t="s">
        <v>4407</v>
      </c>
      <c r="Y353" s="4">
        <v>330</v>
      </c>
      <c r="Z353" s="4">
        <v>293</v>
      </c>
      <c r="AA353" s="4">
        <v>299</v>
      </c>
      <c r="AB353" s="4">
        <v>2</v>
      </c>
      <c r="AC353" s="4">
        <v>2</v>
      </c>
      <c r="AD353" s="4">
        <v>9</v>
      </c>
      <c r="AE353" s="4">
        <v>9</v>
      </c>
      <c r="AF353" s="4">
        <v>3</v>
      </c>
      <c r="AG353" s="4">
        <v>3</v>
      </c>
      <c r="AH353" s="4">
        <v>4</v>
      </c>
      <c r="AI353" s="4">
        <v>4</v>
      </c>
      <c r="AJ353" s="4">
        <v>4</v>
      </c>
      <c r="AK353" s="4">
        <v>4</v>
      </c>
      <c r="AL353" s="4">
        <v>1</v>
      </c>
      <c r="AM353" s="4">
        <v>1</v>
      </c>
      <c r="AN353" s="4">
        <v>0</v>
      </c>
      <c r="AO353" s="4">
        <v>0</v>
      </c>
      <c r="AP353" s="3" t="s">
        <v>58</v>
      </c>
      <c r="AQ353" s="3" t="s">
        <v>58</v>
      </c>
      <c r="AS353" s="6" t="str">
        <f>HYPERLINK("https://creighton-primo.hosted.exlibrisgroup.com/primo-explore/search?tab=default_tab&amp;search_scope=EVERYTHING&amp;vid=01CRU&amp;lang=en_US&amp;offset=0&amp;query=any,contains,991002231499702656","Catalog Record")</f>
        <v>Catalog Record</v>
      </c>
      <c r="AT353" s="6" t="str">
        <f>HYPERLINK("http://www.worldcat.org/oclc/28724132","WorldCat Record")</f>
        <v>WorldCat Record</v>
      </c>
      <c r="AU353" s="3" t="s">
        <v>4408</v>
      </c>
      <c r="AV353" s="3" t="s">
        <v>4409</v>
      </c>
      <c r="AW353" s="3" t="s">
        <v>4410</v>
      </c>
      <c r="AX353" s="3" t="s">
        <v>4410</v>
      </c>
      <c r="AY353" s="3" t="s">
        <v>4411</v>
      </c>
      <c r="AZ353" s="3" t="s">
        <v>73</v>
      </c>
      <c r="BB353" s="3" t="s">
        <v>4412</v>
      </c>
      <c r="BC353" s="3" t="s">
        <v>4413</v>
      </c>
      <c r="BD353" s="3" t="s">
        <v>4414</v>
      </c>
    </row>
    <row r="354" spans="1:56" ht="31.5" customHeight="1" x14ac:dyDescent="0.25">
      <c r="A354" s="7" t="s">
        <v>58</v>
      </c>
      <c r="B354" s="2" t="s">
        <v>4398</v>
      </c>
      <c r="C354" s="2" t="s">
        <v>4399</v>
      </c>
      <c r="D354" s="2" t="s">
        <v>4400</v>
      </c>
      <c r="E354" s="3" t="s">
        <v>514</v>
      </c>
      <c r="F354" s="3" t="s">
        <v>68</v>
      </c>
      <c r="G354" s="3" t="s">
        <v>59</v>
      </c>
      <c r="H354" s="3" t="s">
        <v>58</v>
      </c>
      <c r="I354" s="3" t="s">
        <v>58</v>
      </c>
      <c r="J354" s="3" t="s">
        <v>60</v>
      </c>
      <c r="K354" s="2" t="s">
        <v>4401</v>
      </c>
      <c r="L354" s="2" t="s">
        <v>4402</v>
      </c>
      <c r="M354" s="3" t="s">
        <v>344</v>
      </c>
      <c r="N354" s="2" t="s">
        <v>4403</v>
      </c>
      <c r="O354" s="3" t="s">
        <v>63</v>
      </c>
      <c r="P354" s="3" t="s">
        <v>186</v>
      </c>
      <c r="Q354" s="2" t="s">
        <v>4404</v>
      </c>
      <c r="R354" s="3" t="s">
        <v>65</v>
      </c>
      <c r="S354" s="4">
        <v>5</v>
      </c>
      <c r="T354" s="4">
        <v>10</v>
      </c>
      <c r="U354" s="5" t="s">
        <v>4405</v>
      </c>
      <c r="V354" s="5" t="s">
        <v>4405</v>
      </c>
      <c r="W354" s="5" t="s">
        <v>4407</v>
      </c>
      <c r="X354" s="5" t="s">
        <v>4407</v>
      </c>
      <c r="Y354" s="4">
        <v>330</v>
      </c>
      <c r="Z354" s="4">
        <v>293</v>
      </c>
      <c r="AA354" s="4">
        <v>299</v>
      </c>
      <c r="AB354" s="4">
        <v>2</v>
      </c>
      <c r="AC354" s="4">
        <v>2</v>
      </c>
      <c r="AD354" s="4">
        <v>9</v>
      </c>
      <c r="AE354" s="4">
        <v>9</v>
      </c>
      <c r="AF354" s="4">
        <v>3</v>
      </c>
      <c r="AG354" s="4">
        <v>3</v>
      </c>
      <c r="AH354" s="4">
        <v>4</v>
      </c>
      <c r="AI354" s="4">
        <v>4</v>
      </c>
      <c r="AJ354" s="4">
        <v>4</v>
      </c>
      <c r="AK354" s="4">
        <v>4</v>
      </c>
      <c r="AL354" s="4">
        <v>1</v>
      </c>
      <c r="AM354" s="4">
        <v>1</v>
      </c>
      <c r="AN354" s="4">
        <v>0</v>
      </c>
      <c r="AO354" s="4">
        <v>0</v>
      </c>
      <c r="AP354" s="3" t="s">
        <v>58</v>
      </c>
      <c r="AQ354" s="3" t="s">
        <v>58</v>
      </c>
      <c r="AS354" s="6" t="str">
        <f>HYPERLINK("https://creighton-primo.hosted.exlibrisgroup.com/primo-explore/search?tab=default_tab&amp;search_scope=EVERYTHING&amp;vid=01CRU&amp;lang=en_US&amp;offset=0&amp;query=any,contains,991002231499702656","Catalog Record")</f>
        <v>Catalog Record</v>
      </c>
      <c r="AT354" s="6" t="str">
        <f>HYPERLINK("http://www.worldcat.org/oclc/28724132","WorldCat Record")</f>
        <v>WorldCat Record</v>
      </c>
      <c r="AU354" s="3" t="s">
        <v>4408</v>
      </c>
      <c r="AV354" s="3" t="s">
        <v>4409</v>
      </c>
      <c r="AW354" s="3" t="s">
        <v>4410</v>
      </c>
      <c r="AX354" s="3" t="s">
        <v>4410</v>
      </c>
      <c r="AY354" s="3" t="s">
        <v>4411</v>
      </c>
      <c r="AZ354" s="3" t="s">
        <v>73</v>
      </c>
      <c r="BB354" s="3" t="s">
        <v>4412</v>
      </c>
      <c r="BC354" s="3" t="s">
        <v>4415</v>
      </c>
      <c r="BD354" s="3" t="s">
        <v>4416</v>
      </c>
    </row>
    <row r="355" spans="1:56" ht="31.5" customHeight="1" x14ac:dyDescent="0.25">
      <c r="A355" s="7" t="s">
        <v>58</v>
      </c>
      <c r="B355" s="2" t="s">
        <v>4417</v>
      </c>
      <c r="C355" s="2" t="s">
        <v>4418</v>
      </c>
      <c r="D355" s="2" t="s">
        <v>4419</v>
      </c>
      <c r="F355" s="3" t="s">
        <v>58</v>
      </c>
      <c r="G355" s="3" t="s">
        <v>59</v>
      </c>
      <c r="H355" s="3" t="s">
        <v>58</v>
      </c>
      <c r="I355" s="3" t="s">
        <v>58</v>
      </c>
      <c r="J355" s="3" t="s">
        <v>60</v>
      </c>
      <c r="K355" s="2" t="s">
        <v>4420</v>
      </c>
      <c r="L355" s="2" t="s">
        <v>4421</v>
      </c>
      <c r="M355" s="3" t="s">
        <v>4422</v>
      </c>
      <c r="N355" s="2" t="s">
        <v>501</v>
      </c>
      <c r="O355" s="3" t="s">
        <v>63</v>
      </c>
      <c r="P355" s="3" t="s">
        <v>64</v>
      </c>
      <c r="Q355" s="2" t="s">
        <v>4423</v>
      </c>
      <c r="R355" s="3" t="s">
        <v>65</v>
      </c>
      <c r="S355" s="4">
        <v>3</v>
      </c>
      <c r="T355" s="4">
        <v>3</v>
      </c>
      <c r="U355" s="5" t="s">
        <v>4424</v>
      </c>
      <c r="V355" s="5" t="s">
        <v>4424</v>
      </c>
      <c r="W355" s="5" t="s">
        <v>2026</v>
      </c>
      <c r="X355" s="5" t="s">
        <v>2026</v>
      </c>
      <c r="Y355" s="4">
        <v>189</v>
      </c>
      <c r="Z355" s="4">
        <v>173</v>
      </c>
      <c r="AA355" s="4">
        <v>529</v>
      </c>
      <c r="AB355" s="4">
        <v>2</v>
      </c>
      <c r="AC355" s="4">
        <v>4</v>
      </c>
      <c r="AD355" s="4">
        <v>4</v>
      </c>
      <c r="AE355" s="4">
        <v>19</v>
      </c>
      <c r="AF355" s="4">
        <v>1</v>
      </c>
      <c r="AG355" s="4">
        <v>10</v>
      </c>
      <c r="AH355" s="4">
        <v>1</v>
      </c>
      <c r="AI355" s="4">
        <v>2</v>
      </c>
      <c r="AJ355" s="4">
        <v>1</v>
      </c>
      <c r="AK355" s="4">
        <v>6</v>
      </c>
      <c r="AL355" s="4">
        <v>1</v>
      </c>
      <c r="AM355" s="4">
        <v>3</v>
      </c>
      <c r="AN355" s="4">
        <v>0</v>
      </c>
      <c r="AO355" s="4">
        <v>0</v>
      </c>
      <c r="AP355" s="3" t="s">
        <v>58</v>
      </c>
      <c r="AQ355" s="3" t="s">
        <v>68</v>
      </c>
      <c r="AR355" s="6" t="str">
        <f>HYPERLINK("http://catalog.hathitrust.org/Record/001476105","HathiTrust Record")</f>
        <v>HathiTrust Record</v>
      </c>
      <c r="AS355" s="6" t="str">
        <f>HYPERLINK("https://creighton-primo.hosted.exlibrisgroup.com/primo-explore/search?tab=default_tab&amp;search_scope=EVERYTHING&amp;vid=01CRU&amp;lang=en_US&amp;offset=0&amp;query=any,contains,991003465229702656","Catalog Record")</f>
        <v>Catalog Record</v>
      </c>
      <c r="AT355" s="6" t="str">
        <f>HYPERLINK("http://www.worldcat.org/oclc/1006882","WorldCat Record")</f>
        <v>WorldCat Record</v>
      </c>
      <c r="AU355" s="3" t="s">
        <v>4425</v>
      </c>
      <c r="AV355" s="3" t="s">
        <v>4426</v>
      </c>
      <c r="AW355" s="3" t="s">
        <v>4427</v>
      </c>
      <c r="AX355" s="3" t="s">
        <v>4427</v>
      </c>
      <c r="AY355" s="3" t="s">
        <v>4428</v>
      </c>
      <c r="AZ355" s="3" t="s">
        <v>73</v>
      </c>
      <c r="BC355" s="3" t="s">
        <v>4429</v>
      </c>
      <c r="BD355" s="3" t="s">
        <v>4430</v>
      </c>
    </row>
    <row r="356" spans="1:56" ht="31.5" customHeight="1" x14ac:dyDescent="0.25">
      <c r="A356" s="7" t="s">
        <v>58</v>
      </c>
      <c r="B356" s="2" t="s">
        <v>4431</v>
      </c>
      <c r="C356" s="2" t="s">
        <v>4432</v>
      </c>
      <c r="D356" s="2" t="s">
        <v>4433</v>
      </c>
      <c r="F356" s="3" t="s">
        <v>58</v>
      </c>
      <c r="G356" s="3" t="s">
        <v>59</v>
      </c>
      <c r="H356" s="3" t="s">
        <v>58</v>
      </c>
      <c r="I356" s="3" t="s">
        <v>58</v>
      </c>
      <c r="J356" s="3" t="s">
        <v>60</v>
      </c>
      <c r="K356" s="2" t="s">
        <v>4434</v>
      </c>
      <c r="L356" s="2" t="s">
        <v>4435</v>
      </c>
      <c r="M356" s="3" t="s">
        <v>1912</v>
      </c>
      <c r="N356" s="2" t="s">
        <v>501</v>
      </c>
      <c r="O356" s="3" t="s">
        <v>63</v>
      </c>
      <c r="P356" s="3" t="s">
        <v>129</v>
      </c>
      <c r="R356" s="3" t="s">
        <v>65</v>
      </c>
      <c r="S356" s="4">
        <v>5</v>
      </c>
      <c r="T356" s="4">
        <v>5</v>
      </c>
      <c r="U356" s="5" t="s">
        <v>4436</v>
      </c>
      <c r="V356" s="5" t="s">
        <v>4436</v>
      </c>
      <c r="W356" s="5" t="s">
        <v>2091</v>
      </c>
      <c r="X356" s="5" t="s">
        <v>2091</v>
      </c>
      <c r="Y356" s="4">
        <v>498</v>
      </c>
      <c r="Z356" s="4">
        <v>482</v>
      </c>
      <c r="AA356" s="4">
        <v>485</v>
      </c>
      <c r="AB356" s="4">
        <v>3</v>
      </c>
      <c r="AC356" s="4">
        <v>3</v>
      </c>
      <c r="AD356" s="4">
        <v>7</v>
      </c>
      <c r="AE356" s="4">
        <v>7</v>
      </c>
      <c r="AF356" s="4">
        <v>2</v>
      </c>
      <c r="AG356" s="4">
        <v>2</v>
      </c>
      <c r="AH356" s="4">
        <v>3</v>
      </c>
      <c r="AI356" s="4">
        <v>3</v>
      </c>
      <c r="AJ356" s="4">
        <v>3</v>
      </c>
      <c r="AK356" s="4">
        <v>3</v>
      </c>
      <c r="AL356" s="4">
        <v>0</v>
      </c>
      <c r="AM356" s="4">
        <v>0</v>
      </c>
      <c r="AN356" s="4">
        <v>0</v>
      </c>
      <c r="AO356" s="4">
        <v>0</v>
      </c>
      <c r="AP356" s="3" t="s">
        <v>58</v>
      </c>
      <c r="AQ356" s="3" t="s">
        <v>58</v>
      </c>
      <c r="AS356" s="6" t="str">
        <f>HYPERLINK("https://creighton-primo.hosted.exlibrisgroup.com/primo-explore/search?tab=default_tab&amp;search_scope=EVERYTHING&amp;vid=01CRU&amp;lang=en_US&amp;offset=0&amp;query=any,contains,991000656829702656","Catalog Record")</f>
        <v>Catalog Record</v>
      </c>
      <c r="AT356" s="6" t="str">
        <f>HYPERLINK("http://www.worldcat.org/oclc/12216256","WorldCat Record")</f>
        <v>WorldCat Record</v>
      </c>
      <c r="AU356" s="3" t="s">
        <v>4437</v>
      </c>
      <c r="AV356" s="3" t="s">
        <v>4438</v>
      </c>
      <c r="AW356" s="3" t="s">
        <v>4439</v>
      </c>
      <c r="AX356" s="3" t="s">
        <v>4439</v>
      </c>
      <c r="AY356" s="3" t="s">
        <v>4440</v>
      </c>
      <c r="AZ356" s="3" t="s">
        <v>73</v>
      </c>
      <c r="BB356" s="3" t="s">
        <v>4441</v>
      </c>
      <c r="BC356" s="3" t="s">
        <v>4442</v>
      </c>
      <c r="BD356" s="3" t="s">
        <v>4443</v>
      </c>
    </row>
    <row r="357" spans="1:56" ht="31.5" customHeight="1" x14ac:dyDescent="0.25">
      <c r="A357" s="7" t="s">
        <v>58</v>
      </c>
      <c r="B357" s="2" t="s">
        <v>4444</v>
      </c>
      <c r="C357" s="2" t="s">
        <v>4445</v>
      </c>
      <c r="D357" s="2" t="s">
        <v>4446</v>
      </c>
      <c r="F357" s="3" t="s">
        <v>58</v>
      </c>
      <c r="G357" s="3" t="s">
        <v>59</v>
      </c>
      <c r="H357" s="3" t="s">
        <v>58</v>
      </c>
      <c r="I357" s="3" t="s">
        <v>58</v>
      </c>
      <c r="J357" s="3" t="s">
        <v>60</v>
      </c>
      <c r="K357" s="2" t="s">
        <v>4447</v>
      </c>
      <c r="L357" s="2" t="s">
        <v>4448</v>
      </c>
      <c r="M357" s="3" t="s">
        <v>301</v>
      </c>
      <c r="N357" s="2" t="s">
        <v>1137</v>
      </c>
      <c r="O357" s="3" t="s">
        <v>63</v>
      </c>
      <c r="P357" s="3" t="s">
        <v>145</v>
      </c>
      <c r="R357" s="3" t="s">
        <v>65</v>
      </c>
      <c r="S357" s="4">
        <v>8</v>
      </c>
      <c r="T357" s="4">
        <v>8</v>
      </c>
      <c r="U357" s="5" t="s">
        <v>4449</v>
      </c>
      <c r="V357" s="5" t="s">
        <v>4449</v>
      </c>
      <c r="W357" s="5" t="s">
        <v>4450</v>
      </c>
      <c r="X357" s="5" t="s">
        <v>4450</v>
      </c>
      <c r="Y357" s="4">
        <v>219</v>
      </c>
      <c r="Z357" s="4">
        <v>199</v>
      </c>
      <c r="AA357" s="4">
        <v>209</v>
      </c>
      <c r="AB357" s="4">
        <v>2</v>
      </c>
      <c r="AC357" s="4">
        <v>2</v>
      </c>
      <c r="AD357" s="4">
        <v>4</v>
      </c>
      <c r="AE357" s="4">
        <v>4</v>
      </c>
      <c r="AF357" s="4">
        <v>2</v>
      </c>
      <c r="AG357" s="4">
        <v>2</v>
      </c>
      <c r="AH357" s="4">
        <v>0</v>
      </c>
      <c r="AI357" s="4">
        <v>0</v>
      </c>
      <c r="AJ357" s="4">
        <v>2</v>
      </c>
      <c r="AK357" s="4">
        <v>2</v>
      </c>
      <c r="AL357" s="4">
        <v>1</v>
      </c>
      <c r="AM357" s="4">
        <v>1</v>
      </c>
      <c r="AN357" s="4">
        <v>0</v>
      </c>
      <c r="AO357" s="4">
        <v>0</v>
      </c>
      <c r="AP357" s="3" t="s">
        <v>58</v>
      </c>
      <c r="AQ357" s="3" t="s">
        <v>68</v>
      </c>
      <c r="AR357" s="6" t="str">
        <f>HYPERLINK("http://catalog.hathitrust.org/Record/002624587","HathiTrust Record")</f>
        <v>HathiTrust Record</v>
      </c>
      <c r="AS357" s="6" t="str">
        <f>HYPERLINK("https://creighton-primo.hosted.exlibrisgroup.com/primo-explore/search?tab=default_tab&amp;search_scope=EVERYTHING&amp;vid=01CRU&amp;lang=en_US&amp;offset=0&amp;query=any,contains,991001905509702656","Catalog Record")</f>
        <v>Catalog Record</v>
      </c>
      <c r="AT357" s="6" t="str">
        <f>HYPERLINK("http://www.worldcat.org/oclc/24067439","WorldCat Record")</f>
        <v>WorldCat Record</v>
      </c>
      <c r="AU357" s="3" t="s">
        <v>4451</v>
      </c>
      <c r="AV357" s="3" t="s">
        <v>4452</v>
      </c>
      <c r="AW357" s="3" t="s">
        <v>4453</v>
      </c>
      <c r="AX357" s="3" t="s">
        <v>4453</v>
      </c>
      <c r="AY357" s="3" t="s">
        <v>4454</v>
      </c>
      <c r="AZ357" s="3" t="s">
        <v>73</v>
      </c>
      <c r="BB357" s="3" t="s">
        <v>4455</v>
      </c>
      <c r="BC357" s="3" t="s">
        <v>4456</v>
      </c>
      <c r="BD357" s="3" t="s">
        <v>4457</v>
      </c>
    </row>
    <row r="358" spans="1:56" ht="31.5" customHeight="1" x14ac:dyDescent="0.25">
      <c r="A358" s="7" t="s">
        <v>58</v>
      </c>
      <c r="B358" s="2" t="s">
        <v>4458</v>
      </c>
      <c r="C358" s="2" t="s">
        <v>4459</v>
      </c>
      <c r="D358" s="2" t="s">
        <v>4460</v>
      </c>
      <c r="F358" s="3" t="s">
        <v>58</v>
      </c>
      <c r="G358" s="3" t="s">
        <v>59</v>
      </c>
      <c r="H358" s="3" t="s">
        <v>58</v>
      </c>
      <c r="I358" s="3" t="s">
        <v>58</v>
      </c>
      <c r="J358" s="3" t="s">
        <v>60</v>
      </c>
      <c r="K358" s="2" t="s">
        <v>4461</v>
      </c>
      <c r="L358" s="2" t="s">
        <v>4462</v>
      </c>
      <c r="M358" s="3" t="s">
        <v>128</v>
      </c>
      <c r="O358" s="3" t="s">
        <v>63</v>
      </c>
      <c r="P358" s="3" t="s">
        <v>64</v>
      </c>
      <c r="R358" s="3" t="s">
        <v>65</v>
      </c>
      <c r="S358" s="4">
        <v>7</v>
      </c>
      <c r="T358" s="4">
        <v>7</v>
      </c>
      <c r="U358" s="5" t="s">
        <v>4463</v>
      </c>
      <c r="V358" s="5" t="s">
        <v>4463</v>
      </c>
      <c r="W358" s="5" t="s">
        <v>4464</v>
      </c>
      <c r="X358" s="5" t="s">
        <v>4464</v>
      </c>
      <c r="Y358" s="4">
        <v>421</v>
      </c>
      <c r="Z358" s="4">
        <v>404</v>
      </c>
      <c r="AA358" s="4">
        <v>431</v>
      </c>
      <c r="AB358" s="4">
        <v>2</v>
      </c>
      <c r="AC358" s="4">
        <v>2</v>
      </c>
      <c r="AD358" s="4">
        <v>12</v>
      </c>
      <c r="AE358" s="4">
        <v>13</v>
      </c>
      <c r="AF358" s="4">
        <v>5</v>
      </c>
      <c r="AG358" s="4">
        <v>5</v>
      </c>
      <c r="AH358" s="4">
        <v>3</v>
      </c>
      <c r="AI358" s="4">
        <v>3</v>
      </c>
      <c r="AJ358" s="4">
        <v>6</v>
      </c>
      <c r="AK358" s="4">
        <v>7</v>
      </c>
      <c r="AL358" s="4">
        <v>1</v>
      </c>
      <c r="AM358" s="4">
        <v>1</v>
      </c>
      <c r="AN358" s="4">
        <v>0</v>
      </c>
      <c r="AO358" s="4">
        <v>0</v>
      </c>
      <c r="AP358" s="3" t="s">
        <v>58</v>
      </c>
      <c r="AQ358" s="3" t="s">
        <v>68</v>
      </c>
      <c r="AR358" s="6" t="str">
        <f>HYPERLINK("http://catalog.hathitrust.org/Record/002911724","HathiTrust Record")</f>
        <v>HathiTrust Record</v>
      </c>
      <c r="AS358" s="6" t="str">
        <f>HYPERLINK("https://creighton-primo.hosted.exlibrisgroup.com/primo-explore/search?tab=default_tab&amp;search_scope=EVERYTHING&amp;vid=01CRU&amp;lang=en_US&amp;offset=0&amp;query=any,contains,991002117969702656","Catalog Record")</f>
        <v>Catalog Record</v>
      </c>
      <c r="AT358" s="6" t="str">
        <f>HYPERLINK("http://www.worldcat.org/oclc/27145644","WorldCat Record")</f>
        <v>WorldCat Record</v>
      </c>
      <c r="AU358" s="3" t="s">
        <v>4465</v>
      </c>
      <c r="AV358" s="3" t="s">
        <v>4466</v>
      </c>
      <c r="AW358" s="3" t="s">
        <v>4467</v>
      </c>
      <c r="AX358" s="3" t="s">
        <v>4467</v>
      </c>
      <c r="AY358" s="3" t="s">
        <v>4468</v>
      </c>
      <c r="AZ358" s="3" t="s">
        <v>73</v>
      </c>
      <c r="BB358" s="3" t="s">
        <v>4469</v>
      </c>
      <c r="BC358" s="3" t="s">
        <v>4470</v>
      </c>
      <c r="BD358" s="3" t="s">
        <v>4471</v>
      </c>
    </row>
    <row r="359" spans="1:56" ht="31.5" customHeight="1" x14ac:dyDescent="0.25">
      <c r="A359" s="7" t="s">
        <v>58</v>
      </c>
      <c r="B359" s="2" t="s">
        <v>4472</v>
      </c>
      <c r="C359" s="2" t="s">
        <v>4473</v>
      </c>
      <c r="D359" s="2" t="s">
        <v>4474</v>
      </c>
      <c r="F359" s="3" t="s">
        <v>58</v>
      </c>
      <c r="G359" s="3" t="s">
        <v>59</v>
      </c>
      <c r="H359" s="3" t="s">
        <v>58</v>
      </c>
      <c r="I359" s="3" t="s">
        <v>58</v>
      </c>
      <c r="J359" s="3" t="s">
        <v>60</v>
      </c>
      <c r="K359" s="2" t="s">
        <v>4475</v>
      </c>
      <c r="L359" s="2" t="s">
        <v>4476</v>
      </c>
      <c r="M359" s="3" t="s">
        <v>97</v>
      </c>
      <c r="O359" s="3" t="s">
        <v>63</v>
      </c>
      <c r="P359" s="3" t="s">
        <v>145</v>
      </c>
      <c r="R359" s="3" t="s">
        <v>65</v>
      </c>
      <c r="S359" s="4">
        <v>4</v>
      </c>
      <c r="T359" s="4">
        <v>4</v>
      </c>
      <c r="U359" s="5" t="s">
        <v>4477</v>
      </c>
      <c r="V359" s="5" t="s">
        <v>4477</v>
      </c>
      <c r="W359" s="5" t="s">
        <v>4478</v>
      </c>
      <c r="X359" s="5" t="s">
        <v>4478</v>
      </c>
      <c r="Y359" s="4">
        <v>169</v>
      </c>
      <c r="Z359" s="4">
        <v>156</v>
      </c>
      <c r="AA359" s="4">
        <v>158</v>
      </c>
      <c r="AB359" s="4">
        <v>1</v>
      </c>
      <c r="AC359" s="4">
        <v>1</v>
      </c>
      <c r="AD359" s="4">
        <v>5</v>
      </c>
      <c r="AE359" s="4">
        <v>5</v>
      </c>
      <c r="AF359" s="4">
        <v>1</v>
      </c>
      <c r="AG359" s="4">
        <v>1</v>
      </c>
      <c r="AH359" s="4">
        <v>1</v>
      </c>
      <c r="AI359" s="4">
        <v>1</v>
      </c>
      <c r="AJ359" s="4">
        <v>5</v>
      </c>
      <c r="AK359" s="4">
        <v>5</v>
      </c>
      <c r="AL359" s="4">
        <v>0</v>
      </c>
      <c r="AM359" s="4">
        <v>0</v>
      </c>
      <c r="AN359" s="4">
        <v>0</v>
      </c>
      <c r="AO359" s="4">
        <v>0</v>
      </c>
      <c r="AP359" s="3" t="s">
        <v>58</v>
      </c>
      <c r="AQ359" s="3" t="s">
        <v>68</v>
      </c>
      <c r="AR359" s="6" t="str">
        <f>HYPERLINK("http://catalog.hathitrust.org/Record/001822573","HathiTrust Record")</f>
        <v>HathiTrust Record</v>
      </c>
      <c r="AS359" s="6" t="str">
        <f>HYPERLINK("https://creighton-primo.hosted.exlibrisgroup.com/primo-explore/search?tab=default_tab&amp;search_scope=EVERYTHING&amp;vid=01CRU&amp;lang=en_US&amp;offset=0&amp;query=any,contains,991001503929702656","Catalog Record")</f>
        <v>Catalog Record</v>
      </c>
      <c r="AT359" s="6" t="str">
        <f>HYPERLINK("http://www.worldcat.org/oclc/19815308","WorldCat Record")</f>
        <v>WorldCat Record</v>
      </c>
      <c r="AU359" s="3" t="s">
        <v>4479</v>
      </c>
      <c r="AV359" s="3" t="s">
        <v>4480</v>
      </c>
      <c r="AW359" s="3" t="s">
        <v>4481</v>
      </c>
      <c r="AX359" s="3" t="s">
        <v>4481</v>
      </c>
      <c r="AY359" s="3" t="s">
        <v>4482</v>
      </c>
      <c r="AZ359" s="3" t="s">
        <v>73</v>
      </c>
      <c r="BB359" s="3" t="s">
        <v>4483</v>
      </c>
      <c r="BC359" s="3" t="s">
        <v>4484</v>
      </c>
      <c r="BD359" s="3" t="s">
        <v>4485</v>
      </c>
    </row>
    <row r="360" spans="1:56" ht="31.5" customHeight="1" x14ac:dyDescent="0.25">
      <c r="A360" s="7" t="s">
        <v>58</v>
      </c>
      <c r="B360" s="2" t="s">
        <v>4486</v>
      </c>
      <c r="C360" s="2" t="s">
        <v>4487</v>
      </c>
      <c r="D360" s="2" t="s">
        <v>4488</v>
      </c>
      <c r="F360" s="3" t="s">
        <v>58</v>
      </c>
      <c r="G360" s="3" t="s">
        <v>59</v>
      </c>
      <c r="H360" s="3" t="s">
        <v>58</v>
      </c>
      <c r="I360" s="3" t="s">
        <v>58</v>
      </c>
      <c r="J360" s="3" t="s">
        <v>60</v>
      </c>
      <c r="K360" s="2" t="s">
        <v>314</v>
      </c>
      <c r="L360" s="2" t="s">
        <v>4489</v>
      </c>
      <c r="M360" s="3" t="s">
        <v>1522</v>
      </c>
      <c r="O360" s="3" t="s">
        <v>63</v>
      </c>
      <c r="P360" s="3" t="s">
        <v>1111</v>
      </c>
      <c r="Q360" s="2" t="s">
        <v>4490</v>
      </c>
      <c r="R360" s="3" t="s">
        <v>65</v>
      </c>
      <c r="S360" s="4">
        <v>1</v>
      </c>
      <c r="T360" s="4">
        <v>1</v>
      </c>
      <c r="U360" s="5" t="s">
        <v>4491</v>
      </c>
      <c r="V360" s="5" t="s">
        <v>4491</v>
      </c>
      <c r="W360" s="5" t="s">
        <v>2091</v>
      </c>
      <c r="X360" s="5" t="s">
        <v>2091</v>
      </c>
      <c r="Y360" s="4">
        <v>344</v>
      </c>
      <c r="Z360" s="4">
        <v>338</v>
      </c>
      <c r="AA360" s="4">
        <v>371</v>
      </c>
      <c r="AB360" s="4">
        <v>3</v>
      </c>
      <c r="AC360" s="4">
        <v>3</v>
      </c>
      <c r="AD360" s="4">
        <v>7</v>
      </c>
      <c r="AE360" s="4">
        <v>8</v>
      </c>
      <c r="AF360" s="4">
        <v>0</v>
      </c>
      <c r="AG360" s="4">
        <v>0</v>
      </c>
      <c r="AH360" s="4">
        <v>2</v>
      </c>
      <c r="AI360" s="4">
        <v>2</v>
      </c>
      <c r="AJ360" s="4">
        <v>4</v>
      </c>
      <c r="AK360" s="4">
        <v>5</v>
      </c>
      <c r="AL360" s="4">
        <v>1</v>
      </c>
      <c r="AM360" s="4">
        <v>1</v>
      </c>
      <c r="AN360" s="4">
        <v>0</v>
      </c>
      <c r="AO360" s="4">
        <v>0</v>
      </c>
      <c r="AP360" s="3" t="s">
        <v>58</v>
      </c>
      <c r="AQ360" s="3" t="s">
        <v>58</v>
      </c>
      <c r="AS360" s="6" t="str">
        <f>HYPERLINK("https://creighton-primo.hosted.exlibrisgroup.com/primo-explore/search?tab=default_tab&amp;search_scope=EVERYTHING&amp;vid=01CRU&amp;lang=en_US&amp;offset=0&amp;query=any,contains,991002932369702656","Catalog Record")</f>
        <v>Catalog Record</v>
      </c>
      <c r="AT360" s="6" t="str">
        <f>HYPERLINK("http://www.worldcat.org/oclc/531394","WorldCat Record")</f>
        <v>WorldCat Record</v>
      </c>
      <c r="AU360" s="3" t="s">
        <v>4492</v>
      </c>
      <c r="AV360" s="3" t="s">
        <v>4493</v>
      </c>
      <c r="AW360" s="3" t="s">
        <v>4494</v>
      </c>
      <c r="AX360" s="3" t="s">
        <v>4494</v>
      </c>
      <c r="AY360" s="3" t="s">
        <v>4495</v>
      </c>
      <c r="AZ360" s="3" t="s">
        <v>73</v>
      </c>
      <c r="BC360" s="3" t="s">
        <v>4496</v>
      </c>
      <c r="BD360" s="3" t="s">
        <v>4497</v>
      </c>
    </row>
    <row r="361" spans="1:56" ht="31.5" customHeight="1" x14ac:dyDescent="0.25">
      <c r="A361" s="7" t="s">
        <v>58</v>
      </c>
      <c r="B361" s="2" t="s">
        <v>4498</v>
      </c>
      <c r="C361" s="2" t="s">
        <v>4499</v>
      </c>
      <c r="D361" s="2" t="s">
        <v>4500</v>
      </c>
      <c r="F361" s="3" t="s">
        <v>58</v>
      </c>
      <c r="G361" s="3" t="s">
        <v>59</v>
      </c>
      <c r="H361" s="3" t="s">
        <v>58</v>
      </c>
      <c r="I361" s="3" t="s">
        <v>58</v>
      </c>
      <c r="J361" s="3" t="s">
        <v>60</v>
      </c>
      <c r="K361" s="2" t="s">
        <v>314</v>
      </c>
      <c r="L361" s="2" t="s">
        <v>4501</v>
      </c>
      <c r="M361" s="3" t="s">
        <v>1912</v>
      </c>
      <c r="O361" s="3" t="s">
        <v>63</v>
      </c>
      <c r="P361" s="3" t="s">
        <v>186</v>
      </c>
      <c r="R361" s="3" t="s">
        <v>65</v>
      </c>
      <c r="S361" s="4">
        <v>2</v>
      </c>
      <c r="T361" s="4">
        <v>2</v>
      </c>
      <c r="U361" s="5" t="s">
        <v>4502</v>
      </c>
      <c r="V361" s="5" t="s">
        <v>4502</v>
      </c>
      <c r="W361" s="5" t="s">
        <v>2091</v>
      </c>
      <c r="X361" s="5" t="s">
        <v>2091</v>
      </c>
      <c r="Y361" s="4">
        <v>415</v>
      </c>
      <c r="Z361" s="4">
        <v>330</v>
      </c>
      <c r="AA361" s="4">
        <v>708</v>
      </c>
      <c r="AB361" s="4">
        <v>2</v>
      </c>
      <c r="AC361" s="4">
        <v>4</v>
      </c>
      <c r="AD361" s="4">
        <v>6</v>
      </c>
      <c r="AE361" s="4">
        <v>17</v>
      </c>
      <c r="AF361" s="4">
        <v>0</v>
      </c>
      <c r="AG361" s="4">
        <v>4</v>
      </c>
      <c r="AH361" s="4">
        <v>1</v>
      </c>
      <c r="AI361" s="4">
        <v>3</v>
      </c>
      <c r="AJ361" s="4">
        <v>4</v>
      </c>
      <c r="AK361" s="4">
        <v>11</v>
      </c>
      <c r="AL361" s="4">
        <v>1</v>
      </c>
      <c r="AM361" s="4">
        <v>2</v>
      </c>
      <c r="AN361" s="4">
        <v>0</v>
      </c>
      <c r="AO361" s="4">
        <v>0</v>
      </c>
      <c r="AP361" s="3" t="s">
        <v>58</v>
      </c>
      <c r="AQ361" s="3" t="s">
        <v>58</v>
      </c>
      <c r="AS361" s="6" t="str">
        <f>HYPERLINK("https://creighton-primo.hosted.exlibrisgroup.com/primo-explore/search?tab=default_tab&amp;search_scope=EVERYTHING&amp;vid=01CRU&amp;lang=en_US&amp;offset=0&amp;query=any,contains,991000700659702656","Catalog Record")</f>
        <v>Catalog Record</v>
      </c>
      <c r="AT361" s="6" t="str">
        <f>HYPERLINK("http://www.worldcat.org/oclc/12549323","WorldCat Record")</f>
        <v>WorldCat Record</v>
      </c>
      <c r="AU361" s="3" t="s">
        <v>4503</v>
      </c>
      <c r="AV361" s="3" t="s">
        <v>4504</v>
      </c>
      <c r="AW361" s="3" t="s">
        <v>4505</v>
      </c>
      <c r="AX361" s="3" t="s">
        <v>4505</v>
      </c>
      <c r="AY361" s="3" t="s">
        <v>4506</v>
      </c>
      <c r="AZ361" s="3" t="s">
        <v>73</v>
      </c>
      <c r="BB361" s="3" t="s">
        <v>4507</v>
      </c>
      <c r="BC361" s="3" t="s">
        <v>4508</v>
      </c>
      <c r="BD361" s="3" t="s">
        <v>4509</v>
      </c>
    </row>
    <row r="362" spans="1:56" ht="31.5" customHeight="1" x14ac:dyDescent="0.25">
      <c r="A362" s="7" t="s">
        <v>58</v>
      </c>
      <c r="B362" s="2" t="s">
        <v>4510</v>
      </c>
      <c r="C362" s="2" t="s">
        <v>4511</v>
      </c>
      <c r="D362" s="2" t="s">
        <v>4512</v>
      </c>
      <c r="F362" s="3" t="s">
        <v>58</v>
      </c>
      <c r="G362" s="3" t="s">
        <v>59</v>
      </c>
      <c r="H362" s="3" t="s">
        <v>58</v>
      </c>
      <c r="I362" s="3" t="s">
        <v>68</v>
      </c>
      <c r="J362" s="3" t="s">
        <v>60</v>
      </c>
      <c r="K362" s="2" t="s">
        <v>314</v>
      </c>
      <c r="L362" s="2" t="s">
        <v>4055</v>
      </c>
      <c r="M362" s="3" t="s">
        <v>2546</v>
      </c>
      <c r="N362" s="2" t="s">
        <v>1180</v>
      </c>
      <c r="O362" s="3" t="s">
        <v>63</v>
      </c>
      <c r="P362" s="3" t="s">
        <v>186</v>
      </c>
      <c r="R362" s="3" t="s">
        <v>65</v>
      </c>
      <c r="S362" s="4">
        <v>2</v>
      </c>
      <c r="T362" s="4">
        <v>2</v>
      </c>
      <c r="U362" s="5" t="s">
        <v>4513</v>
      </c>
      <c r="V362" s="5" t="s">
        <v>4513</v>
      </c>
      <c r="W362" s="5" t="s">
        <v>4514</v>
      </c>
      <c r="X362" s="5" t="s">
        <v>4514</v>
      </c>
      <c r="Y362" s="4">
        <v>554</v>
      </c>
      <c r="Z362" s="4">
        <v>466</v>
      </c>
      <c r="AA362" s="4">
        <v>1095</v>
      </c>
      <c r="AB362" s="4">
        <v>8</v>
      </c>
      <c r="AC362" s="4">
        <v>11</v>
      </c>
      <c r="AD362" s="4">
        <v>17</v>
      </c>
      <c r="AE362" s="4">
        <v>22</v>
      </c>
      <c r="AF362" s="4">
        <v>7</v>
      </c>
      <c r="AG362" s="4">
        <v>8</v>
      </c>
      <c r="AH362" s="4">
        <v>2</v>
      </c>
      <c r="AI362" s="4">
        <v>4</v>
      </c>
      <c r="AJ362" s="4">
        <v>9</v>
      </c>
      <c r="AK362" s="4">
        <v>10</v>
      </c>
      <c r="AL362" s="4">
        <v>4</v>
      </c>
      <c r="AM362" s="4">
        <v>6</v>
      </c>
      <c r="AN362" s="4">
        <v>0</v>
      </c>
      <c r="AO362" s="4">
        <v>0</v>
      </c>
      <c r="AP362" s="3" t="s">
        <v>58</v>
      </c>
      <c r="AQ362" s="3" t="s">
        <v>58</v>
      </c>
      <c r="AS362" s="6" t="str">
        <f>HYPERLINK("https://creighton-primo.hosted.exlibrisgroup.com/primo-explore/search?tab=default_tab&amp;search_scope=EVERYTHING&amp;vid=01CRU&amp;lang=en_US&amp;offset=0&amp;query=any,contains,991003771039702656","Catalog Record")</f>
        <v>Catalog Record</v>
      </c>
      <c r="AT362" s="6" t="str">
        <f>HYPERLINK("http://www.worldcat.org/oclc/43859487","WorldCat Record")</f>
        <v>WorldCat Record</v>
      </c>
      <c r="AU362" s="3" t="s">
        <v>4515</v>
      </c>
      <c r="AV362" s="3" t="s">
        <v>4516</v>
      </c>
      <c r="AW362" s="3" t="s">
        <v>4517</v>
      </c>
      <c r="AX362" s="3" t="s">
        <v>4517</v>
      </c>
      <c r="AY362" s="3" t="s">
        <v>4518</v>
      </c>
      <c r="AZ362" s="3" t="s">
        <v>73</v>
      </c>
      <c r="BB362" s="3" t="s">
        <v>4519</v>
      </c>
      <c r="BC362" s="3" t="s">
        <v>4520</v>
      </c>
      <c r="BD362" s="3" t="s">
        <v>4521</v>
      </c>
    </row>
    <row r="363" spans="1:56" ht="31.5" customHeight="1" x14ac:dyDescent="0.25">
      <c r="A363" s="7" t="s">
        <v>58</v>
      </c>
      <c r="B363" s="2" t="s">
        <v>4522</v>
      </c>
      <c r="C363" s="2" t="s">
        <v>4523</v>
      </c>
      <c r="D363" s="2" t="s">
        <v>4524</v>
      </c>
      <c r="F363" s="3" t="s">
        <v>58</v>
      </c>
      <c r="G363" s="3" t="s">
        <v>59</v>
      </c>
      <c r="H363" s="3" t="s">
        <v>58</v>
      </c>
      <c r="I363" s="3" t="s">
        <v>58</v>
      </c>
      <c r="J363" s="3" t="s">
        <v>60</v>
      </c>
      <c r="K363" s="2" t="s">
        <v>4525</v>
      </c>
      <c r="L363" s="2" t="s">
        <v>4526</v>
      </c>
      <c r="M363" s="3" t="s">
        <v>416</v>
      </c>
      <c r="N363" s="2" t="s">
        <v>4527</v>
      </c>
      <c r="O363" s="3" t="s">
        <v>63</v>
      </c>
      <c r="P363" s="3" t="s">
        <v>64</v>
      </c>
      <c r="R363" s="3" t="s">
        <v>65</v>
      </c>
      <c r="S363" s="4">
        <v>3</v>
      </c>
      <c r="T363" s="4">
        <v>3</v>
      </c>
      <c r="U363" s="5" t="s">
        <v>4528</v>
      </c>
      <c r="V363" s="5" t="s">
        <v>4528</v>
      </c>
      <c r="W363" s="5" t="s">
        <v>2091</v>
      </c>
      <c r="X363" s="5" t="s">
        <v>2091</v>
      </c>
      <c r="Y363" s="4">
        <v>285</v>
      </c>
      <c r="Z363" s="4">
        <v>274</v>
      </c>
      <c r="AA363" s="4">
        <v>511</v>
      </c>
      <c r="AB363" s="4">
        <v>6</v>
      </c>
      <c r="AC363" s="4">
        <v>6</v>
      </c>
      <c r="AD363" s="4">
        <v>6</v>
      </c>
      <c r="AE363" s="4">
        <v>12</v>
      </c>
      <c r="AF363" s="4">
        <v>2</v>
      </c>
      <c r="AG363" s="4">
        <v>6</v>
      </c>
      <c r="AH363" s="4">
        <v>2</v>
      </c>
      <c r="AI363" s="4">
        <v>4</v>
      </c>
      <c r="AJ363" s="4">
        <v>0</v>
      </c>
      <c r="AK363" s="4">
        <v>2</v>
      </c>
      <c r="AL363" s="4">
        <v>3</v>
      </c>
      <c r="AM363" s="4">
        <v>3</v>
      </c>
      <c r="AN363" s="4">
        <v>0</v>
      </c>
      <c r="AO363" s="4">
        <v>0</v>
      </c>
      <c r="AP363" s="3" t="s">
        <v>58</v>
      </c>
      <c r="AQ363" s="3" t="s">
        <v>58</v>
      </c>
      <c r="AS363" s="6" t="str">
        <f>HYPERLINK("https://creighton-primo.hosted.exlibrisgroup.com/primo-explore/search?tab=default_tab&amp;search_scope=EVERYTHING&amp;vid=01CRU&amp;lang=en_US&amp;offset=0&amp;query=any,contains,991000566659702656","Catalog Record")</f>
        <v>Catalog Record</v>
      </c>
      <c r="AT363" s="6" t="str">
        <f>HYPERLINK("http://www.worldcat.org/oclc/94327","WorldCat Record")</f>
        <v>WorldCat Record</v>
      </c>
      <c r="AU363" s="3" t="s">
        <v>4529</v>
      </c>
      <c r="AV363" s="3" t="s">
        <v>4530</v>
      </c>
      <c r="AW363" s="3" t="s">
        <v>4531</v>
      </c>
      <c r="AX363" s="3" t="s">
        <v>4531</v>
      </c>
      <c r="AY363" s="3" t="s">
        <v>4532</v>
      </c>
      <c r="AZ363" s="3" t="s">
        <v>73</v>
      </c>
      <c r="BC363" s="3" t="s">
        <v>4533</v>
      </c>
      <c r="BD363" s="3" t="s">
        <v>4534</v>
      </c>
    </row>
    <row r="364" spans="1:56" ht="31.5" customHeight="1" x14ac:dyDescent="0.25">
      <c r="A364" s="7" t="s">
        <v>58</v>
      </c>
      <c r="B364" s="2" t="s">
        <v>4535</v>
      </c>
      <c r="C364" s="2" t="s">
        <v>4536</v>
      </c>
      <c r="D364" s="2" t="s">
        <v>4537</v>
      </c>
      <c r="F364" s="3" t="s">
        <v>58</v>
      </c>
      <c r="G364" s="3" t="s">
        <v>59</v>
      </c>
      <c r="H364" s="3" t="s">
        <v>58</v>
      </c>
      <c r="I364" s="3" t="s">
        <v>58</v>
      </c>
      <c r="J364" s="3" t="s">
        <v>60</v>
      </c>
      <c r="K364" s="2" t="s">
        <v>4538</v>
      </c>
      <c r="L364" s="2" t="s">
        <v>4539</v>
      </c>
      <c r="M364" s="3" t="s">
        <v>4540</v>
      </c>
      <c r="O364" s="3" t="s">
        <v>63</v>
      </c>
      <c r="P364" s="3" t="s">
        <v>64</v>
      </c>
      <c r="R364" s="3" t="s">
        <v>65</v>
      </c>
      <c r="S364" s="4">
        <v>2</v>
      </c>
      <c r="T364" s="4">
        <v>2</v>
      </c>
      <c r="U364" s="5" t="s">
        <v>4541</v>
      </c>
      <c r="V364" s="5" t="s">
        <v>4541</v>
      </c>
      <c r="W364" s="5" t="s">
        <v>4542</v>
      </c>
      <c r="X364" s="5" t="s">
        <v>4542</v>
      </c>
      <c r="Y364" s="4">
        <v>169</v>
      </c>
      <c r="Z364" s="4">
        <v>159</v>
      </c>
      <c r="AA364" s="4">
        <v>251</v>
      </c>
      <c r="AB364" s="4">
        <v>1</v>
      </c>
      <c r="AC364" s="4">
        <v>2</v>
      </c>
      <c r="AD364" s="4">
        <v>3</v>
      </c>
      <c r="AE364" s="4">
        <v>4</v>
      </c>
      <c r="AF364" s="4">
        <v>2</v>
      </c>
      <c r="AG364" s="4">
        <v>2</v>
      </c>
      <c r="AH364" s="4">
        <v>0</v>
      </c>
      <c r="AI364" s="4">
        <v>0</v>
      </c>
      <c r="AJ364" s="4">
        <v>1</v>
      </c>
      <c r="AK364" s="4">
        <v>1</v>
      </c>
      <c r="AL364" s="4">
        <v>0</v>
      </c>
      <c r="AM364" s="4">
        <v>1</v>
      </c>
      <c r="AN364" s="4">
        <v>0</v>
      </c>
      <c r="AO364" s="4">
        <v>0</v>
      </c>
      <c r="AP364" s="3" t="s">
        <v>68</v>
      </c>
      <c r="AQ364" s="3" t="s">
        <v>58</v>
      </c>
      <c r="AR364" s="6" t="str">
        <f>HYPERLINK("http://catalog.hathitrust.org/Record/001476076","HathiTrust Record")</f>
        <v>HathiTrust Record</v>
      </c>
      <c r="AS364" s="6" t="str">
        <f>HYPERLINK("https://creighton-primo.hosted.exlibrisgroup.com/primo-explore/search?tab=default_tab&amp;search_scope=EVERYTHING&amp;vid=01CRU&amp;lang=en_US&amp;offset=0&amp;query=any,contains,991003643839702656","Catalog Record")</f>
        <v>Catalog Record</v>
      </c>
      <c r="AT364" s="6" t="str">
        <f>HYPERLINK("http://www.worldcat.org/oclc/1242865","WorldCat Record")</f>
        <v>WorldCat Record</v>
      </c>
      <c r="AU364" s="3" t="s">
        <v>4543</v>
      </c>
      <c r="AV364" s="3" t="s">
        <v>4544</v>
      </c>
      <c r="AW364" s="3" t="s">
        <v>4545</v>
      </c>
      <c r="AX364" s="3" t="s">
        <v>4545</v>
      </c>
      <c r="AY364" s="3" t="s">
        <v>4546</v>
      </c>
      <c r="AZ364" s="3" t="s">
        <v>73</v>
      </c>
      <c r="BC364" s="3" t="s">
        <v>4547</v>
      </c>
      <c r="BD364" s="3" t="s">
        <v>4548</v>
      </c>
    </row>
    <row r="365" spans="1:56" ht="31.5" customHeight="1" x14ac:dyDescent="0.25">
      <c r="A365" s="7" t="s">
        <v>58</v>
      </c>
      <c r="B365" s="2" t="s">
        <v>4549</v>
      </c>
      <c r="C365" s="2" t="s">
        <v>4550</v>
      </c>
      <c r="D365" s="2" t="s">
        <v>4551</v>
      </c>
      <c r="F365" s="3" t="s">
        <v>58</v>
      </c>
      <c r="G365" s="3" t="s">
        <v>59</v>
      </c>
      <c r="H365" s="3" t="s">
        <v>58</v>
      </c>
      <c r="I365" s="3" t="s">
        <v>68</v>
      </c>
      <c r="J365" s="3" t="s">
        <v>60</v>
      </c>
      <c r="K365" s="2" t="s">
        <v>4552</v>
      </c>
      <c r="L365" s="2" t="s">
        <v>4553</v>
      </c>
      <c r="M365" s="3" t="s">
        <v>2546</v>
      </c>
      <c r="N365" s="2" t="s">
        <v>2281</v>
      </c>
      <c r="O365" s="3" t="s">
        <v>63</v>
      </c>
      <c r="P365" s="3" t="s">
        <v>360</v>
      </c>
      <c r="Q365" s="2" t="s">
        <v>4554</v>
      </c>
      <c r="R365" s="3" t="s">
        <v>65</v>
      </c>
      <c r="S365" s="4">
        <v>2</v>
      </c>
      <c r="T365" s="4">
        <v>2</v>
      </c>
      <c r="U365" s="5" t="s">
        <v>4555</v>
      </c>
      <c r="V365" s="5" t="s">
        <v>4555</v>
      </c>
      <c r="W365" s="5" t="s">
        <v>4555</v>
      </c>
      <c r="X365" s="5" t="s">
        <v>4555</v>
      </c>
      <c r="Y365" s="4">
        <v>529</v>
      </c>
      <c r="Z365" s="4">
        <v>505</v>
      </c>
      <c r="AA365" s="4">
        <v>1440</v>
      </c>
      <c r="AB365" s="4">
        <v>2</v>
      </c>
      <c r="AC365" s="4">
        <v>13</v>
      </c>
      <c r="AD365" s="4">
        <v>7</v>
      </c>
      <c r="AE365" s="4">
        <v>11</v>
      </c>
      <c r="AF365" s="4">
        <v>0</v>
      </c>
      <c r="AG365" s="4">
        <v>1</v>
      </c>
      <c r="AH365" s="4">
        <v>1</v>
      </c>
      <c r="AI365" s="4">
        <v>2</v>
      </c>
      <c r="AJ365" s="4">
        <v>6</v>
      </c>
      <c r="AK365" s="4">
        <v>7</v>
      </c>
      <c r="AL365" s="4">
        <v>1</v>
      </c>
      <c r="AM365" s="4">
        <v>2</v>
      </c>
      <c r="AN365" s="4">
        <v>0</v>
      </c>
      <c r="AO365" s="4">
        <v>0</v>
      </c>
      <c r="AP365" s="3" t="s">
        <v>58</v>
      </c>
      <c r="AQ365" s="3" t="s">
        <v>58</v>
      </c>
      <c r="AS365" s="6" t="str">
        <f>HYPERLINK("https://creighton-primo.hosted.exlibrisgroup.com/primo-explore/search?tab=default_tab&amp;search_scope=EVERYTHING&amp;vid=01CRU&amp;lang=en_US&amp;offset=0&amp;query=any,contains,991005290469702656","Catalog Record")</f>
        <v>Catalog Record</v>
      </c>
      <c r="AT365" s="6" t="str">
        <f>HYPERLINK("http://www.worldcat.org/oclc/45895238","WorldCat Record")</f>
        <v>WorldCat Record</v>
      </c>
      <c r="AU365" s="3" t="s">
        <v>4556</v>
      </c>
      <c r="AV365" s="3" t="s">
        <v>4557</v>
      </c>
      <c r="AW365" s="3" t="s">
        <v>4558</v>
      </c>
      <c r="AX365" s="3" t="s">
        <v>4558</v>
      </c>
      <c r="AY365" s="3" t="s">
        <v>4559</v>
      </c>
      <c r="AZ365" s="3" t="s">
        <v>73</v>
      </c>
      <c r="BB365" s="3" t="s">
        <v>4560</v>
      </c>
      <c r="BC365" s="3" t="s">
        <v>4561</v>
      </c>
      <c r="BD365" s="3" t="s">
        <v>4562</v>
      </c>
    </row>
    <row r="366" spans="1:56" ht="31.5" customHeight="1" x14ac:dyDescent="0.25">
      <c r="A366" s="7" t="s">
        <v>58</v>
      </c>
      <c r="B366" s="2" t="s">
        <v>4563</v>
      </c>
      <c r="C366" s="2" t="s">
        <v>4564</v>
      </c>
      <c r="D366" s="2" t="s">
        <v>4565</v>
      </c>
      <c r="F366" s="3" t="s">
        <v>58</v>
      </c>
      <c r="G366" s="3" t="s">
        <v>59</v>
      </c>
      <c r="H366" s="3" t="s">
        <v>58</v>
      </c>
      <c r="I366" s="3" t="s">
        <v>58</v>
      </c>
      <c r="J366" s="3" t="s">
        <v>60</v>
      </c>
      <c r="K366" s="2" t="s">
        <v>4566</v>
      </c>
      <c r="L366" s="2" t="s">
        <v>4567</v>
      </c>
      <c r="M366" s="3" t="s">
        <v>128</v>
      </c>
      <c r="O366" s="3" t="s">
        <v>63</v>
      </c>
      <c r="P366" s="3" t="s">
        <v>64</v>
      </c>
      <c r="Q366" s="2" t="s">
        <v>4568</v>
      </c>
      <c r="R366" s="3" t="s">
        <v>65</v>
      </c>
      <c r="S366" s="4">
        <v>1</v>
      </c>
      <c r="T366" s="4">
        <v>1</v>
      </c>
      <c r="U366" s="5" t="s">
        <v>4569</v>
      </c>
      <c r="V366" s="5" t="s">
        <v>4569</v>
      </c>
      <c r="W366" s="5" t="s">
        <v>4570</v>
      </c>
      <c r="X366" s="5" t="s">
        <v>4570</v>
      </c>
      <c r="Y366" s="4">
        <v>248</v>
      </c>
      <c r="Z366" s="4">
        <v>202</v>
      </c>
      <c r="AA366" s="4">
        <v>207</v>
      </c>
      <c r="AB366" s="4">
        <v>3</v>
      </c>
      <c r="AC366" s="4">
        <v>3</v>
      </c>
      <c r="AD366" s="4">
        <v>3</v>
      </c>
      <c r="AE366" s="4">
        <v>3</v>
      </c>
      <c r="AF366" s="4">
        <v>2</v>
      </c>
      <c r="AG366" s="4">
        <v>2</v>
      </c>
      <c r="AH366" s="4">
        <v>0</v>
      </c>
      <c r="AI366" s="4">
        <v>0</v>
      </c>
      <c r="AJ366" s="4">
        <v>0</v>
      </c>
      <c r="AK366" s="4">
        <v>0</v>
      </c>
      <c r="AL366" s="4">
        <v>1</v>
      </c>
      <c r="AM366" s="4">
        <v>1</v>
      </c>
      <c r="AN366" s="4">
        <v>0</v>
      </c>
      <c r="AO366" s="4">
        <v>0</v>
      </c>
      <c r="AP366" s="3" t="s">
        <v>58</v>
      </c>
      <c r="AQ366" s="3" t="s">
        <v>58</v>
      </c>
      <c r="AS366" s="6" t="str">
        <f>HYPERLINK("https://creighton-primo.hosted.exlibrisgroup.com/primo-explore/search?tab=default_tab&amp;search_scope=EVERYTHING&amp;vid=01CRU&amp;lang=en_US&amp;offset=0&amp;query=any,contains,991002136169702656","Catalog Record")</f>
        <v>Catalog Record</v>
      </c>
      <c r="AT366" s="6" t="str">
        <f>HYPERLINK("http://www.worldcat.org/oclc/27388756","WorldCat Record")</f>
        <v>WorldCat Record</v>
      </c>
      <c r="AU366" s="3" t="s">
        <v>4571</v>
      </c>
      <c r="AV366" s="3" t="s">
        <v>4572</v>
      </c>
      <c r="AW366" s="3" t="s">
        <v>4573</v>
      </c>
      <c r="AX366" s="3" t="s">
        <v>4573</v>
      </c>
      <c r="AY366" s="3" t="s">
        <v>4574</v>
      </c>
      <c r="AZ366" s="3" t="s">
        <v>73</v>
      </c>
      <c r="BB366" s="3" t="s">
        <v>4575</v>
      </c>
      <c r="BC366" s="3" t="s">
        <v>4576</v>
      </c>
      <c r="BD366" s="3" t="s">
        <v>4577</v>
      </c>
    </row>
    <row r="367" spans="1:56" ht="31.5" customHeight="1" x14ac:dyDescent="0.25">
      <c r="A367" s="7" t="s">
        <v>58</v>
      </c>
      <c r="B367" s="2" t="s">
        <v>4578</v>
      </c>
      <c r="C367" s="2" t="s">
        <v>4579</v>
      </c>
      <c r="D367" s="2" t="s">
        <v>4580</v>
      </c>
      <c r="F367" s="3" t="s">
        <v>58</v>
      </c>
      <c r="G367" s="3" t="s">
        <v>59</v>
      </c>
      <c r="H367" s="3" t="s">
        <v>58</v>
      </c>
      <c r="I367" s="3" t="s">
        <v>58</v>
      </c>
      <c r="J367" s="3" t="s">
        <v>60</v>
      </c>
      <c r="K367" s="2" t="s">
        <v>3105</v>
      </c>
      <c r="L367" s="2" t="s">
        <v>4581</v>
      </c>
      <c r="M367" s="3" t="s">
        <v>144</v>
      </c>
      <c r="N367" s="2" t="s">
        <v>501</v>
      </c>
      <c r="O367" s="3" t="s">
        <v>63</v>
      </c>
      <c r="P367" s="3" t="s">
        <v>64</v>
      </c>
      <c r="R367" s="3" t="s">
        <v>65</v>
      </c>
      <c r="S367" s="4">
        <v>4</v>
      </c>
      <c r="T367" s="4">
        <v>4</v>
      </c>
      <c r="U367" s="5" t="s">
        <v>4582</v>
      </c>
      <c r="V367" s="5" t="s">
        <v>4582</v>
      </c>
      <c r="W367" s="5" t="s">
        <v>4583</v>
      </c>
      <c r="X367" s="5" t="s">
        <v>4583</v>
      </c>
      <c r="Y367" s="4">
        <v>1226</v>
      </c>
      <c r="Z367" s="4">
        <v>1151</v>
      </c>
      <c r="AA367" s="4">
        <v>1152</v>
      </c>
      <c r="AB367" s="4">
        <v>4</v>
      </c>
      <c r="AC367" s="4">
        <v>4</v>
      </c>
      <c r="AD367" s="4">
        <v>20</v>
      </c>
      <c r="AE367" s="4">
        <v>20</v>
      </c>
      <c r="AF367" s="4">
        <v>11</v>
      </c>
      <c r="AG367" s="4">
        <v>11</v>
      </c>
      <c r="AH367" s="4">
        <v>3</v>
      </c>
      <c r="AI367" s="4">
        <v>3</v>
      </c>
      <c r="AJ367" s="4">
        <v>9</v>
      </c>
      <c r="AK367" s="4">
        <v>9</v>
      </c>
      <c r="AL367" s="4">
        <v>3</v>
      </c>
      <c r="AM367" s="4">
        <v>3</v>
      </c>
      <c r="AN367" s="4">
        <v>0</v>
      </c>
      <c r="AO367" s="4">
        <v>0</v>
      </c>
      <c r="AP367" s="3" t="s">
        <v>58</v>
      </c>
      <c r="AQ367" s="3" t="s">
        <v>68</v>
      </c>
      <c r="AR367" s="6" t="str">
        <f>HYPERLINK("http://catalog.hathitrust.org/Record/000269955","HathiTrust Record")</f>
        <v>HathiTrust Record</v>
      </c>
      <c r="AS367" s="6" t="str">
        <f>HYPERLINK("https://creighton-primo.hosted.exlibrisgroup.com/primo-explore/search?tab=default_tab&amp;search_scope=EVERYTHING&amp;vid=01CRU&amp;lang=en_US&amp;offset=0&amp;query=any,contains,991005213549702656","Catalog Record")</f>
        <v>Catalog Record</v>
      </c>
      <c r="AT367" s="6" t="str">
        <f>HYPERLINK("http://www.worldcat.org/oclc/8171208","WorldCat Record")</f>
        <v>WorldCat Record</v>
      </c>
      <c r="AU367" s="3" t="s">
        <v>4584</v>
      </c>
      <c r="AV367" s="3" t="s">
        <v>4585</v>
      </c>
      <c r="AW367" s="3" t="s">
        <v>4586</v>
      </c>
      <c r="AX367" s="3" t="s">
        <v>4586</v>
      </c>
      <c r="AY367" s="3" t="s">
        <v>4587</v>
      </c>
      <c r="AZ367" s="3" t="s">
        <v>73</v>
      </c>
      <c r="BB367" s="3" t="s">
        <v>4588</v>
      </c>
      <c r="BC367" s="3" t="s">
        <v>4589</v>
      </c>
      <c r="BD367" s="3" t="s">
        <v>4590</v>
      </c>
    </row>
    <row r="368" spans="1:56" ht="31.5" customHeight="1" x14ac:dyDescent="0.25">
      <c r="A368" s="7" t="s">
        <v>58</v>
      </c>
      <c r="B368" s="2" t="s">
        <v>4591</v>
      </c>
      <c r="C368" s="2" t="s">
        <v>4592</v>
      </c>
      <c r="D368" s="2" t="s">
        <v>4593</v>
      </c>
      <c r="F368" s="3" t="s">
        <v>58</v>
      </c>
      <c r="G368" s="3" t="s">
        <v>59</v>
      </c>
      <c r="H368" s="3" t="s">
        <v>58</v>
      </c>
      <c r="I368" s="3" t="s">
        <v>58</v>
      </c>
      <c r="J368" s="3" t="s">
        <v>60</v>
      </c>
      <c r="K368" s="2" t="s">
        <v>4594</v>
      </c>
      <c r="L368" s="2" t="s">
        <v>4595</v>
      </c>
      <c r="M368" s="3" t="s">
        <v>1536</v>
      </c>
      <c r="N368" s="2" t="s">
        <v>1616</v>
      </c>
      <c r="O368" s="3" t="s">
        <v>63</v>
      </c>
      <c r="P368" s="3" t="s">
        <v>796</v>
      </c>
      <c r="R368" s="3" t="s">
        <v>65</v>
      </c>
      <c r="S368" s="4">
        <v>1</v>
      </c>
      <c r="T368" s="4">
        <v>1</v>
      </c>
      <c r="U368" s="5" t="s">
        <v>4582</v>
      </c>
      <c r="V368" s="5" t="s">
        <v>4582</v>
      </c>
      <c r="W368" s="5" t="s">
        <v>4002</v>
      </c>
      <c r="X368" s="5" t="s">
        <v>4002</v>
      </c>
      <c r="Y368" s="4">
        <v>201</v>
      </c>
      <c r="Z368" s="4">
        <v>194</v>
      </c>
      <c r="AA368" s="4">
        <v>204</v>
      </c>
      <c r="AB368" s="4">
        <v>2</v>
      </c>
      <c r="AC368" s="4">
        <v>3</v>
      </c>
      <c r="AD368" s="4">
        <v>4</v>
      </c>
      <c r="AE368" s="4">
        <v>5</v>
      </c>
      <c r="AF368" s="4">
        <v>2</v>
      </c>
      <c r="AG368" s="4">
        <v>2</v>
      </c>
      <c r="AH368" s="4">
        <v>0</v>
      </c>
      <c r="AI368" s="4">
        <v>0</v>
      </c>
      <c r="AJ368" s="4">
        <v>4</v>
      </c>
      <c r="AK368" s="4">
        <v>4</v>
      </c>
      <c r="AL368" s="4">
        <v>0</v>
      </c>
      <c r="AM368" s="4">
        <v>1</v>
      </c>
      <c r="AN368" s="4">
        <v>0</v>
      </c>
      <c r="AO368" s="4">
        <v>0</v>
      </c>
      <c r="AP368" s="3" t="s">
        <v>58</v>
      </c>
      <c r="AQ368" s="3" t="s">
        <v>68</v>
      </c>
      <c r="AR368" s="6" t="str">
        <f>HYPERLINK("http://catalog.hathitrust.org/Record/001991274","HathiTrust Record")</f>
        <v>HathiTrust Record</v>
      </c>
      <c r="AS368" s="6" t="str">
        <f>HYPERLINK("https://creighton-primo.hosted.exlibrisgroup.com/primo-explore/search?tab=default_tab&amp;search_scope=EVERYTHING&amp;vid=01CRU&amp;lang=en_US&amp;offset=0&amp;query=any,contains,991002929839702656","Catalog Record")</f>
        <v>Catalog Record</v>
      </c>
      <c r="AT368" s="6" t="str">
        <f>HYPERLINK("http://www.worldcat.org/oclc/530568","WorldCat Record")</f>
        <v>WorldCat Record</v>
      </c>
      <c r="AU368" s="3" t="s">
        <v>4596</v>
      </c>
      <c r="AV368" s="3" t="s">
        <v>4597</v>
      </c>
      <c r="AW368" s="3" t="s">
        <v>4598</v>
      </c>
      <c r="AX368" s="3" t="s">
        <v>4598</v>
      </c>
      <c r="AY368" s="3" t="s">
        <v>4599</v>
      </c>
      <c r="AZ368" s="3" t="s">
        <v>73</v>
      </c>
      <c r="BC368" s="3" t="s">
        <v>4600</v>
      </c>
      <c r="BD368" s="3" t="s">
        <v>4601</v>
      </c>
    </row>
    <row r="369" spans="1:56" ht="31.5" customHeight="1" x14ac:dyDescent="0.25">
      <c r="A369" s="7" t="s">
        <v>58</v>
      </c>
      <c r="B369" s="2" t="s">
        <v>4602</v>
      </c>
      <c r="C369" s="2" t="s">
        <v>4603</v>
      </c>
      <c r="D369" s="2" t="s">
        <v>4604</v>
      </c>
      <c r="F369" s="3" t="s">
        <v>58</v>
      </c>
      <c r="G369" s="3" t="s">
        <v>59</v>
      </c>
      <c r="H369" s="3" t="s">
        <v>58</v>
      </c>
      <c r="I369" s="3" t="s">
        <v>58</v>
      </c>
      <c r="J369" s="3" t="s">
        <v>60</v>
      </c>
      <c r="K369" s="2" t="s">
        <v>4605</v>
      </c>
      <c r="L369" s="2" t="s">
        <v>3255</v>
      </c>
      <c r="M369" s="3" t="s">
        <v>301</v>
      </c>
      <c r="O369" s="3" t="s">
        <v>63</v>
      </c>
      <c r="P369" s="3" t="s">
        <v>186</v>
      </c>
      <c r="R369" s="3" t="s">
        <v>65</v>
      </c>
      <c r="S369" s="4">
        <v>8</v>
      </c>
      <c r="T369" s="4">
        <v>8</v>
      </c>
      <c r="U369" s="5" t="s">
        <v>4606</v>
      </c>
      <c r="V369" s="5" t="s">
        <v>4606</v>
      </c>
      <c r="W369" s="5" t="s">
        <v>403</v>
      </c>
      <c r="X369" s="5" t="s">
        <v>403</v>
      </c>
      <c r="Y369" s="4">
        <v>635</v>
      </c>
      <c r="Z369" s="4">
        <v>455</v>
      </c>
      <c r="AA369" s="4">
        <v>469</v>
      </c>
      <c r="AB369" s="4">
        <v>4</v>
      </c>
      <c r="AC369" s="4">
        <v>4</v>
      </c>
      <c r="AD369" s="4">
        <v>16</v>
      </c>
      <c r="AE369" s="4">
        <v>17</v>
      </c>
      <c r="AF369" s="4">
        <v>4</v>
      </c>
      <c r="AG369" s="4">
        <v>4</v>
      </c>
      <c r="AH369" s="4">
        <v>5</v>
      </c>
      <c r="AI369" s="4">
        <v>5</v>
      </c>
      <c r="AJ369" s="4">
        <v>7</v>
      </c>
      <c r="AK369" s="4">
        <v>8</v>
      </c>
      <c r="AL369" s="4">
        <v>3</v>
      </c>
      <c r="AM369" s="4">
        <v>3</v>
      </c>
      <c r="AN369" s="4">
        <v>0</v>
      </c>
      <c r="AO369" s="4">
        <v>0</v>
      </c>
      <c r="AP369" s="3" t="s">
        <v>58</v>
      </c>
      <c r="AQ369" s="3" t="s">
        <v>58</v>
      </c>
      <c r="AS369" s="6" t="str">
        <f>HYPERLINK("https://creighton-primo.hosted.exlibrisgroup.com/primo-explore/search?tab=default_tab&amp;search_scope=EVERYTHING&amp;vid=01CRU&amp;lang=en_US&amp;offset=0&amp;query=any,contains,991002016929702656","Catalog Record")</f>
        <v>Catalog Record</v>
      </c>
      <c r="AT369" s="6" t="str">
        <f>HYPERLINK("http://www.worldcat.org/oclc/25632865","WorldCat Record")</f>
        <v>WorldCat Record</v>
      </c>
      <c r="AU369" s="3" t="s">
        <v>4607</v>
      </c>
      <c r="AV369" s="3" t="s">
        <v>4608</v>
      </c>
      <c r="AW369" s="3" t="s">
        <v>4609</v>
      </c>
      <c r="AX369" s="3" t="s">
        <v>4609</v>
      </c>
      <c r="AY369" s="3" t="s">
        <v>4610</v>
      </c>
      <c r="AZ369" s="3" t="s">
        <v>73</v>
      </c>
      <c r="BB369" s="3" t="s">
        <v>4611</v>
      </c>
      <c r="BC369" s="3" t="s">
        <v>4612</v>
      </c>
      <c r="BD369" s="3" t="s">
        <v>4613</v>
      </c>
    </row>
    <row r="370" spans="1:56" ht="31.5" customHeight="1" x14ac:dyDescent="0.25">
      <c r="A370" s="7" t="s">
        <v>58</v>
      </c>
      <c r="B370" s="2" t="s">
        <v>4614</v>
      </c>
      <c r="C370" s="2" t="s">
        <v>4615</v>
      </c>
      <c r="D370" s="2" t="s">
        <v>4616</v>
      </c>
      <c r="F370" s="3" t="s">
        <v>58</v>
      </c>
      <c r="G370" s="3" t="s">
        <v>59</v>
      </c>
      <c r="H370" s="3" t="s">
        <v>58</v>
      </c>
      <c r="I370" s="3" t="s">
        <v>58</v>
      </c>
      <c r="J370" s="3" t="s">
        <v>60</v>
      </c>
      <c r="K370" s="2" t="s">
        <v>4617</v>
      </c>
      <c r="L370" s="2" t="s">
        <v>4618</v>
      </c>
      <c r="M370" s="3" t="s">
        <v>159</v>
      </c>
      <c r="O370" s="3" t="s">
        <v>63</v>
      </c>
      <c r="P370" s="3" t="s">
        <v>186</v>
      </c>
      <c r="R370" s="3" t="s">
        <v>65</v>
      </c>
      <c r="S370" s="4">
        <v>2</v>
      </c>
      <c r="T370" s="4">
        <v>2</v>
      </c>
      <c r="U370" s="5" t="s">
        <v>4619</v>
      </c>
      <c r="V370" s="5" t="s">
        <v>4619</v>
      </c>
      <c r="W370" s="5" t="s">
        <v>4620</v>
      </c>
      <c r="X370" s="5" t="s">
        <v>4620</v>
      </c>
      <c r="Y370" s="4">
        <v>655</v>
      </c>
      <c r="Z370" s="4">
        <v>543</v>
      </c>
      <c r="AA370" s="4">
        <v>555</v>
      </c>
      <c r="AB370" s="4">
        <v>3</v>
      </c>
      <c r="AC370" s="4">
        <v>3</v>
      </c>
      <c r="AD370" s="4">
        <v>14</v>
      </c>
      <c r="AE370" s="4">
        <v>14</v>
      </c>
      <c r="AF370" s="4">
        <v>7</v>
      </c>
      <c r="AG370" s="4">
        <v>7</v>
      </c>
      <c r="AH370" s="4">
        <v>1</v>
      </c>
      <c r="AI370" s="4">
        <v>1</v>
      </c>
      <c r="AJ370" s="4">
        <v>5</v>
      </c>
      <c r="AK370" s="4">
        <v>5</v>
      </c>
      <c r="AL370" s="4">
        <v>2</v>
      </c>
      <c r="AM370" s="4">
        <v>2</v>
      </c>
      <c r="AN370" s="4">
        <v>0</v>
      </c>
      <c r="AO370" s="4">
        <v>0</v>
      </c>
      <c r="AP370" s="3" t="s">
        <v>58</v>
      </c>
      <c r="AQ370" s="3" t="s">
        <v>68</v>
      </c>
      <c r="AR370" s="6" t="str">
        <f>HYPERLINK("http://catalog.hathitrust.org/Record/000775376","HathiTrust Record")</f>
        <v>HathiTrust Record</v>
      </c>
      <c r="AS370" s="6" t="str">
        <f>HYPERLINK("https://creighton-primo.hosted.exlibrisgroup.com/primo-explore/search?tab=default_tab&amp;search_scope=EVERYTHING&amp;vid=01CRU&amp;lang=en_US&amp;offset=0&amp;query=any,contains,991000233919702656","Catalog Record")</f>
        <v>Catalog Record</v>
      </c>
      <c r="AT370" s="6" t="str">
        <f>HYPERLINK("http://www.worldcat.org/oclc/9645856","WorldCat Record")</f>
        <v>WorldCat Record</v>
      </c>
      <c r="AU370" s="3" t="s">
        <v>4621</v>
      </c>
      <c r="AV370" s="3" t="s">
        <v>4622</v>
      </c>
      <c r="AW370" s="3" t="s">
        <v>4623</v>
      </c>
      <c r="AX370" s="3" t="s">
        <v>4623</v>
      </c>
      <c r="AY370" s="3" t="s">
        <v>4624</v>
      </c>
      <c r="AZ370" s="3" t="s">
        <v>73</v>
      </c>
      <c r="BC370" s="3" t="s">
        <v>4625</v>
      </c>
      <c r="BD370" s="3" t="s">
        <v>4626</v>
      </c>
    </row>
    <row r="371" spans="1:56" ht="31.5" customHeight="1" x14ac:dyDescent="0.25">
      <c r="A371" s="7" t="s">
        <v>58</v>
      </c>
      <c r="B371" s="2" t="s">
        <v>4627</v>
      </c>
      <c r="C371" s="2" t="s">
        <v>4628</v>
      </c>
      <c r="D371" s="2" t="s">
        <v>4629</v>
      </c>
      <c r="F371" s="3" t="s">
        <v>58</v>
      </c>
      <c r="G371" s="3" t="s">
        <v>59</v>
      </c>
      <c r="H371" s="3" t="s">
        <v>58</v>
      </c>
      <c r="I371" s="3" t="s">
        <v>58</v>
      </c>
      <c r="J371" s="3" t="s">
        <v>60</v>
      </c>
      <c r="K371" s="2" t="s">
        <v>4630</v>
      </c>
      <c r="L371" s="2" t="s">
        <v>4631</v>
      </c>
      <c r="M371" s="3" t="s">
        <v>1912</v>
      </c>
      <c r="N371" s="2" t="s">
        <v>501</v>
      </c>
      <c r="O371" s="3" t="s">
        <v>63</v>
      </c>
      <c r="P371" s="3" t="s">
        <v>64</v>
      </c>
      <c r="R371" s="3" t="s">
        <v>65</v>
      </c>
      <c r="S371" s="4">
        <v>9</v>
      </c>
      <c r="T371" s="4">
        <v>9</v>
      </c>
      <c r="U371" s="5" t="s">
        <v>2090</v>
      </c>
      <c r="V371" s="5" t="s">
        <v>2090</v>
      </c>
      <c r="W371" s="5" t="s">
        <v>3407</v>
      </c>
      <c r="X371" s="5" t="s">
        <v>3407</v>
      </c>
      <c r="Y371" s="4">
        <v>1104</v>
      </c>
      <c r="Z371" s="4">
        <v>1003</v>
      </c>
      <c r="AA371" s="4">
        <v>1136</v>
      </c>
      <c r="AB371" s="4">
        <v>5</v>
      </c>
      <c r="AC371" s="4">
        <v>6</v>
      </c>
      <c r="AD371" s="4">
        <v>25</v>
      </c>
      <c r="AE371" s="4">
        <v>30</v>
      </c>
      <c r="AF371" s="4">
        <v>10</v>
      </c>
      <c r="AG371" s="4">
        <v>11</v>
      </c>
      <c r="AH371" s="4">
        <v>3</v>
      </c>
      <c r="AI371" s="4">
        <v>6</v>
      </c>
      <c r="AJ371" s="4">
        <v>14</v>
      </c>
      <c r="AK371" s="4">
        <v>15</v>
      </c>
      <c r="AL371" s="4">
        <v>3</v>
      </c>
      <c r="AM371" s="4">
        <v>4</v>
      </c>
      <c r="AN371" s="4">
        <v>0</v>
      </c>
      <c r="AO371" s="4">
        <v>0</v>
      </c>
      <c r="AP371" s="3" t="s">
        <v>58</v>
      </c>
      <c r="AQ371" s="3" t="s">
        <v>58</v>
      </c>
      <c r="AS371" s="6" t="str">
        <f>HYPERLINK("https://creighton-primo.hosted.exlibrisgroup.com/primo-explore/search?tab=default_tab&amp;search_scope=EVERYTHING&amp;vid=01CRU&amp;lang=en_US&amp;offset=0&amp;query=any,contains,991000779159702656","Catalog Record")</f>
        <v>Catalog Record</v>
      </c>
      <c r="AT371" s="6" t="str">
        <f>HYPERLINK("http://www.worldcat.org/oclc/13093867","WorldCat Record")</f>
        <v>WorldCat Record</v>
      </c>
      <c r="AU371" s="3" t="s">
        <v>4632</v>
      </c>
      <c r="AV371" s="3" t="s">
        <v>4633</v>
      </c>
      <c r="AW371" s="3" t="s">
        <v>4634</v>
      </c>
      <c r="AX371" s="3" t="s">
        <v>4634</v>
      </c>
      <c r="AY371" s="3" t="s">
        <v>4635</v>
      </c>
      <c r="AZ371" s="3" t="s">
        <v>73</v>
      </c>
      <c r="BB371" s="3" t="s">
        <v>4636</v>
      </c>
      <c r="BC371" s="3" t="s">
        <v>4637</v>
      </c>
      <c r="BD371" s="3" t="s">
        <v>4638</v>
      </c>
    </row>
    <row r="372" spans="1:56" ht="31.5" customHeight="1" x14ac:dyDescent="0.25">
      <c r="A372" s="7" t="s">
        <v>58</v>
      </c>
      <c r="B372" s="2" t="s">
        <v>4639</v>
      </c>
      <c r="C372" s="2" t="s">
        <v>4640</v>
      </c>
      <c r="D372" s="2" t="s">
        <v>4641</v>
      </c>
      <c r="F372" s="3" t="s">
        <v>58</v>
      </c>
      <c r="G372" s="3" t="s">
        <v>59</v>
      </c>
      <c r="H372" s="3" t="s">
        <v>58</v>
      </c>
      <c r="I372" s="3" t="s">
        <v>58</v>
      </c>
      <c r="J372" s="3" t="s">
        <v>60</v>
      </c>
      <c r="K372" s="2" t="s">
        <v>4642</v>
      </c>
      <c r="L372" s="2" t="s">
        <v>4643</v>
      </c>
      <c r="M372" s="3" t="s">
        <v>1235</v>
      </c>
      <c r="O372" s="3" t="s">
        <v>63</v>
      </c>
      <c r="P372" s="3" t="s">
        <v>64</v>
      </c>
      <c r="R372" s="3" t="s">
        <v>65</v>
      </c>
      <c r="S372" s="4">
        <v>2</v>
      </c>
      <c r="T372" s="4">
        <v>2</v>
      </c>
      <c r="U372" s="5" t="s">
        <v>4644</v>
      </c>
      <c r="V372" s="5" t="s">
        <v>4644</v>
      </c>
      <c r="W372" s="5" t="s">
        <v>4645</v>
      </c>
      <c r="X372" s="5" t="s">
        <v>4645</v>
      </c>
      <c r="Y372" s="4">
        <v>437</v>
      </c>
      <c r="Z372" s="4">
        <v>355</v>
      </c>
      <c r="AA372" s="4">
        <v>356</v>
      </c>
      <c r="AB372" s="4">
        <v>3</v>
      </c>
      <c r="AC372" s="4">
        <v>3</v>
      </c>
      <c r="AD372" s="4">
        <v>12</v>
      </c>
      <c r="AE372" s="4">
        <v>12</v>
      </c>
      <c r="AF372" s="4">
        <v>5</v>
      </c>
      <c r="AG372" s="4">
        <v>5</v>
      </c>
      <c r="AH372" s="4">
        <v>3</v>
      </c>
      <c r="AI372" s="4">
        <v>3</v>
      </c>
      <c r="AJ372" s="4">
        <v>4</v>
      </c>
      <c r="AK372" s="4">
        <v>4</v>
      </c>
      <c r="AL372" s="4">
        <v>2</v>
      </c>
      <c r="AM372" s="4">
        <v>2</v>
      </c>
      <c r="AN372" s="4">
        <v>0</v>
      </c>
      <c r="AO372" s="4">
        <v>0</v>
      </c>
      <c r="AP372" s="3" t="s">
        <v>58</v>
      </c>
      <c r="AQ372" s="3" t="s">
        <v>58</v>
      </c>
      <c r="AS372" s="6" t="str">
        <f>HYPERLINK("https://creighton-primo.hosted.exlibrisgroup.com/primo-explore/search?tab=default_tab&amp;search_scope=EVERYTHING&amp;vid=01CRU&amp;lang=en_US&amp;offset=0&amp;query=any,contains,991004237789702656","Catalog Record")</f>
        <v>Catalog Record</v>
      </c>
      <c r="AT372" s="6" t="str">
        <f>HYPERLINK("http://www.worldcat.org/oclc/53253778","WorldCat Record")</f>
        <v>WorldCat Record</v>
      </c>
      <c r="AU372" s="3" t="s">
        <v>4646</v>
      </c>
      <c r="AV372" s="3" t="s">
        <v>4647</v>
      </c>
      <c r="AW372" s="3" t="s">
        <v>4648</v>
      </c>
      <c r="AX372" s="3" t="s">
        <v>4648</v>
      </c>
      <c r="AY372" s="3" t="s">
        <v>4649</v>
      </c>
      <c r="AZ372" s="3" t="s">
        <v>73</v>
      </c>
      <c r="BB372" s="3" t="s">
        <v>4650</v>
      </c>
      <c r="BC372" s="3" t="s">
        <v>4651</v>
      </c>
      <c r="BD372" s="3" t="s">
        <v>4652</v>
      </c>
    </row>
    <row r="373" spans="1:56" ht="31.5" customHeight="1" x14ac:dyDescent="0.25">
      <c r="A373" s="7" t="s">
        <v>58</v>
      </c>
      <c r="B373" s="2" t="s">
        <v>4653</v>
      </c>
      <c r="C373" s="2" t="s">
        <v>4654</v>
      </c>
      <c r="D373" s="2" t="s">
        <v>4655</v>
      </c>
      <c r="F373" s="3" t="s">
        <v>58</v>
      </c>
      <c r="G373" s="3" t="s">
        <v>59</v>
      </c>
      <c r="H373" s="3" t="s">
        <v>58</v>
      </c>
      <c r="I373" s="3" t="s">
        <v>58</v>
      </c>
      <c r="J373" s="3" t="s">
        <v>60</v>
      </c>
      <c r="K373" s="2" t="s">
        <v>4656</v>
      </c>
      <c r="L373" s="2" t="s">
        <v>4657</v>
      </c>
      <c r="M373" s="3" t="s">
        <v>257</v>
      </c>
      <c r="N373" s="2" t="s">
        <v>501</v>
      </c>
      <c r="O373" s="3" t="s">
        <v>63</v>
      </c>
      <c r="P373" s="3" t="s">
        <v>64</v>
      </c>
      <c r="R373" s="3" t="s">
        <v>65</v>
      </c>
      <c r="S373" s="4">
        <v>1</v>
      </c>
      <c r="T373" s="4">
        <v>1</v>
      </c>
      <c r="U373" s="5" t="s">
        <v>4658</v>
      </c>
      <c r="V373" s="5" t="s">
        <v>4658</v>
      </c>
      <c r="W373" s="5" t="s">
        <v>4659</v>
      </c>
      <c r="X373" s="5" t="s">
        <v>4659</v>
      </c>
      <c r="Y373" s="4">
        <v>349</v>
      </c>
      <c r="Z373" s="4">
        <v>325</v>
      </c>
      <c r="AA373" s="4">
        <v>338</v>
      </c>
      <c r="AB373" s="4">
        <v>3</v>
      </c>
      <c r="AC373" s="4">
        <v>3</v>
      </c>
      <c r="AD373" s="4">
        <v>6</v>
      </c>
      <c r="AE373" s="4">
        <v>6</v>
      </c>
      <c r="AF373" s="4">
        <v>2</v>
      </c>
      <c r="AG373" s="4">
        <v>2</v>
      </c>
      <c r="AH373" s="4">
        <v>1</v>
      </c>
      <c r="AI373" s="4">
        <v>1</v>
      </c>
      <c r="AJ373" s="4">
        <v>3</v>
      </c>
      <c r="AK373" s="4">
        <v>3</v>
      </c>
      <c r="AL373" s="4">
        <v>2</v>
      </c>
      <c r="AM373" s="4">
        <v>2</v>
      </c>
      <c r="AN373" s="4">
        <v>0</v>
      </c>
      <c r="AO373" s="4">
        <v>0</v>
      </c>
      <c r="AP373" s="3" t="s">
        <v>58</v>
      </c>
      <c r="AQ373" s="3" t="s">
        <v>58</v>
      </c>
      <c r="AS373" s="6" t="str">
        <f>HYPERLINK("https://creighton-primo.hosted.exlibrisgroup.com/primo-explore/search?tab=default_tab&amp;search_scope=EVERYTHING&amp;vid=01CRU&amp;lang=en_US&amp;offset=0&amp;query=any,contains,991002670879702656","Catalog Record")</f>
        <v>Catalog Record</v>
      </c>
      <c r="AT373" s="6" t="str">
        <f>HYPERLINK("http://www.worldcat.org/oclc/34932718","WorldCat Record")</f>
        <v>WorldCat Record</v>
      </c>
      <c r="AU373" s="3" t="s">
        <v>4660</v>
      </c>
      <c r="AV373" s="3" t="s">
        <v>4661</v>
      </c>
      <c r="AW373" s="3" t="s">
        <v>4662</v>
      </c>
      <c r="AX373" s="3" t="s">
        <v>4662</v>
      </c>
      <c r="AY373" s="3" t="s">
        <v>4663</v>
      </c>
      <c r="AZ373" s="3" t="s">
        <v>73</v>
      </c>
      <c r="BB373" s="3" t="s">
        <v>4664</v>
      </c>
      <c r="BC373" s="3" t="s">
        <v>4665</v>
      </c>
      <c r="BD373" s="3" t="s">
        <v>4666</v>
      </c>
    </row>
    <row r="374" spans="1:56" ht="31.5" customHeight="1" x14ac:dyDescent="0.25">
      <c r="A374" s="7" t="s">
        <v>58</v>
      </c>
      <c r="B374" s="2" t="s">
        <v>4667</v>
      </c>
      <c r="C374" s="2" t="s">
        <v>4668</v>
      </c>
      <c r="D374" s="2" t="s">
        <v>4669</v>
      </c>
      <c r="F374" s="3" t="s">
        <v>58</v>
      </c>
      <c r="G374" s="3" t="s">
        <v>59</v>
      </c>
      <c r="H374" s="3" t="s">
        <v>58</v>
      </c>
      <c r="I374" s="3" t="s">
        <v>58</v>
      </c>
      <c r="J374" s="3" t="s">
        <v>60</v>
      </c>
      <c r="L374" s="2" t="s">
        <v>4670</v>
      </c>
      <c r="M374" s="3" t="s">
        <v>944</v>
      </c>
      <c r="O374" s="3" t="s">
        <v>63</v>
      </c>
      <c r="P374" s="3" t="s">
        <v>64</v>
      </c>
      <c r="R374" s="3" t="s">
        <v>65</v>
      </c>
      <c r="S374" s="4">
        <v>1</v>
      </c>
      <c r="T374" s="4">
        <v>1</v>
      </c>
      <c r="U374" s="5" t="s">
        <v>4658</v>
      </c>
      <c r="V374" s="5" t="s">
        <v>4658</v>
      </c>
      <c r="W374" s="5" t="s">
        <v>4671</v>
      </c>
      <c r="X374" s="5" t="s">
        <v>4671</v>
      </c>
      <c r="Y374" s="4">
        <v>438</v>
      </c>
      <c r="Z374" s="4">
        <v>360</v>
      </c>
      <c r="AA374" s="4">
        <v>366</v>
      </c>
      <c r="AB374" s="4">
        <v>3</v>
      </c>
      <c r="AC374" s="4">
        <v>3</v>
      </c>
      <c r="AD374" s="4">
        <v>11</v>
      </c>
      <c r="AE374" s="4">
        <v>11</v>
      </c>
      <c r="AF374" s="4">
        <v>3</v>
      </c>
      <c r="AG374" s="4">
        <v>3</v>
      </c>
      <c r="AH374" s="4">
        <v>4</v>
      </c>
      <c r="AI374" s="4">
        <v>4</v>
      </c>
      <c r="AJ374" s="4">
        <v>4</v>
      </c>
      <c r="AK374" s="4">
        <v>4</v>
      </c>
      <c r="AL374" s="4">
        <v>2</v>
      </c>
      <c r="AM374" s="4">
        <v>2</v>
      </c>
      <c r="AN374" s="4">
        <v>0</v>
      </c>
      <c r="AO374" s="4">
        <v>0</v>
      </c>
      <c r="AP374" s="3" t="s">
        <v>58</v>
      </c>
      <c r="AQ374" s="3" t="s">
        <v>68</v>
      </c>
      <c r="AR374" s="6" t="str">
        <f>HYPERLINK("http://catalog.hathitrust.org/Record/002230820","HathiTrust Record")</f>
        <v>HathiTrust Record</v>
      </c>
      <c r="AS374" s="6" t="str">
        <f>HYPERLINK("https://creighton-primo.hosted.exlibrisgroup.com/primo-explore/search?tab=default_tab&amp;search_scope=EVERYTHING&amp;vid=01CRU&amp;lang=en_US&amp;offset=0&amp;query=any,contains,991001727799702656","Catalog Record")</f>
        <v>Catalog Record</v>
      </c>
      <c r="AT374" s="6" t="str">
        <f>HYPERLINK("http://www.worldcat.org/oclc/21905280","WorldCat Record")</f>
        <v>WorldCat Record</v>
      </c>
      <c r="AU374" s="3" t="s">
        <v>4672</v>
      </c>
      <c r="AV374" s="3" t="s">
        <v>4673</v>
      </c>
      <c r="AW374" s="3" t="s">
        <v>4674</v>
      </c>
      <c r="AX374" s="3" t="s">
        <v>4674</v>
      </c>
      <c r="AY374" s="3" t="s">
        <v>4675</v>
      </c>
      <c r="AZ374" s="3" t="s">
        <v>73</v>
      </c>
      <c r="BB374" s="3" t="s">
        <v>4676</v>
      </c>
      <c r="BC374" s="3" t="s">
        <v>4677</v>
      </c>
      <c r="BD374" s="3" t="s">
        <v>4678</v>
      </c>
    </row>
    <row r="375" spans="1:56" ht="31.5" customHeight="1" x14ac:dyDescent="0.25">
      <c r="A375" s="7" t="s">
        <v>58</v>
      </c>
      <c r="B375" s="2" t="s">
        <v>4679</v>
      </c>
      <c r="C375" s="2" t="s">
        <v>4680</v>
      </c>
      <c r="D375" s="2" t="s">
        <v>4681</v>
      </c>
      <c r="F375" s="3" t="s">
        <v>58</v>
      </c>
      <c r="G375" s="3" t="s">
        <v>59</v>
      </c>
      <c r="H375" s="3" t="s">
        <v>58</v>
      </c>
      <c r="I375" s="3" t="s">
        <v>58</v>
      </c>
      <c r="J375" s="3" t="s">
        <v>60</v>
      </c>
      <c r="K375" s="2" t="s">
        <v>4682</v>
      </c>
      <c r="L375" s="2" t="s">
        <v>4683</v>
      </c>
      <c r="M375" s="3" t="s">
        <v>430</v>
      </c>
      <c r="O375" s="3" t="s">
        <v>63</v>
      </c>
      <c r="P375" s="3" t="s">
        <v>64</v>
      </c>
      <c r="R375" s="3" t="s">
        <v>65</v>
      </c>
      <c r="S375" s="4">
        <v>2</v>
      </c>
      <c r="T375" s="4">
        <v>2</v>
      </c>
      <c r="U375" s="5" t="s">
        <v>4684</v>
      </c>
      <c r="V375" s="5" t="s">
        <v>4684</v>
      </c>
      <c r="W375" s="5" t="s">
        <v>3407</v>
      </c>
      <c r="X375" s="5" t="s">
        <v>3407</v>
      </c>
      <c r="Y375" s="4">
        <v>594</v>
      </c>
      <c r="Z375" s="4">
        <v>552</v>
      </c>
      <c r="AA375" s="4">
        <v>580</v>
      </c>
      <c r="AB375" s="4">
        <v>6</v>
      </c>
      <c r="AC375" s="4">
        <v>6</v>
      </c>
      <c r="AD375" s="4">
        <v>18</v>
      </c>
      <c r="AE375" s="4">
        <v>19</v>
      </c>
      <c r="AF375" s="4">
        <v>9</v>
      </c>
      <c r="AG375" s="4">
        <v>9</v>
      </c>
      <c r="AH375" s="4">
        <v>1</v>
      </c>
      <c r="AI375" s="4">
        <v>1</v>
      </c>
      <c r="AJ375" s="4">
        <v>7</v>
      </c>
      <c r="AK375" s="4">
        <v>8</v>
      </c>
      <c r="AL375" s="4">
        <v>5</v>
      </c>
      <c r="AM375" s="4">
        <v>5</v>
      </c>
      <c r="AN375" s="4">
        <v>0</v>
      </c>
      <c r="AO375" s="4">
        <v>0</v>
      </c>
      <c r="AP375" s="3" t="s">
        <v>58</v>
      </c>
      <c r="AQ375" s="3" t="s">
        <v>58</v>
      </c>
      <c r="AS375" s="6" t="str">
        <f>HYPERLINK("https://creighton-primo.hosted.exlibrisgroup.com/primo-explore/search?tab=default_tab&amp;search_scope=EVERYTHING&amp;vid=01CRU&amp;lang=en_US&amp;offset=0&amp;query=any,contains,991003347839702656","Catalog Record")</f>
        <v>Catalog Record</v>
      </c>
      <c r="AT375" s="6" t="str">
        <f>HYPERLINK("http://www.worldcat.org/oclc/879909","WorldCat Record")</f>
        <v>WorldCat Record</v>
      </c>
      <c r="AU375" s="3" t="s">
        <v>4685</v>
      </c>
      <c r="AV375" s="3" t="s">
        <v>4686</v>
      </c>
      <c r="AW375" s="3" t="s">
        <v>4687</v>
      </c>
      <c r="AX375" s="3" t="s">
        <v>4687</v>
      </c>
      <c r="AY375" s="3" t="s">
        <v>4688</v>
      </c>
      <c r="AZ375" s="3" t="s">
        <v>73</v>
      </c>
      <c r="BB375" s="3" t="s">
        <v>4689</v>
      </c>
      <c r="BC375" s="3" t="s">
        <v>4690</v>
      </c>
      <c r="BD375" s="3" t="s">
        <v>4691</v>
      </c>
    </row>
    <row r="376" spans="1:56" ht="31.5" customHeight="1" x14ac:dyDescent="0.25">
      <c r="A376" s="7" t="s">
        <v>58</v>
      </c>
      <c r="B376" s="2" t="s">
        <v>4692</v>
      </c>
      <c r="C376" s="2" t="s">
        <v>4693</v>
      </c>
      <c r="D376" s="2" t="s">
        <v>4694</v>
      </c>
      <c r="F376" s="3" t="s">
        <v>58</v>
      </c>
      <c r="G376" s="3" t="s">
        <v>59</v>
      </c>
      <c r="H376" s="3" t="s">
        <v>58</v>
      </c>
      <c r="I376" s="3" t="s">
        <v>58</v>
      </c>
      <c r="J376" s="3" t="s">
        <v>60</v>
      </c>
      <c r="K376" s="2" t="s">
        <v>4695</v>
      </c>
      <c r="L376" s="2" t="s">
        <v>4696</v>
      </c>
      <c r="M376" s="3" t="s">
        <v>821</v>
      </c>
      <c r="O376" s="3" t="s">
        <v>63</v>
      </c>
      <c r="P376" s="3" t="s">
        <v>360</v>
      </c>
      <c r="R376" s="3" t="s">
        <v>65</v>
      </c>
      <c r="S376" s="4">
        <v>4</v>
      </c>
      <c r="T376" s="4">
        <v>4</v>
      </c>
      <c r="U376" s="5" t="s">
        <v>4684</v>
      </c>
      <c r="V376" s="5" t="s">
        <v>4684</v>
      </c>
      <c r="W376" s="5" t="s">
        <v>3407</v>
      </c>
      <c r="X376" s="5" t="s">
        <v>3407</v>
      </c>
      <c r="Y376" s="4">
        <v>723</v>
      </c>
      <c r="Z376" s="4">
        <v>679</v>
      </c>
      <c r="AA376" s="4">
        <v>705</v>
      </c>
      <c r="AB376" s="4">
        <v>4</v>
      </c>
      <c r="AC376" s="4">
        <v>5</v>
      </c>
      <c r="AD376" s="4">
        <v>9</v>
      </c>
      <c r="AE376" s="4">
        <v>10</v>
      </c>
      <c r="AF376" s="4">
        <v>4</v>
      </c>
      <c r="AG376" s="4">
        <v>4</v>
      </c>
      <c r="AH376" s="4">
        <v>0</v>
      </c>
      <c r="AI376" s="4">
        <v>0</v>
      </c>
      <c r="AJ376" s="4">
        <v>2</v>
      </c>
      <c r="AK376" s="4">
        <v>2</v>
      </c>
      <c r="AL376" s="4">
        <v>3</v>
      </c>
      <c r="AM376" s="4">
        <v>4</v>
      </c>
      <c r="AN376" s="4">
        <v>0</v>
      </c>
      <c r="AO376" s="4">
        <v>0</v>
      </c>
      <c r="AP376" s="3" t="s">
        <v>58</v>
      </c>
      <c r="AQ376" s="3" t="s">
        <v>68</v>
      </c>
      <c r="AR376" s="6" t="str">
        <f>HYPERLINK("http://catalog.hathitrust.org/Record/000416430","HathiTrust Record")</f>
        <v>HathiTrust Record</v>
      </c>
      <c r="AS376" s="6" t="str">
        <f>HYPERLINK("https://creighton-primo.hosted.exlibrisgroup.com/primo-explore/search?tab=default_tab&amp;search_scope=EVERYTHING&amp;vid=01CRU&amp;lang=en_US&amp;offset=0&amp;query=any,contains,991000450529702656","Catalog Record")</f>
        <v>Catalog Record</v>
      </c>
      <c r="AT376" s="6" t="str">
        <f>HYPERLINK("http://www.worldcat.org/oclc/10878696","WorldCat Record")</f>
        <v>WorldCat Record</v>
      </c>
      <c r="AU376" s="3" t="s">
        <v>4697</v>
      </c>
      <c r="AV376" s="3" t="s">
        <v>4698</v>
      </c>
      <c r="AW376" s="3" t="s">
        <v>4699</v>
      </c>
      <c r="AX376" s="3" t="s">
        <v>4699</v>
      </c>
      <c r="AY376" s="3" t="s">
        <v>4700</v>
      </c>
      <c r="AZ376" s="3" t="s">
        <v>73</v>
      </c>
      <c r="BB376" s="3" t="s">
        <v>4701</v>
      </c>
      <c r="BC376" s="3" t="s">
        <v>4702</v>
      </c>
      <c r="BD376" s="3" t="s">
        <v>4703</v>
      </c>
    </row>
    <row r="377" spans="1:56" ht="31.5" customHeight="1" x14ac:dyDescent="0.25">
      <c r="A377" s="7" t="s">
        <v>58</v>
      </c>
      <c r="B377" s="2" t="s">
        <v>4704</v>
      </c>
      <c r="C377" s="2" t="s">
        <v>4705</v>
      </c>
      <c r="D377" s="2" t="s">
        <v>4706</v>
      </c>
      <c r="F377" s="3" t="s">
        <v>58</v>
      </c>
      <c r="G377" s="3" t="s">
        <v>59</v>
      </c>
      <c r="H377" s="3" t="s">
        <v>58</v>
      </c>
      <c r="I377" s="3" t="s">
        <v>58</v>
      </c>
      <c r="J377" s="3" t="s">
        <v>60</v>
      </c>
      <c r="K377" s="2" t="s">
        <v>4707</v>
      </c>
      <c r="L377" s="2" t="s">
        <v>4708</v>
      </c>
      <c r="M377" s="3" t="s">
        <v>244</v>
      </c>
      <c r="N377" s="2" t="s">
        <v>345</v>
      </c>
      <c r="O377" s="3" t="s">
        <v>63</v>
      </c>
      <c r="P377" s="3" t="s">
        <v>64</v>
      </c>
      <c r="R377" s="3" t="s">
        <v>65</v>
      </c>
      <c r="S377" s="4">
        <v>2</v>
      </c>
      <c r="T377" s="4">
        <v>2</v>
      </c>
      <c r="U377" s="5" t="s">
        <v>4684</v>
      </c>
      <c r="V377" s="5" t="s">
        <v>4684</v>
      </c>
      <c r="W377" s="5" t="s">
        <v>3407</v>
      </c>
      <c r="X377" s="5" t="s">
        <v>3407</v>
      </c>
      <c r="Y377" s="4">
        <v>716</v>
      </c>
      <c r="Z377" s="4">
        <v>673</v>
      </c>
      <c r="AA377" s="4">
        <v>686</v>
      </c>
      <c r="AB377" s="4">
        <v>5</v>
      </c>
      <c r="AC377" s="4">
        <v>5</v>
      </c>
      <c r="AD377" s="4">
        <v>12</v>
      </c>
      <c r="AE377" s="4">
        <v>12</v>
      </c>
      <c r="AF377" s="4">
        <v>4</v>
      </c>
      <c r="AG377" s="4">
        <v>4</v>
      </c>
      <c r="AH377" s="4">
        <v>0</v>
      </c>
      <c r="AI377" s="4">
        <v>0</v>
      </c>
      <c r="AJ377" s="4">
        <v>5</v>
      </c>
      <c r="AK377" s="4">
        <v>5</v>
      </c>
      <c r="AL377" s="4">
        <v>4</v>
      </c>
      <c r="AM377" s="4">
        <v>4</v>
      </c>
      <c r="AN377" s="4">
        <v>0</v>
      </c>
      <c r="AO377" s="4">
        <v>0</v>
      </c>
      <c r="AP377" s="3" t="s">
        <v>58</v>
      </c>
      <c r="AQ377" s="3" t="s">
        <v>58</v>
      </c>
      <c r="AS377" s="6" t="str">
        <f>HYPERLINK("https://creighton-primo.hosted.exlibrisgroup.com/primo-explore/search?tab=default_tab&amp;search_scope=EVERYTHING&amp;vid=01CRU&amp;lang=en_US&amp;offset=0&amp;query=any,contains,991005114509702656","Catalog Record")</f>
        <v>Catalog Record</v>
      </c>
      <c r="AT377" s="6" t="str">
        <f>HYPERLINK("http://www.worldcat.org/oclc/7461059","WorldCat Record")</f>
        <v>WorldCat Record</v>
      </c>
      <c r="AU377" s="3" t="s">
        <v>4709</v>
      </c>
      <c r="AV377" s="3" t="s">
        <v>4710</v>
      </c>
      <c r="AW377" s="3" t="s">
        <v>4711</v>
      </c>
      <c r="AX377" s="3" t="s">
        <v>4711</v>
      </c>
      <c r="AY377" s="3" t="s">
        <v>4712</v>
      </c>
      <c r="AZ377" s="3" t="s">
        <v>73</v>
      </c>
      <c r="BB377" s="3" t="s">
        <v>4713</v>
      </c>
      <c r="BC377" s="3" t="s">
        <v>4714</v>
      </c>
      <c r="BD377" s="3" t="s">
        <v>4715</v>
      </c>
    </row>
    <row r="378" spans="1:56" ht="31.5" customHeight="1" x14ac:dyDescent="0.25">
      <c r="A378" s="7" t="s">
        <v>58</v>
      </c>
      <c r="B378" s="2" t="s">
        <v>4716</v>
      </c>
      <c r="C378" s="2" t="s">
        <v>4717</v>
      </c>
      <c r="D378" s="2" t="s">
        <v>4718</v>
      </c>
      <c r="F378" s="3" t="s">
        <v>58</v>
      </c>
      <c r="G378" s="3" t="s">
        <v>59</v>
      </c>
      <c r="H378" s="3" t="s">
        <v>58</v>
      </c>
      <c r="I378" s="3" t="s">
        <v>58</v>
      </c>
      <c r="J378" s="3" t="s">
        <v>60</v>
      </c>
      <c r="K378" s="2" t="s">
        <v>4719</v>
      </c>
      <c r="L378" s="2" t="s">
        <v>4720</v>
      </c>
      <c r="M378" s="3" t="s">
        <v>185</v>
      </c>
      <c r="N378" s="2" t="s">
        <v>501</v>
      </c>
      <c r="O378" s="3" t="s">
        <v>63</v>
      </c>
      <c r="P378" s="3" t="s">
        <v>64</v>
      </c>
      <c r="R378" s="3" t="s">
        <v>65</v>
      </c>
      <c r="S378" s="4">
        <v>2</v>
      </c>
      <c r="T378" s="4">
        <v>2</v>
      </c>
      <c r="U378" s="5" t="s">
        <v>2090</v>
      </c>
      <c r="V378" s="5" t="s">
        <v>2090</v>
      </c>
      <c r="W378" s="5" t="s">
        <v>4721</v>
      </c>
      <c r="X378" s="5" t="s">
        <v>4721</v>
      </c>
      <c r="Y378" s="4">
        <v>702</v>
      </c>
      <c r="Z378" s="4">
        <v>666</v>
      </c>
      <c r="AA378" s="4">
        <v>672</v>
      </c>
      <c r="AB378" s="4">
        <v>4</v>
      </c>
      <c r="AC378" s="4">
        <v>4</v>
      </c>
      <c r="AD378" s="4">
        <v>15</v>
      </c>
      <c r="AE378" s="4">
        <v>15</v>
      </c>
      <c r="AF378" s="4">
        <v>3</v>
      </c>
      <c r="AG378" s="4">
        <v>3</v>
      </c>
      <c r="AH378" s="4">
        <v>2</v>
      </c>
      <c r="AI378" s="4">
        <v>2</v>
      </c>
      <c r="AJ378" s="4">
        <v>9</v>
      </c>
      <c r="AK378" s="4">
        <v>9</v>
      </c>
      <c r="AL378" s="4">
        <v>3</v>
      </c>
      <c r="AM378" s="4">
        <v>3</v>
      </c>
      <c r="AN378" s="4">
        <v>0</v>
      </c>
      <c r="AO378" s="4">
        <v>0</v>
      </c>
      <c r="AP378" s="3" t="s">
        <v>58</v>
      </c>
      <c r="AQ378" s="3" t="s">
        <v>58</v>
      </c>
      <c r="AS378" s="6" t="str">
        <f>HYPERLINK("https://creighton-primo.hosted.exlibrisgroup.com/primo-explore/search?tab=default_tab&amp;search_scope=EVERYTHING&amp;vid=01CRU&amp;lang=en_US&amp;offset=0&amp;query=any,contains,991001190879702656","Catalog Record")</f>
        <v>Catalog Record</v>
      </c>
      <c r="AT378" s="6" t="str">
        <f>HYPERLINK("http://www.worldcat.org/oclc/17258361","WorldCat Record")</f>
        <v>WorldCat Record</v>
      </c>
      <c r="AU378" s="3" t="s">
        <v>4722</v>
      </c>
      <c r="AV378" s="3" t="s">
        <v>4723</v>
      </c>
      <c r="AW378" s="3" t="s">
        <v>4724</v>
      </c>
      <c r="AX378" s="3" t="s">
        <v>4724</v>
      </c>
      <c r="AY378" s="3" t="s">
        <v>4725</v>
      </c>
      <c r="AZ378" s="3" t="s">
        <v>73</v>
      </c>
      <c r="BB378" s="3" t="s">
        <v>4726</v>
      </c>
      <c r="BC378" s="3" t="s">
        <v>4727</v>
      </c>
      <c r="BD378" s="3" t="s">
        <v>4728</v>
      </c>
    </row>
    <row r="379" spans="1:56" ht="31.5" customHeight="1" x14ac:dyDescent="0.25">
      <c r="A379" s="7" t="s">
        <v>58</v>
      </c>
      <c r="B379" s="2" t="s">
        <v>4729</v>
      </c>
      <c r="C379" s="2" t="s">
        <v>4730</v>
      </c>
      <c r="D379" s="2" t="s">
        <v>4731</v>
      </c>
      <c r="F379" s="3" t="s">
        <v>58</v>
      </c>
      <c r="G379" s="3" t="s">
        <v>59</v>
      </c>
      <c r="H379" s="3" t="s">
        <v>58</v>
      </c>
      <c r="I379" s="3" t="s">
        <v>58</v>
      </c>
      <c r="J379" s="3" t="s">
        <v>60</v>
      </c>
      <c r="K379" s="2" t="s">
        <v>4732</v>
      </c>
      <c r="L379" s="2" t="s">
        <v>4733</v>
      </c>
      <c r="M379" s="3" t="s">
        <v>4734</v>
      </c>
      <c r="O379" s="3" t="s">
        <v>63</v>
      </c>
      <c r="P379" s="3" t="s">
        <v>64</v>
      </c>
      <c r="Q379" s="2" t="s">
        <v>4735</v>
      </c>
      <c r="R379" s="3" t="s">
        <v>65</v>
      </c>
      <c r="S379" s="4">
        <v>4</v>
      </c>
      <c r="T379" s="4">
        <v>4</v>
      </c>
      <c r="U379" s="5" t="s">
        <v>4405</v>
      </c>
      <c r="V379" s="5" t="s">
        <v>4405</v>
      </c>
      <c r="W379" s="5" t="s">
        <v>2026</v>
      </c>
      <c r="X379" s="5" t="s">
        <v>2026</v>
      </c>
      <c r="Y379" s="4">
        <v>265</v>
      </c>
      <c r="Z379" s="4">
        <v>251</v>
      </c>
      <c r="AA379" s="4">
        <v>266</v>
      </c>
      <c r="AB379" s="4">
        <v>4</v>
      </c>
      <c r="AC379" s="4">
        <v>4</v>
      </c>
      <c r="AD379" s="4">
        <v>6</v>
      </c>
      <c r="AE379" s="4">
        <v>6</v>
      </c>
      <c r="AF379" s="4">
        <v>2</v>
      </c>
      <c r="AG379" s="4">
        <v>2</v>
      </c>
      <c r="AH379" s="4">
        <v>1</v>
      </c>
      <c r="AI379" s="4">
        <v>1</v>
      </c>
      <c r="AJ379" s="4">
        <v>2</v>
      </c>
      <c r="AK379" s="4">
        <v>2</v>
      </c>
      <c r="AL379" s="4">
        <v>3</v>
      </c>
      <c r="AM379" s="4">
        <v>3</v>
      </c>
      <c r="AN379" s="4">
        <v>0</v>
      </c>
      <c r="AO379" s="4">
        <v>0</v>
      </c>
      <c r="AP379" s="3" t="s">
        <v>58</v>
      </c>
      <c r="AQ379" s="3" t="s">
        <v>58</v>
      </c>
      <c r="AS379" s="6" t="str">
        <f>HYPERLINK("https://creighton-primo.hosted.exlibrisgroup.com/primo-explore/search?tab=default_tab&amp;search_scope=EVERYTHING&amp;vid=01CRU&amp;lang=en_US&amp;offset=0&amp;query=any,contains,991001222379702656","Catalog Record")</f>
        <v>Catalog Record</v>
      </c>
      <c r="AT379" s="6" t="str">
        <f>HYPERLINK("http://www.worldcat.org/oclc/197462","WorldCat Record")</f>
        <v>WorldCat Record</v>
      </c>
      <c r="AU379" s="3" t="s">
        <v>4736</v>
      </c>
      <c r="AV379" s="3" t="s">
        <v>4737</v>
      </c>
      <c r="AW379" s="3" t="s">
        <v>4738</v>
      </c>
      <c r="AX379" s="3" t="s">
        <v>4738</v>
      </c>
      <c r="AY379" s="3" t="s">
        <v>4739</v>
      </c>
      <c r="AZ379" s="3" t="s">
        <v>73</v>
      </c>
      <c r="BB379" s="3" t="s">
        <v>4740</v>
      </c>
      <c r="BC379" s="3" t="s">
        <v>4741</v>
      </c>
      <c r="BD379" s="3" t="s">
        <v>4742</v>
      </c>
    </row>
    <row r="380" spans="1:56" ht="31.5" customHeight="1" x14ac:dyDescent="0.25">
      <c r="A380" s="7" t="s">
        <v>58</v>
      </c>
      <c r="B380" s="2" t="s">
        <v>4743</v>
      </c>
      <c r="C380" s="2" t="s">
        <v>4744</v>
      </c>
      <c r="D380" s="2" t="s">
        <v>4745</v>
      </c>
      <c r="F380" s="3" t="s">
        <v>58</v>
      </c>
      <c r="G380" s="3" t="s">
        <v>59</v>
      </c>
      <c r="H380" s="3" t="s">
        <v>58</v>
      </c>
      <c r="I380" s="3" t="s">
        <v>58</v>
      </c>
      <c r="J380" s="3" t="s">
        <v>60</v>
      </c>
      <c r="K380" s="2" t="s">
        <v>4311</v>
      </c>
      <c r="L380" s="2" t="s">
        <v>4746</v>
      </c>
      <c r="M380" s="3" t="s">
        <v>344</v>
      </c>
      <c r="O380" s="3" t="s">
        <v>63</v>
      </c>
      <c r="P380" s="3" t="s">
        <v>145</v>
      </c>
      <c r="Q380" s="2" t="s">
        <v>4747</v>
      </c>
      <c r="R380" s="3" t="s">
        <v>65</v>
      </c>
      <c r="S380" s="4">
        <v>9</v>
      </c>
      <c r="T380" s="4">
        <v>9</v>
      </c>
      <c r="U380" s="5" t="s">
        <v>4748</v>
      </c>
      <c r="V380" s="5" t="s">
        <v>4748</v>
      </c>
      <c r="W380" s="5" t="s">
        <v>4749</v>
      </c>
      <c r="X380" s="5" t="s">
        <v>4749</v>
      </c>
      <c r="Y380" s="4">
        <v>1042</v>
      </c>
      <c r="Z380" s="4">
        <v>1013</v>
      </c>
      <c r="AA380" s="4">
        <v>1183</v>
      </c>
      <c r="AB380" s="4">
        <v>5</v>
      </c>
      <c r="AC380" s="4">
        <v>5</v>
      </c>
      <c r="AD380" s="4">
        <v>7</v>
      </c>
      <c r="AE380" s="4">
        <v>8</v>
      </c>
      <c r="AF380" s="4">
        <v>2</v>
      </c>
      <c r="AG380" s="4">
        <v>3</v>
      </c>
      <c r="AH380" s="4">
        <v>1</v>
      </c>
      <c r="AI380" s="4">
        <v>1</v>
      </c>
      <c r="AJ380" s="4">
        <v>7</v>
      </c>
      <c r="AK380" s="4">
        <v>7</v>
      </c>
      <c r="AL380" s="4">
        <v>0</v>
      </c>
      <c r="AM380" s="4">
        <v>0</v>
      </c>
      <c r="AN380" s="4">
        <v>0</v>
      </c>
      <c r="AO380" s="4">
        <v>0</v>
      </c>
      <c r="AP380" s="3" t="s">
        <v>58</v>
      </c>
      <c r="AQ380" s="3" t="s">
        <v>58</v>
      </c>
      <c r="AS380" s="6" t="str">
        <f>HYPERLINK("https://creighton-primo.hosted.exlibrisgroup.com/primo-explore/search?tab=default_tab&amp;search_scope=EVERYTHING&amp;vid=01CRU&amp;lang=en_US&amp;offset=0&amp;query=any,contains,991002483179702656","Catalog Record")</f>
        <v>Catalog Record</v>
      </c>
      <c r="AT380" s="6" t="str">
        <f>HYPERLINK("http://www.worldcat.org/oclc/32313955","WorldCat Record")</f>
        <v>WorldCat Record</v>
      </c>
      <c r="AU380" s="3" t="s">
        <v>4750</v>
      </c>
      <c r="AV380" s="3" t="s">
        <v>4751</v>
      </c>
      <c r="AW380" s="3" t="s">
        <v>4752</v>
      </c>
      <c r="AX380" s="3" t="s">
        <v>4752</v>
      </c>
      <c r="AY380" s="3" t="s">
        <v>4753</v>
      </c>
      <c r="AZ380" s="3" t="s">
        <v>73</v>
      </c>
      <c r="BB380" s="3" t="s">
        <v>4754</v>
      </c>
      <c r="BC380" s="3" t="s">
        <v>4755</v>
      </c>
      <c r="BD380" s="3" t="s">
        <v>4756</v>
      </c>
    </row>
    <row r="381" spans="1:56" ht="31.5" customHeight="1" x14ac:dyDescent="0.25">
      <c r="A381" s="7" t="s">
        <v>58</v>
      </c>
      <c r="B381" s="2" t="s">
        <v>4757</v>
      </c>
      <c r="C381" s="2" t="s">
        <v>4758</v>
      </c>
      <c r="D381" s="2" t="s">
        <v>4759</v>
      </c>
      <c r="F381" s="3" t="s">
        <v>58</v>
      </c>
      <c r="G381" s="3" t="s">
        <v>59</v>
      </c>
      <c r="H381" s="3" t="s">
        <v>58</v>
      </c>
      <c r="I381" s="3" t="s">
        <v>58</v>
      </c>
      <c r="J381" s="3" t="s">
        <v>60</v>
      </c>
      <c r="K381" s="2" t="s">
        <v>4760</v>
      </c>
      <c r="L381" s="2" t="s">
        <v>4761</v>
      </c>
      <c r="M381" s="3" t="s">
        <v>2546</v>
      </c>
      <c r="O381" s="3" t="s">
        <v>63</v>
      </c>
      <c r="P381" s="3" t="s">
        <v>64</v>
      </c>
      <c r="R381" s="3" t="s">
        <v>65</v>
      </c>
      <c r="S381" s="4">
        <v>2</v>
      </c>
      <c r="T381" s="4">
        <v>2</v>
      </c>
      <c r="U381" s="5" t="s">
        <v>4762</v>
      </c>
      <c r="V381" s="5" t="s">
        <v>4762</v>
      </c>
      <c r="W381" s="5" t="s">
        <v>4763</v>
      </c>
      <c r="X381" s="5" t="s">
        <v>4763</v>
      </c>
      <c r="Y381" s="4">
        <v>810</v>
      </c>
      <c r="Z381" s="4">
        <v>784</v>
      </c>
      <c r="AA381" s="4">
        <v>824</v>
      </c>
      <c r="AB381" s="4">
        <v>9</v>
      </c>
      <c r="AC381" s="4">
        <v>9</v>
      </c>
      <c r="AD381" s="4">
        <v>16</v>
      </c>
      <c r="AE381" s="4">
        <v>16</v>
      </c>
      <c r="AF381" s="4">
        <v>6</v>
      </c>
      <c r="AG381" s="4">
        <v>6</v>
      </c>
      <c r="AH381" s="4">
        <v>2</v>
      </c>
      <c r="AI381" s="4">
        <v>2</v>
      </c>
      <c r="AJ381" s="4">
        <v>6</v>
      </c>
      <c r="AK381" s="4">
        <v>6</v>
      </c>
      <c r="AL381" s="4">
        <v>4</v>
      </c>
      <c r="AM381" s="4">
        <v>4</v>
      </c>
      <c r="AN381" s="4">
        <v>0</v>
      </c>
      <c r="AO381" s="4">
        <v>0</v>
      </c>
      <c r="AP381" s="3" t="s">
        <v>58</v>
      </c>
      <c r="AQ381" s="3" t="s">
        <v>58</v>
      </c>
      <c r="AS381" s="6" t="str">
        <f>HYPERLINK("https://creighton-primo.hosted.exlibrisgroup.com/primo-explore/search?tab=default_tab&amp;search_scope=EVERYTHING&amp;vid=01CRU&amp;lang=en_US&amp;offset=0&amp;query=any,contains,991003581419702656","Catalog Record")</f>
        <v>Catalog Record</v>
      </c>
      <c r="AT381" s="6" t="str">
        <f>HYPERLINK("http://www.worldcat.org/oclc/47109610","WorldCat Record")</f>
        <v>WorldCat Record</v>
      </c>
      <c r="AU381" s="3" t="s">
        <v>4764</v>
      </c>
      <c r="AV381" s="3" t="s">
        <v>4765</v>
      </c>
      <c r="AW381" s="3" t="s">
        <v>4766</v>
      </c>
      <c r="AX381" s="3" t="s">
        <v>4766</v>
      </c>
      <c r="AY381" s="3" t="s">
        <v>4767</v>
      </c>
      <c r="AZ381" s="3" t="s">
        <v>73</v>
      </c>
      <c r="BB381" s="3" t="s">
        <v>4768</v>
      </c>
      <c r="BC381" s="3" t="s">
        <v>4769</v>
      </c>
      <c r="BD381" s="3" t="s">
        <v>4770</v>
      </c>
    </row>
    <row r="382" spans="1:56" ht="31.5" customHeight="1" x14ac:dyDescent="0.25">
      <c r="A382" s="7" t="s">
        <v>58</v>
      </c>
      <c r="B382" s="2" t="s">
        <v>4771</v>
      </c>
      <c r="C382" s="2" t="s">
        <v>4772</v>
      </c>
      <c r="D382" s="2" t="s">
        <v>4773</v>
      </c>
      <c r="F382" s="3" t="s">
        <v>58</v>
      </c>
      <c r="G382" s="3" t="s">
        <v>59</v>
      </c>
      <c r="H382" s="3" t="s">
        <v>58</v>
      </c>
      <c r="I382" s="3" t="s">
        <v>58</v>
      </c>
      <c r="J382" s="3" t="s">
        <v>60</v>
      </c>
      <c r="K382" s="2" t="s">
        <v>4760</v>
      </c>
      <c r="L382" s="2" t="s">
        <v>3176</v>
      </c>
      <c r="M382" s="3" t="s">
        <v>144</v>
      </c>
      <c r="O382" s="3" t="s">
        <v>63</v>
      </c>
      <c r="P382" s="3" t="s">
        <v>360</v>
      </c>
      <c r="Q382" s="2" t="s">
        <v>4774</v>
      </c>
      <c r="R382" s="3" t="s">
        <v>65</v>
      </c>
      <c r="S382" s="4">
        <v>3</v>
      </c>
      <c r="T382" s="4">
        <v>3</v>
      </c>
      <c r="U382" s="5" t="s">
        <v>4313</v>
      </c>
      <c r="V382" s="5" t="s">
        <v>4313</v>
      </c>
      <c r="W382" s="5" t="s">
        <v>2091</v>
      </c>
      <c r="X382" s="5" t="s">
        <v>2091</v>
      </c>
      <c r="Y382" s="4">
        <v>874</v>
      </c>
      <c r="Z382" s="4">
        <v>834</v>
      </c>
      <c r="AA382" s="4">
        <v>1084</v>
      </c>
      <c r="AB382" s="4">
        <v>11</v>
      </c>
      <c r="AC382" s="4">
        <v>13</v>
      </c>
      <c r="AD382" s="4">
        <v>18</v>
      </c>
      <c r="AE382" s="4">
        <v>22</v>
      </c>
      <c r="AF382" s="4">
        <v>9</v>
      </c>
      <c r="AG382" s="4">
        <v>10</v>
      </c>
      <c r="AH382" s="4">
        <v>4</v>
      </c>
      <c r="AI382" s="4">
        <v>4</v>
      </c>
      <c r="AJ382" s="4">
        <v>7</v>
      </c>
      <c r="AK382" s="4">
        <v>11</v>
      </c>
      <c r="AL382" s="4">
        <v>2</v>
      </c>
      <c r="AM382" s="4">
        <v>2</v>
      </c>
      <c r="AN382" s="4">
        <v>0</v>
      </c>
      <c r="AO382" s="4">
        <v>0</v>
      </c>
      <c r="AP382" s="3" t="s">
        <v>58</v>
      </c>
      <c r="AQ382" s="3" t="s">
        <v>68</v>
      </c>
      <c r="AR382" s="6" t="str">
        <f>HYPERLINK("http://catalog.hathitrust.org/Record/000271869","HathiTrust Record")</f>
        <v>HathiTrust Record</v>
      </c>
      <c r="AS382" s="6" t="str">
        <f>HYPERLINK("https://creighton-primo.hosted.exlibrisgroup.com/primo-explore/search?tab=default_tab&amp;search_scope=EVERYTHING&amp;vid=01CRU&amp;lang=en_US&amp;offset=0&amp;query=any,contains,991005236699702656","Catalog Record")</f>
        <v>Catalog Record</v>
      </c>
      <c r="AT382" s="6" t="str">
        <f>HYPERLINK("http://www.worldcat.org/oclc/8387225","WorldCat Record")</f>
        <v>WorldCat Record</v>
      </c>
      <c r="AU382" s="3" t="s">
        <v>4775</v>
      </c>
      <c r="AV382" s="3" t="s">
        <v>4776</v>
      </c>
      <c r="AW382" s="3" t="s">
        <v>4777</v>
      </c>
      <c r="AX382" s="3" t="s">
        <v>4777</v>
      </c>
      <c r="AY382" s="3" t="s">
        <v>4778</v>
      </c>
      <c r="AZ382" s="3" t="s">
        <v>73</v>
      </c>
      <c r="BB382" s="3" t="s">
        <v>4779</v>
      </c>
      <c r="BC382" s="3" t="s">
        <v>4780</v>
      </c>
      <c r="BD382" s="3" t="s">
        <v>4781</v>
      </c>
    </row>
    <row r="383" spans="1:56" ht="31.5" customHeight="1" x14ac:dyDescent="0.25">
      <c r="A383" s="7" t="s">
        <v>58</v>
      </c>
      <c r="B383" s="2" t="s">
        <v>4782</v>
      </c>
      <c r="C383" s="2" t="s">
        <v>4783</v>
      </c>
      <c r="D383" s="2" t="s">
        <v>4784</v>
      </c>
      <c r="F383" s="3" t="s">
        <v>58</v>
      </c>
      <c r="G383" s="3" t="s">
        <v>59</v>
      </c>
      <c r="H383" s="3" t="s">
        <v>58</v>
      </c>
      <c r="I383" s="3" t="s">
        <v>58</v>
      </c>
      <c r="J383" s="3" t="s">
        <v>60</v>
      </c>
      <c r="K383" s="2" t="s">
        <v>4785</v>
      </c>
      <c r="L383" s="2" t="s">
        <v>4786</v>
      </c>
      <c r="M383" s="3" t="s">
        <v>244</v>
      </c>
      <c r="O383" s="3" t="s">
        <v>63</v>
      </c>
      <c r="P383" s="3" t="s">
        <v>360</v>
      </c>
      <c r="Q383" s="2" t="s">
        <v>4787</v>
      </c>
      <c r="R383" s="3" t="s">
        <v>65</v>
      </c>
      <c r="S383" s="4">
        <v>2</v>
      </c>
      <c r="T383" s="4">
        <v>2</v>
      </c>
      <c r="U383" s="5" t="s">
        <v>4788</v>
      </c>
      <c r="V383" s="5" t="s">
        <v>4788</v>
      </c>
      <c r="W383" s="5" t="s">
        <v>2091</v>
      </c>
      <c r="X383" s="5" t="s">
        <v>2091</v>
      </c>
      <c r="Y383" s="4">
        <v>776</v>
      </c>
      <c r="Z383" s="4">
        <v>722</v>
      </c>
      <c r="AA383" s="4">
        <v>777</v>
      </c>
      <c r="AB383" s="4">
        <v>6</v>
      </c>
      <c r="AC383" s="4">
        <v>6</v>
      </c>
      <c r="AD383" s="4">
        <v>16</v>
      </c>
      <c r="AE383" s="4">
        <v>20</v>
      </c>
      <c r="AF383" s="4">
        <v>4</v>
      </c>
      <c r="AG383" s="4">
        <v>7</v>
      </c>
      <c r="AH383" s="4">
        <v>3</v>
      </c>
      <c r="AI383" s="4">
        <v>5</v>
      </c>
      <c r="AJ383" s="4">
        <v>7</v>
      </c>
      <c r="AK383" s="4">
        <v>8</v>
      </c>
      <c r="AL383" s="4">
        <v>4</v>
      </c>
      <c r="AM383" s="4">
        <v>4</v>
      </c>
      <c r="AN383" s="4">
        <v>0</v>
      </c>
      <c r="AO383" s="4">
        <v>0</v>
      </c>
      <c r="AP383" s="3" t="s">
        <v>58</v>
      </c>
      <c r="AQ383" s="3" t="s">
        <v>68</v>
      </c>
      <c r="AR383" s="6" t="str">
        <f>HYPERLINK("http://catalog.hathitrust.org/Record/000267511","HathiTrust Record")</f>
        <v>HathiTrust Record</v>
      </c>
      <c r="AS383" s="6" t="str">
        <f>HYPERLINK("https://creighton-primo.hosted.exlibrisgroup.com/primo-explore/search?tab=default_tab&amp;search_scope=EVERYTHING&amp;vid=01CRU&amp;lang=en_US&amp;offset=0&amp;query=any,contains,991005098539702656","Catalog Record")</f>
        <v>Catalog Record</v>
      </c>
      <c r="AT383" s="6" t="str">
        <f>HYPERLINK("http://www.worldcat.org/oclc/7277892","WorldCat Record")</f>
        <v>WorldCat Record</v>
      </c>
      <c r="AU383" s="3" t="s">
        <v>4789</v>
      </c>
      <c r="AV383" s="3" t="s">
        <v>4790</v>
      </c>
      <c r="AW383" s="3" t="s">
        <v>4791</v>
      </c>
      <c r="AX383" s="3" t="s">
        <v>4791</v>
      </c>
      <c r="AY383" s="3" t="s">
        <v>4792</v>
      </c>
      <c r="AZ383" s="3" t="s">
        <v>73</v>
      </c>
      <c r="BB383" s="3" t="s">
        <v>4793</v>
      </c>
      <c r="BC383" s="3" t="s">
        <v>4794</v>
      </c>
      <c r="BD383" s="3" t="s">
        <v>4795</v>
      </c>
    </row>
    <row r="384" spans="1:56" ht="31.5" customHeight="1" x14ac:dyDescent="0.25">
      <c r="A384" s="7" t="s">
        <v>58</v>
      </c>
      <c r="B384" s="2" t="s">
        <v>4796</v>
      </c>
      <c r="C384" s="2" t="s">
        <v>4797</v>
      </c>
      <c r="D384" s="2" t="s">
        <v>4798</v>
      </c>
      <c r="F384" s="3" t="s">
        <v>58</v>
      </c>
      <c r="G384" s="3" t="s">
        <v>59</v>
      </c>
      <c r="H384" s="3" t="s">
        <v>58</v>
      </c>
      <c r="I384" s="3" t="s">
        <v>58</v>
      </c>
      <c r="J384" s="3" t="s">
        <v>60</v>
      </c>
      <c r="K384" s="2" t="s">
        <v>4799</v>
      </c>
      <c r="L384" s="2" t="s">
        <v>4800</v>
      </c>
      <c r="M384" s="3" t="s">
        <v>4801</v>
      </c>
      <c r="N384" s="2" t="s">
        <v>4802</v>
      </c>
      <c r="O384" s="3" t="s">
        <v>63</v>
      </c>
      <c r="P384" s="3" t="s">
        <v>186</v>
      </c>
      <c r="R384" s="3" t="s">
        <v>65</v>
      </c>
      <c r="S384" s="4">
        <v>2</v>
      </c>
      <c r="T384" s="4">
        <v>2</v>
      </c>
      <c r="U384" s="5" t="s">
        <v>4803</v>
      </c>
      <c r="V384" s="5" t="s">
        <v>4803</v>
      </c>
      <c r="W384" s="5" t="s">
        <v>2026</v>
      </c>
      <c r="X384" s="5" t="s">
        <v>2026</v>
      </c>
      <c r="Y384" s="4">
        <v>47</v>
      </c>
      <c r="Z384" s="4">
        <v>28</v>
      </c>
      <c r="AA384" s="4">
        <v>536</v>
      </c>
      <c r="AB384" s="4">
        <v>1</v>
      </c>
      <c r="AC384" s="4">
        <v>5</v>
      </c>
      <c r="AD384" s="4">
        <v>0</v>
      </c>
      <c r="AE384" s="4">
        <v>18</v>
      </c>
      <c r="AF384" s="4">
        <v>0</v>
      </c>
      <c r="AG384" s="4">
        <v>4</v>
      </c>
      <c r="AH384" s="4">
        <v>0</v>
      </c>
      <c r="AI384" s="4">
        <v>3</v>
      </c>
      <c r="AJ384" s="4">
        <v>0</v>
      </c>
      <c r="AK384" s="4">
        <v>9</v>
      </c>
      <c r="AL384" s="4">
        <v>0</v>
      </c>
      <c r="AM384" s="4">
        <v>4</v>
      </c>
      <c r="AN384" s="4">
        <v>0</v>
      </c>
      <c r="AO384" s="4">
        <v>0</v>
      </c>
      <c r="AP384" s="3" t="s">
        <v>68</v>
      </c>
      <c r="AQ384" s="3" t="s">
        <v>58</v>
      </c>
      <c r="AR384" s="6" t="str">
        <f>HYPERLINK("http://catalog.hathitrust.org/Record/001988119","HathiTrust Record")</f>
        <v>HathiTrust Record</v>
      </c>
      <c r="AS384" s="6" t="str">
        <f>HYPERLINK("https://creighton-primo.hosted.exlibrisgroup.com/primo-explore/search?tab=default_tab&amp;search_scope=EVERYTHING&amp;vid=01CRU&amp;lang=en_US&amp;offset=0&amp;query=any,contains,991000481889702656","Catalog Record")</f>
        <v>Catalog Record</v>
      </c>
      <c r="AT384" s="6" t="str">
        <f>HYPERLINK("http://www.worldcat.org/oclc/11052963","WorldCat Record")</f>
        <v>WorldCat Record</v>
      </c>
      <c r="AU384" s="3" t="s">
        <v>4804</v>
      </c>
      <c r="AV384" s="3" t="s">
        <v>4805</v>
      </c>
      <c r="AW384" s="3" t="s">
        <v>4806</v>
      </c>
      <c r="AX384" s="3" t="s">
        <v>4806</v>
      </c>
      <c r="AY384" s="3" t="s">
        <v>4807</v>
      </c>
      <c r="AZ384" s="3" t="s">
        <v>73</v>
      </c>
      <c r="BC384" s="3" t="s">
        <v>4808</v>
      </c>
      <c r="BD384" s="3" t="s">
        <v>4809</v>
      </c>
    </row>
    <row r="385" spans="1:56" ht="31.5" customHeight="1" x14ac:dyDescent="0.25">
      <c r="A385" s="7" t="s">
        <v>58</v>
      </c>
      <c r="B385" s="2" t="s">
        <v>4810</v>
      </c>
      <c r="C385" s="2" t="s">
        <v>4811</v>
      </c>
      <c r="D385" s="2" t="s">
        <v>4812</v>
      </c>
      <c r="F385" s="3" t="s">
        <v>58</v>
      </c>
      <c r="G385" s="3" t="s">
        <v>59</v>
      </c>
      <c r="H385" s="3" t="s">
        <v>58</v>
      </c>
      <c r="I385" s="3" t="s">
        <v>58</v>
      </c>
      <c r="J385" s="3" t="s">
        <v>60</v>
      </c>
      <c r="K385" s="2" t="s">
        <v>4813</v>
      </c>
      <c r="L385" s="2" t="s">
        <v>4814</v>
      </c>
      <c r="M385" s="3" t="s">
        <v>4815</v>
      </c>
      <c r="O385" s="3" t="s">
        <v>63</v>
      </c>
      <c r="P385" s="3" t="s">
        <v>64</v>
      </c>
      <c r="R385" s="3" t="s">
        <v>65</v>
      </c>
      <c r="S385" s="4">
        <v>2</v>
      </c>
      <c r="T385" s="4">
        <v>2</v>
      </c>
      <c r="U385" s="5" t="s">
        <v>4816</v>
      </c>
      <c r="V385" s="5" t="s">
        <v>4816</v>
      </c>
      <c r="W385" s="5" t="s">
        <v>4817</v>
      </c>
      <c r="X385" s="5" t="s">
        <v>4817</v>
      </c>
      <c r="Y385" s="4">
        <v>360</v>
      </c>
      <c r="Z385" s="4">
        <v>298</v>
      </c>
      <c r="AA385" s="4">
        <v>305</v>
      </c>
      <c r="AB385" s="4">
        <v>3</v>
      </c>
      <c r="AC385" s="4">
        <v>3</v>
      </c>
      <c r="AD385" s="4">
        <v>7</v>
      </c>
      <c r="AE385" s="4">
        <v>7</v>
      </c>
      <c r="AF385" s="4">
        <v>2</v>
      </c>
      <c r="AG385" s="4">
        <v>2</v>
      </c>
      <c r="AH385" s="4">
        <v>1</v>
      </c>
      <c r="AI385" s="4">
        <v>1</v>
      </c>
      <c r="AJ385" s="4">
        <v>4</v>
      </c>
      <c r="AK385" s="4">
        <v>4</v>
      </c>
      <c r="AL385" s="4">
        <v>2</v>
      </c>
      <c r="AM385" s="4">
        <v>2</v>
      </c>
      <c r="AN385" s="4">
        <v>0</v>
      </c>
      <c r="AO385" s="4">
        <v>0</v>
      </c>
      <c r="AP385" s="3" t="s">
        <v>58</v>
      </c>
      <c r="AQ385" s="3" t="s">
        <v>68</v>
      </c>
      <c r="AR385" s="6" t="str">
        <f>HYPERLINK("http://catalog.hathitrust.org/Record/008514269","HathiTrust Record")</f>
        <v>HathiTrust Record</v>
      </c>
      <c r="AS385" s="6" t="str">
        <f>HYPERLINK("https://creighton-primo.hosted.exlibrisgroup.com/primo-explore/search?tab=default_tab&amp;search_scope=EVERYTHING&amp;vid=01CRU&amp;lang=en_US&amp;offset=0&amp;query=any,contains,991005288519702656","Catalog Record")</f>
        <v>Catalog Record</v>
      </c>
      <c r="AT385" s="6" t="str">
        <f>HYPERLINK("http://www.worldcat.org/oclc/182779576","WorldCat Record")</f>
        <v>WorldCat Record</v>
      </c>
      <c r="AU385" s="3" t="s">
        <v>4818</v>
      </c>
      <c r="AV385" s="3" t="s">
        <v>4819</v>
      </c>
      <c r="AW385" s="3" t="s">
        <v>4820</v>
      </c>
      <c r="AX385" s="3" t="s">
        <v>4820</v>
      </c>
      <c r="AY385" s="3" t="s">
        <v>4821</v>
      </c>
      <c r="AZ385" s="3" t="s">
        <v>73</v>
      </c>
      <c r="BB385" s="3" t="s">
        <v>4822</v>
      </c>
      <c r="BC385" s="3" t="s">
        <v>4823</v>
      </c>
      <c r="BD385" s="3" t="s">
        <v>4824</v>
      </c>
    </row>
    <row r="386" spans="1:56" ht="31.5" customHeight="1" x14ac:dyDescent="0.25">
      <c r="A386" s="7" t="s">
        <v>58</v>
      </c>
      <c r="B386" s="2" t="s">
        <v>4825</v>
      </c>
      <c r="C386" s="2" t="s">
        <v>4826</v>
      </c>
      <c r="D386" s="2" t="s">
        <v>4827</v>
      </c>
      <c r="F386" s="3" t="s">
        <v>58</v>
      </c>
      <c r="G386" s="3" t="s">
        <v>59</v>
      </c>
      <c r="H386" s="3" t="s">
        <v>58</v>
      </c>
      <c r="I386" s="3" t="s">
        <v>58</v>
      </c>
      <c r="J386" s="3" t="s">
        <v>60</v>
      </c>
      <c r="K386" s="2" t="s">
        <v>4828</v>
      </c>
      <c r="L386" s="2" t="s">
        <v>4829</v>
      </c>
      <c r="M386" s="3" t="s">
        <v>2117</v>
      </c>
      <c r="N386" s="2" t="s">
        <v>501</v>
      </c>
      <c r="O386" s="3" t="s">
        <v>63</v>
      </c>
      <c r="P386" s="3" t="s">
        <v>64</v>
      </c>
      <c r="R386" s="3" t="s">
        <v>65</v>
      </c>
      <c r="S386" s="4">
        <v>10</v>
      </c>
      <c r="T386" s="4">
        <v>10</v>
      </c>
      <c r="U386" s="5" t="s">
        <v>4830</v>
      </c>
      <c r="V386" s="5" t="s">
        <v>4830</v>
      </c>
      <c r="W386" s="5" t="s">
        <v>3447</v>
      </c>
      <c r="X386" s="5" t="s">
        <v>3447</v>
      </c>
      <c r="Y386" s="4">
        <v>330</v>
      </c>
      <c r="Z386" s="4">
        <v>307</v>
      </c>
      <c r="AA386" s="4">
        <v>313</v>
      </c>
      <c r="AB386" s="4">
        <v>5</v>
      </c>
      <c r="AC386" s="4">
        <v>5</v>
      </c>
      <c r="AD386" s="4">
        <v>5</v>
      </c>
      <c r="AE386" s="4">
        <v>5</v>
      </c>
      <c r="AF386" s="4">
        <v>1</v>
      </c>
      <c r="AG386" s="4">
        <v>1</v>
      </c>
      <c r="AH386" s="4">
        <v>0</v>
      </c>
      <c r="AI386" s="4">
        <v>0</v>
      </c>
      <c r="AJ386" s="4">
        <v>1</v>
      </c>
      <c r="AK386" s="4">
        <v>1</v>
      </c>
      <c r="AL386" s="4">
        <v>4</v>
      </c>
      <c r="AM386" s="4">
        <v>4</v>
      </c>
      <c r="AN386" s="4">
        <v>0</v>
      </c>
      <c r="AO386" s="4">
        <v>0</v>
      </c>
      <c r="AP386" s="3" t="s">
        <v>58</v>
      </c>
      <c r="AQ386" s="3" t="s">
        <v>68</v>
      </c>
      <c r="AR386" s="6" t="str">
        <f>HYPERLINK("http://catalog.hathitrust.org/Record/000022019","HathiTrust Record")</f>
        <v>HathiTrust Record</v>
      </c>
      <c r="AS386" s="6" t="str">
        <f>HYPERLINK("https://creighton-primo.hosted.exlibrisgroup.com/primo-explore/search?tab=default_tab&amp;search_scope=EVERYTHING&amp;vid=01CRU&amp;lang=en_US&amp;offset=0&amp;query=any,contains,991004565819702656","Catalog Record")</f>
        <v>Catalog Record</v>
      </c>
      <c r="AT386" s="6" t="str">
        <f>HYPERLINK("http://www.worldcat.org/oclc/4004524","WorldCat Record")</f>
        <v>WorldCat Record</v>
      </c>
      <c r="AU386" s="3" t="s">
        <v>4831</v>
      </c>
      <c r="AV386" s="3" t="s">
        <v>4832</v>
      </c>
      <c r="AW386" s="3" t="s">
        <v>4833</v>
      </c>
      <c r="AX386" s="3" t="s">
        <v>4833</v>
      </c>
      <c r="AY386" s="3" t="s">
        <v>4834</v>
      </c>
      <c r="AZ386" s="3" t="s">
        <v>73</v>
      </c>
      <c r="BC386" s="3" t="s">
        <v>4835</v>
      </c>
      <c r="BD386" s="3" t="s">
        <v>4836</v>
      </c>
    </row>
    <row r="387" spans="1:56" ht="31.5" customHeight="1" x14ac:dyDescent="0.25">
      <c r="A387" s="7" t="s">
        <v>58</v>
      </c>
      <c r="B387" s="2" t="s">
        <v>4837</v>
      </c>
      <c r="C387" s="2" t="s">
        <v>4838</v>
      </c>
      <c r="D387" s="2" t="s">
        <v>4839</v>
      </c>
      <c r="F387" s="3" t="s">
        <v>58</v>
      </c>
      <c r="G387" s="3" t="s">
        <v>59</v>
      </c>
      <c r="H387" s="3" t="s">
        <v>58</v>
      </c>
      <c r="I387" s="3" t="s">
        <v>58</v>
      </c>
      <c r="J387" s="3" t="s">
        <v>60</v>
      </c>
      <c r="K387" s="2" t="s">
        <v>4840</v>
      </c>
      <c r="L387" s="2" t="s">
        <v>4841</v>
      </c>
      <c r="M387" s="3" t="s">
        <v>633</v>
      </c>
      <c r="N387" s="2" t="s">
        <v>4842</v>
      </c>
      <c r="O387" s="3" t="s">
        <v>63</v>
      </c>
      <c r="P387" s="3" t="s">
        <v>64</v>
      </c>
      <c r="R387" s="3" t="s">
        <v>65</v>
      </c>
      <c r="S387" s="4">
        <v>6</v>
      </c>
      <c r="T387" s="4">
        <v>6</v>
      </c>
      <c r="U387" s="5" t="s">
        <v>4843</v>
      </c>
      <c r="V387" s="5" t="s">
        <v>4843</v>
      </c>
      <c r="W387" s="5" t="s">
        <v>4844</v>
      </c>
      <c r="X387" s="5" t="s">
        <v>4844</v>
      </c>
      <c r="Y387" s="4">
        <v>517</v>
      </c>
      <c r="Z387" s="4">
        <v>496</v>
      </c>
      <c r="AA387" s="4">
        <v>529</v>
      </c>
      <c r="AB387" s="4">
        <v>5</v>
      </c>
      <c r="AC387" s="4">
        <v>5</v>
      </c>
      <c r="AD387" s="4">
        <v>7</v>
      </c>
      <c r="AE387" s="4">
        <v>8</v>
      </c>
      <c r="AF387" s="4">
        <v>2</v>
      </c>
      <c r="AG387" s="4">
        <v>2</v>
      </c>
      <c r="AH387" s="4">
        <v>2</v>
      </c>
      <c r="AI387" s="4">
        <v>2</v>
      </c>
      <c r="AJ387" s="4">
        <v>6</v>
      </c>
      <c r="AK387" s="4">
        <v>7</v>
      </c>
      <c r="AL387" s="4">
        <v>0</v>
      </c>
      <c r="AM387" s="4">
        <v>0</v>
      </c>
      <c r="AN387" s="4">
        <v>0</v>
      </c>
      <c r="AO387" s="4">
        <v>0</v>
      </c>
      <c r="AP387" s="3" t="s">
        <v>58</v>
      </c>
      <c r="AQ387" s="3" t="s">
        <v>58</v>
      </c>
      <c r="AS387" s="6" t="str">
        <f>HYPERLINK("https://creighton-primo.hosted.exlibrisgroup.com/primo-explore/search?tab=default_tab&amp;search_scope=EVERYTHING&amp;vid=01CRU&amp;lang=en_US&amp;offset=0&amp;query=any,contains,991002555739702656","Catalog Record")</f>
        <v>Catalog Record</v>
      </c>
      <c r="AT387" s="6" t="str">
        <f>HYPERLINK("http://www.worldcat.org/oclc/33231041","WorldCat Record")</f>
        <v>WorldCat Record</v>
      </c>
      <c r="AU387" s="3" t="s">
        <v>4845</v>
      </c>
      <c r="AV387" s="3" t="s">
        <v>4846</v>
      </c>
      <c r="AW387" s="3" t="s">
        <v>4847</v>
      </c>
      <c r="AX387" s="3" t="s">
        <v>4847</v>
      </c>
      <c r="AY387" s="3" t="s">
        <v>4848</v>
      </c>
      <c r="AZ387" s="3" t="s">
        <v>73</v>
      </c>
      <c r="BB387" s="3" t="s">
        <v>4849</v>
      </c>
      <c r="BC387" s="3" t="s">
        <v>4850</v>
      </c>
      <c r="BD387" s="3" t="s">
        <v>4851</v>
      </c>
    </row>
    <row r="388" spans="1:56" ht="31.5" customHeight="1" x14ac:dyDescent="0.25">
      <c r="A388" s="7" t="s">
        <v>58</v>
      </c>
      <c r="B388" s="2" t="s">
        <v>4852</v>
      </c>
      <c r="C388" s="2" t="s">
        <v>4853</v>
      </c>
      <c r="D388" s="2" t="s">
        <v>4854</v>
      </c>
      <c r="F388" s="3" t="s">
        <v>58</v>
      </c>
      <c r="G388" s="3" t="s">
        <v>59</v>
      </c>
      <c r="H388" s="3" t="s">
        <v>58</v>
      </c>
      <c r="I388" s="3" t="s">
        <v>58</v>
      </c>
      <c r="J388" s="3" t="s">
        <v>60</v>
      </c>
      <c r="L388" s="2" t="s">
        <v>4855</v>
      </c>
      <c r="M388" s="3" t="s">
        <v>2117</v>
      </c>
      <c r="O388" s="3" t="s">
        <v>63</v>
      </c>
      <c r="P388" s="3" t="s">
        <v>2174</v>
      </c>
      <c r="Q388" s="2" t="s">
        <v>4856</v>
      </c>
      <c r="R388" s="3" t="s">
        <v>65</v>
      </c>
      <c r="S388" s="4">
        <v>2</v>
      </c>
      <c r="T388" s="4">
        <v>2</v>
      </c>
      <c r="U388" s="5" t="s">
        <v>4857</v>
      </c>
      <c r="V388" s="5" t="s">
        <v>4857</v>
      </c>
      <c r="W388" s="5" t="s">
        <v>3407</v>
      </c>
      <c r="X388" s="5" t="s">
        <v>3407</v>
      </c>
      <c r="Y388" s="4">
        <v>341</v>
      </c>
      <c r="Z388" s="4">
        <v>261</v>
      </c>
      <c r="AA388" s="4">
        <v>262</v>
      </c>
      <c r="AB388" s="4">
        <v>3</v>
      </c>
      <c r="AC388" s="4">
        <v>3</v>
      </c>
      <c r="AD388" s="4">
        <v>6</v>
      </c>
      <c r="AE388" s="4">
        <v>6</v>
      </c>
      <c r="AF388" s="4">
        <v>1</v>
      </c>
      <c r="AG388" s="4">
        <v>1</v>
      </c>
      <c r="AH388" s="4">
        <v>0</v>
      </c>
      <c r="AI388" s="4">
        <v>0</v>
      </c>
      <c r="AJ388" s="4">
        <v>3</v>
      </c>
      <c r="AK388" s="4">
        <v>3</v>
      </c>
      <c r="AL388" s="4">
        <v>2</v>
      </c>
      <c r="AM388" s="4">
        <v>2</v>
      </c>
      <c r="AN388" s="4">
        <v>0</v>
      </c>
      <c r="AO388" s="4">
        <v>0</v>
      </c>
      <c r="AP388" s="3" t="s">
        <v>58</v>
      </c>
      <c r="AQ388" s="3" t="s">
        <v>68</v>
      </c>
      <c r="AR388" s="6" t="str">
        <f>HYPERLINK("http://catalog.hathitrust.org/Record/000180474","HathiTrust Record")</f>
        <v>HathiTrust Record</v>
      </c>
      <c r="AS388" s="6" t="str">
        <f>HYPERLINK("https://creighton-primo.hosted.exlibrisgroup.com/primo-explore/search?tab=default_tab&amp;search_scope=EVERYTHING&amp;vid=01CRU&amp;lang=en_US&amp;offset=0&amp;query=any,contains,991004594569702656","Catalog Record")</f>
        <v>Catalog Record</v>
      </c>
      <c r="AT388" s="6" t="str">
        <f>HYPERLINK("http://www.worldcat.org/oclc/4136195","WorldCat Record")</f>
        <v>WorldCat Record</v>
      </c>
      <c r="AU388" s="3" t="s">
        <v>4858</v>
      </c>
      <c r="AV388" s="3" t="s">
        <v>4859</v>
      </c>
      <c r="AW388" s="3" t="s">
        <v>4860</v>
      </c>
      <c r="AX388" s="3" t="s">
        <v>4860</v>
      </c>
      <c r="AY388" s="3" t="s">
        <v>4861</v>
      </c>
      <c r="AZ388" s="3" t="s">
        <v>73</v>
      </c>
      <c r="BB388" s="3" t="s">
        <v>4862</v>
      </c>
      <c r="BC388" s="3" t="s">
        <v>4863</v>
      </c>
      <c r="BD388" s="3" t="s">
        <v>4864</v>
      </c>
    </row>
    <row r="389" spans="1:56" ht="31.5" customHeight="1" x14ac:dyDescent="0.25">
      <c r="A389" s="7" t="s">
        <v>58</v>
      </c>
      <c r="B389" s="2" t="s">
        <v>4865</v>
      </c>
      <c r="C389" s="2" t="s">
        <v>4866</v>
      </c>
      <c r="D389" s="2" t="s">
        <v>4867</v>
      </c>
      <c r="F389" s="3" t="s">
        <v>58</v>
      </c>
      <c r="G389" s="3" t="s">
        <v>59</v>
      </c>
      <c r="H389" s="3" t="s">
        <v>58</v>
      </c>
      <c r="I389" s="3" t="s">
        <v>58</v>
      </c>
      <c r="J389" s="3" t="s">
        <v>60</v>
      </c>
      <c r="K389" s="2" t="s">
        <v>4868</v>
      </c>
      <c r="L389" s="2" t="s">
        <v>4869</v>
      </c>
      <c r="M389" s="3" t="s">
        <v>201</v>
      </c>
      <c r="O389" s="3" t="s">
        <v>63</v>
      </c>
      <c r="P389" s="3" t="s">
        <v>1014</v>
      </c>
      <c r="R389" s="3" t="s">
        <v>65</v>
      </c>
      <c r="S389" s="4">
        <v>1</v>
      </c>
      <c r="T389" s="4">
        <v>1</v>
      </c>
      <c r="U389" s="5" t="s">
        <v>4870</v>
      </c>
      <c r="V389" s="5" t="s">
        <v>4870</v>
      </c>
      <c r="W389" s="5" t="s">
        <v>4002</v>
      </c>
      <c r="X389" s="5" t="s">
        <v>4002</v>
      </c>
      <c r="Y389" s="4">
        <v>381</v>
      </c>
      <c r="Z389" s="4">
        <v>323</v>
      </c>
      <c r="AA389" s="4">
        <v>330</v>
      </c>
      <c r="AB389" s="4">
        <v>4</v>
      </c>
      <c r="AC389" s="4">
        <v>4</v>
      </c>
      <c r="AD389" s="4">
        <v>15</v>
      </c>
      <c r="AE389" s="4">
        <v>15</v>
      </c>
      <c r="AF389" s="4">
        <v>4</v>
      </c>
      <c r="AG389" s="4">
        <v>4</v>
      </c>
      <c r="AH389" s="4">
        <v>4</v>
      </c>
      <c r="AI389" s="4">
        <v>4</v>
      </c>
      <c r="AJ389" s="4">
        <v>8</v>
      </c>
      <c r="AK389" s="4">
        <v>8</v>
      </c>
      <c r="AL389" s="4">
        <v>3</v>
      </c>
      <c r="AM389" s="4">
        <v>3</v>
      </c>
      <c r="AN389" s="4">
        <v>0</v>
      </c>
      <c r="AO389" s="4">
        <v>0</v>
      </c>
      <c r="AP389" s="3" t="s">
        <v>58</v>
      </c>
      <c r="AQ389" s="3" t="s">
        <v>68</v>
      </c>
      <c r="AR389" s="6" t="str">
        <f>HYPERLINK("http://catalog.hathitrust.org/Record/000740933","HathiTrust Record")</f>
        <v>HathiTrust Record</v>
      </c>
      <c r="AS389" s="6" t="str">
        <f>HYPERLINK("https://creighton-primo.hosted.exlibrisgroup.com/primo-explore/search?tab=default_tab&amp;search_scope=EVERYTHING&amp;vid=01CRU&amp;lang=en_US&amp;offset=0&amp;query=any,contains,991004109059702656","Catalog Record")</f>
        <v>Catalog Record</v>
      </c>
      <c r="AT389" s="6" t="str">
        <f>HYPERLINK("http://www.worldcat.org/oclc/2390580","WorldCat Record")</f>
        <v>WorldCat Record</v>
      </c>
      <c r="AU389" s="3" t="s">
        <v>4871</v>
      </c>
      <c r="AV389" s="3" t="s">
        <v>4872</v>
      </c>
      <c r="AW389" s="3" t="s">
        <v>4873</v>
      </c>
      <c r="AX389" s="3" t="s">
        <v>4873</v>
      </c>
      <c r="AY389" s="3" t="s">
        <v>4874</v>
      </c>
      <c r="AZ389" s="3" t="s">
        <v>73</v>
      </c>
      <c r="BB389" s="3" t="s">
        <v>4875</v>
      </c>
      <c r="BC389" s="3" t="s">
        <v>4876</v>
      </c>
      <c r="BD389" s="3" t="s">
        <v>4877</v>
      </c>
    </row>
    <row r="390" spans="1:56" ht="31.5" customHeight="1" x14ac:dyDescent="0.25">
      <c r="A390" s="7" t="s">
        <v>58</v>
      </c>
      <c r="B390" s="2" t="s">
        <v>4878</v>
      </c>
      <c r="C390" s="2" t="s">
        <v>4879</v>
      </c>
      <c r="D390" s="2" t="s">
        <v>4880</v>
      </c>
      <c r="F390" s="3" t="s">
        <v>58</v>
      </c>
      <c r="G390" s="3" t="s">
        <v>59</v>
      </c>
      <c r="H390" s="3" t="s">
        <v>58</v>
      </c>
      <c r="I390" s="3" t="s">
        <v>58</v>
      </c>
      <c r="J390" s="3" t="s">
        <v>60</v>
      </c>
      <c r="K390" s="2" t="s">
        <v>4881</v>
      </c>
      <c r="L390" s="2" t="s">
        <v>4882</v>
      </c>
      <c r="M390" s="3" t="s">
        <v>1235</v>
      </c>
      <c r="O390" s="3" t="s">
        <v>63</v>
      </c>
      <c r="P390" s="3" t="s">
        <v>186</v>
      </c>
      <c r="Q390" s="2" t="s">
        <v>4883</v>
      </c>
      <c r="R390" s="3" t="s">
        <v>65</v>
      </c>
      <c r="S390" s="4">
        <v>1</v>
      </c>
      <c r="T390" s="4">
        <v>1</v>
      </c>
      <c r="U390" s="5" t="s">
        <v>4884</v>
      </c>
      <c r="V390" s="5" t="s">
        <v>4884</v>
      </c>
      <c r="W390" s="5" t="s">
        <v>4884</v>
      </c>
      <c r="X390" s="5" t="s">
        <v>4884</v>
      </c>
      <c r="Y390" s="4">
        <v>602</v>
      </c>
      <c r="Z390" s="4">
        <v>536</v>
      </c>
      <c r="AA390" s="4">
        <v>543</v>
      </c>
      <c r="AB390" s="4">
        <v>4</v>
      </c>
      <c r="AC390" s="4">
        <v>4</v>
      </c>
      <c r="AD390" s="4">
        <v>21</v>
      </c>
      <c r="AE390" s="4">
        <v>21</v>
      </c>
      <c r="AF390" s="4">
        <v>10</v>
      </c>
      <c r="AG390" s="4">
        <v>10</v>
      </c>
      <c r="AH390" s="4">
        <v>4</v>
      </c>
      <c r="AI390" s="4">
        <v>4</v>
      </c>
      <c r="AJ390" s="4">
        <v>10</v>
      </c>
      <c r="AK390" s="4">
        <v>10</v>
      </c>
      <c r="AL390" s="4">
        <v>2</v>
      </c>
      <c r="AM390" s="4">
        <v>2</v>
      </c>
      <c r="AN390" s="4">
        <v>0</v>
      </c>
      <c r="AO390" s="4">
        <v>0</v>
      </c>
      <c r="AP390" s="3" t="s">
        <v>58</v>
      </c>
      <c r="AQ390" s="3" t="s">
        <v>58</v>
      </c>
      <c r="AS390" s="6" t="str">
        <f>HYPERLINK("https://creighton-primo.hosted.exlibrisgroup.com/primo-explore/search?tab=default_tab&amp;search_scope=EVERYTHING&amp;vid=01CRU&amp;lang=en_US&amp;offset=0&amp;query=any,contains,991004495529702656","Catalog Record")</f>
        <v>Catalog Record</v>
      </c>
      <c r="AT390" s="6" t="str">
        <f>HYPERLINK("http://www.worldcat.org/oclc/53170166","WorldCat Record")</f>
        <v>WorldCat Record</v>
      </c>
      <c r="AU390" s="3" t="s">
        <v>4885</v>
      </c>
      <c r="AV390" s="3" t="s">
        <v>4886</v>
      </c>
      <c r="AW390" s="3" t="s">
        <v>4887</v>
      </c>
      <c r="AX390" s="3" t="s">
        <v>4887</v>
      </c>
      <c r="AY390" s="3" t="s">
        <v>4888</v>
      </c>
      <c r="AZ390" s="3" t="s">
        <v>73</v>
      </c>
      <c r="BB390" s="3" t="s">
        <v>4889</v>
      </c>
      <c r="BC390" s="3" t="s">
        <v>4890</v>
      </c>
      <c r="BD390" s="3" t="s">
        <v>4891</v>
      </c>
    </row>
    <row r="391" spans="1:56" ht="31.5" customHeight="1" x14ac:dyDescent="0.25">
      <c r="A391" s="7" t="s">
        <v>58</v>
      </c>
      <c r="B391" s="2" t="s">
        <v>4892</v>
      </c>
      <c r="C391" s="2" t="s">
        <v>4893</v>
      </c>
      <c r="D391" s="2" t="s">
        <v>4894</v>
      </c>
      <c r="F391" s="3" t="s">
        <v>58</v>
      </c>
      <c r="G391" s="3" t="s">
        <v>59</v>
      </c>
      <c r="H391" s="3" t="s">
        <v>58</v>
      </c>
      <c r="I391" s="3" t="s">
        <v>58</v>
      </c>
      <c r="J391" s="3" t="s">
        <v>60</v>
      </c>
      <c r="K391" s="2" t="s">
        <v>4895</v>
      </c>
      <c r="L391" s="2" t="s">
        <v>4896</v>
      </c>
      <c r="M391" s="3" t="s">
        <v>835</v>
      </c>
      <c r="O391" s="3" t="s">
        <v>63</v>
      </c>
      <c r="P391" s="3" t="s">
        <v>1152</v>
      </c>
      <c r="R391" s="3" t="s">
        <v>65</v>
      </c>
      <c r="S391" s="4">
        <v>1</v>
      </c>
      <c r="T391" s="4">
        <v>1</v>
      </c>
      <c r="U391" s="5" t="s">
        <v>4897</v>
      </c>
      <c r="V391" s="5" t="s">
        <v>4897</v>
      </c>
      <c r="W391" s="5" t="s">
        <v>4897</v>
      </c>
      <c r="X391" s="5" t="s">
        <v>4897</v>
      </c>
      <c r="Y391" s="4">
        <v>1237</v>
      </c>
      <c r="Z391" s="4">
        <v>1136</v>
      </c>
      <c r="AA391" s="4">
        <v>1163</v>
      </c>
      <c r="AB391" s="4">
        <v>10</v>
      </c>
      <c r="AC391" s="4">
        <v>10</v>
      </c>
      <c r="AD391" s="4">
        <v>18</v>
      </c>
      <c r="AE391" s="4">
        <v>18</v>
      </c>
      <c r="AF391" s="4">
        <v>5</v>
      </c>
      <c r="AG391" s="4">
        <v>5</v>
      </c>
      <c r="AH391" s="4">
        <v>3</v>
      </c>
      <c r="AI391" s="4">
        <v>3</v>
      </c>
      <c r="AJ391" s="4">
        <v>6</v>
      </c>
      <c r="AK391" s="4">
        <v>6</v>
      </c>
      <c r="AL391" s="4">
        <v>6</v>
      </c>
      <c r="AM391" s="4">
        <v>6</v>
      </c>
      <c r="AN391" s="4">
        <v>0</v>
      </c>
      <c r="AO391" s="4">
        <v>0</v>
      </c>
      <c r="AP391" s="3" t="s">
        <v>58</v>
      </c>
      <c r="AQ391" s="3" t="s">
        <v>68</v>
      </c>
      <c r="AR391" s="6" t="str">
        <f>HYPERLINK("http://catalog.hathitrust.org/Record/003984565","HathiTrust Record")</f>
        <v>HathiTrust Record</v>
      </c>
      <c r="AS391" s="6" t="str">
        <f>HYPERLINK("https://creighton-primo.hosted.exlibrisgroup.com/primo-explore/search?tab=default_tab&amp;search_scope=EVERYTHING&amp;vid=01CRU&amp;lang=en_US&amp;offset=0&amp;query=any,contains,991003316009702656","Catalog Record")</f>
        <v>Catalog Record</v>
      </c>
      <c r="AT391" s="6" t="str">
        <f>HYPERLINK("http://www.worldcat.org/oclc/38580175","WorldCat Record")</f>
        <v>WorldCat Record</v>
      </c>
      <c r="AU391" s="3" t="s">
        <v>4898</v>
      </c>
      <c r="AV391" s="3" t="s">
        <v>4899</v>
      </c>
      <c r="AW391" s="3" t="s">
        <v>4900</v>
      </c>
      <c r="AX391" s="3" t="s">
        <v>4900</v>
      </c>
      <c r="AY391" s="3" t="s">
        <v>4901</v>
      </c>
      <c r="AZ391" s="3" t="s">
        <v>73</v>
      </c>
      <c r="BB391" s="3" t="s">
        <v>4902</v>
      </c>
      <c r="BC391" s="3" t="s">
        <v>4903</v>
      </c>
      <c r="BD391" s="3" t="s">
        <v>4904</v>
      </c>
    </row>
    <row r="392" spans="1:56" ht="31.5" customHeight="1" x14ac:dyDescent="0.25">
      <c r="A392" s="7" t="s">
        <v>58</v>
      </c>
      <c r="B392" s="2" t="s">
        <v>4905</v>
      </c>
      <c r="C392" s="2" t="s">
        <v>4906</v>
      </c>
      <c r="D392" s="2" t="s">
        <v>4907</v>
      </c>
      <c r="F392" s="3" t="s">
        <v>58</v>
      </c>
      <c r="G392" s="3" t="s">
        <v>59</v>
      </c>
      <c r="H392" s="3" t="s">
        <v>58</v>
      </c>
      <c r="I392" s="3" t="s">
        <v>58</v>
      </c>
      <c r="J392" s="3" t="s">
        <v>60</v>
      </c>
      <c r="K392" s="2" t="s">
        <v>4908</v>
      </c>
      <c r="L392" s="2" t="s">
        <v>4909</v>
      </c>
      <c r="M392" s="3" t="s">
        <v>1235</v>
      </c>
      <c r="O392" s="3" t="s">
        <v>63</v>
      </c>
      <c r="P392" s="3" t="s">
        <v>98</v>
      </c>
      <c r="Q392" s="2" t="s">
        <v>4910</v>
      </c>
      <c r="R392" s="3" t="s">
        <v>65</v>
      </c>
      <c r="S392" s="4">
        <v>2</v>
      </c>
      <c r="T392" s="4">
        <v>2</v>
      </c>
      <c r="U392" s="5" t="s">
        <v>4870</v>
      </c>
      <c r="V392" s="5" t="s">
        <v>4870</v>
      </c>
      <c r="W392" s="5" t="s">
        <v>4911</v>
      </c>
      <c r="X392" s="5" t="s">
        <v>4911</v>
      </c>
      <c r="Y392" s="4">
        <v>322</v>
      </c>
      <c r="Z392" s="4">
        <v>272</v>
      </c>
      <c r="AA392" s="4">
        <v>273</v>
      </c>
      <c r="AB392" s="4">
        <v>2</v>
      </c>
      <c r="AC392" s="4">
        <v>2</v>
      </c>
      <c r="AD392" s="4">
        <v>10</v>
      </c>
      <c r="AE392" s="4">
        <v>10</v>
      </c>
      <c r="AF392" s="4">
        <v>5</v>
      </c>
      <c r="AG392" s="4">
        <v>5</v>
      </c>
      <c r="AH392" s="4">
        <v>2</v>
      </c>
      <c r="AI392" s="4">
        <v>2</v>
      </c>
      <c r="AJ392" s="4">
        <v>6</v>
      </c>
      <c r="AK392" s="4">
        <v>6</v>
      </c>
      <c r="AL392" s="4">
        <v>1</v>
      </c>
      <c r="AM392" s="4">
        <v>1</v>
      </c>
      <c r="AN392" s="4">
        <v>0</v>
      </c>
      <c r="AO392" s="4">
        <v>0</v>
      </c>
      <c r="AP392" s="3" t="s">
        <v>58</v>
      </c>
      <c r="AQ392" s="3" t="s">
        <v>58</v>
      </c>
      <c r="AS392" s="6" t="str">
        <f>HYPERLINK("https://creighton-primo.hosted.exlibrisgroup.com/primo-explore/search?tab=default_tab&amp;search_scope=EVERYTHING&amp;vid=01CRU&amp;lang=en_US&amp;offset=0&amp;query=any,contains,991004540449702656","Catalog Record")</f>
        <v>Catalog Record</v>
      </c>
      <c r="AT392" s="6" t="str">
        <f>HYPERLINK("http://www.worldcat.org/oclc/52853981","WorldCat Record")</f>
        <v>WorldCat Record</v>
      </c>
      <c r="AU392" s="3" t="s">
        <v>4912</v>
      </c>
      <c r="AV392" s="3" t="s">
        <v>4913</v>
      </c>
      <c r="AW392" s="3" t="s">
        <v>4914</v>
      </c>
      <c r="AX392" s="3" t="s">
        <v>4914</v>
      </c>
      <c r="AY392" s="3" t="s">
        <v>4915</v>
      </c>
      <c r="AZ392" s="3" t="s">
        <v>73</v>
      </c>
      <c r="BB392" s="3" t="s">
        <v>4916</v>
      </c>
      <c r="BC392" s="3" t="s">
        <v>4917</v>
      </c>
      <c r="BD392" s="3" t="s">
        <v>4918</v>
      </c>
    </row>
    <row r="393" spans="1:56" ht="31.5" customHeight="1" x14ac:dyDescent="0.25">
      <c r="A393" s="7" t="s">
        <v>58</v>
      </c>
      <c r="B393" s="2" t="s">
        <v>4919</v>
      </c>
      <c r="C393" s="2" t="s">
        <v>4920</v>
      </c>
      <c r="D393" s="2" t="s">
        <v>4921</v>
      </c>
      <c r="F393" s="3" t="s">
        <v>58</v>
      </c>
      <c r="G393" s="3" t="s">
        <v>59</v>
      </c>
      <c r="H393" s="3" t="s">
        <v>58</v>
      </c>
      <c r="I393" s="3" t="s">
        <v>58</v>
      </c>
      <c r="J393" s="3" t="s">
        <v>60</v>
      </c>
      <c r="L393" s="2" t="s">
        <v>4922</v>
      </c>
      <c r="M393" s="3" t="s">
        <v>443</v>
      </c>
      <c r="O393" s="3" t="s">
        <v>63</v>
      </c>
      <c r="P393" s="3" t="s">
        <v>1152</v>
      </c>
      <c r="R393" s="3" t="s">
        <v>65</v>
      </c>
      <c r="S393" s="4">
        <v>2</v>
      </c>
      <c r="T393" s="4">
        <v>2</v>
      </c>
      <c r="U393" s="5" t="s">
        <v>4923</v>
      </c>
      <c r="V393" s="5" t="s">
        <v>4923</v>
      </c>
      <c r="W393" s="5" t="s">
        <v>3407</v>
      </c>
      <c r="X393" s="5" t="s">
        <v>3407</v>
      </c>
      <c r="Y393" s="4">
        <v>983</v>
      </c>
      <c r="Z393" s="4">
        <v>943</v>
      </c>
      <c r="AA393" s="4">
        <v>953</v>
      </c>
      <c r="AB393" s="4">
        <v>11</v>
      </c>
      <c r="AC393" s="4">
        <v>11</v>
      </c>
      <c r="AD393" s="4">
        <v>42</v>
      </c>
      <c r="AE393" s="4">
        <v>43</v>
      </c>
      <c r="AF393" s="4">
        <v>13</v>
      </c>
      <c r="AG393" s="4">
        <v>14</v>
      </c>
      <c r="AH393" s="4">
        <v>7</v>
      </c>
      <c r="AI393" s="4">
        <v>7</v>
      </c>
      <c r="AJ393" s="4">
        <v>20</v>
      </c>
      <c r="AK393" s="4">
        <v>21</v>
      </c>
      <c r="AL393" s="4">
        <v>9</v>
      </c>
      <c r="AM393" s="4">
        <v>9</v>
      </c>
      <c r="AN393" s="4">
        <v>0</v>
      </c>
      <c r="AO393" s="4">
        <v>0</v>
      </c>
      <c r="AP393" s="3" t="s">
        <v>58</v>
      </c>
      <c r="AQ393" s="3" t="s">
        <v>68</v>
      </c>
      <c r="AR393" s="6" t="str">
        <f>HYPERLINK("http://catalog.hathitrust.org/Record/000090380","HathiTrust Record")</f>
        <v>HathiTrust Record</v>
      </c>
      <c r="AS393" s="6" t="str">
        <f>HYPERLINK("https://creighton-primo.hosted.exlibrisgroup.com/primo-explore/search?tab=default_tab&amp;search_scope=EVERYTHING&amp;vid=01CRU&amp;lang=en_US&amp;offset=0&amp;query=any,contains,991004465599702656","Catalog Record")</f>
        <v>Catalog Record</v>
      </c>
      <c r="AT393" s="6" t="str">
        <f>HYPERLINK("http://www.worldcat.org/oclc/3567860","WorldCat Record")</f>
        <v>WorldCat Record</v>
      </c>
      <c r="AU393" s="3" t="s">
        <v>4924</v>
      </c>
      <c r="AV393" s="3" t="s">
        <v>4925</v>
      </c>
      <c r="AW393" s="3" t="s">
        <v>4926</v>
      </c>
      <c r="AX393" s="3" t="s">
        <v>4926</v>
      </c>
      <c r="AY393" s="3" t="s">
        <v>4927</v>
      </c>
      <c r="AZ393" s="3" t="s">
        <v>73</v>
      </c>
      <c r="BB393" s="3" t="s">
        <v>4928</v>
      </c>
      <c r="BC393" s="3" t="s">
        <v>4929</v>
      </c>
      <c r="BD393" s="3" t="s">
        <v>4930</v>
      </c>
    </row>
    <row r="394" spans="1:56" ht="31.5" customHeight="1" x14ac:dyDescent="0.25">
      <c r="A394" s="7" t="s">
        <v>58</v>
      </c>
      <c r="B394" s="2" t="s">
        <v>4931</v>
      </c>
      <c r="C394" s="2" t="s">
        <v>4932</v>
      </c>
      <c r="D394" s="2" t="s">
        <v>4933</v>
      </c>
      <c r="F394" s="3" t="s">
        <v>58</v>
      </c>
      <c r="G394" s="3" t="s">
        <v>59</v>
      </c>
      <c r="H394" s="3" t="s">
        <v>58</v>
      </c>
      <c r="I394" s="3" t="s">
        <v>58</v>
      </c>
      <c r="J394" s="3" t="s">
        <v>60</v>
      </c>
      <c r="K394" s="2" t="s">
        <v>4934</v>
      </c>
      <c r="L394" s="2" t="s">
        <v>4935</v>
      </c>
      <c r="M394" s="3" t="s">
        <v>2050</v>
      </c>
      <c r="O394" s="3" t="s">
        <v>63</v>
      </c>
      <c r="P394" s="3" t="s">
        <v>186</v>
      </c>
      <c r="R394" s="3" t="s">
        <v>65</v>
      </c>
      <c r="S394" s="4">
        <v>4</v>
      </c>
      <c r="T394" s="4">
        <v>4</v>
      </c>
      <c r="U394" s="5" t="s">
        <v>4870</v>
      </c>
      <c r="V394" s="5" t="s">
        <v>4870</v>
      </c>
      <c r="W394" s="5" t="s">
        <v>4211</v>
      </c>
      <c r="X394" s="5" t="s">
        <v>4211</v>
      </c>
      <c r="Y394" s="4">
        <v>221</v>
      </c>
      <c r="Z394" s="4">
        <v>176</v>
      </c>
      <c r="AA394" s="4">
        <v>217</v>
      </c>
      <c r="AB394" s="4">
        <v>1</v>
      </c>
      <c r="AC394" s="4">
        <v>1</v>
      </c>
      <c r="AD394" s="4">
        <v>3</v>
      </c>
      <c r="AE394" s="4">
        <v>4</v>
      </c>
      <c r="AF394" s="4">
        <v>0</v>
      </c>
      <c r="AG394" s="4">
        <v>1</v>
      </c>
      <c r="AH394" s="4">
        <v>1</v>
      </c>
      <c r="AI394" s="4">
        <v>1</v>
      </c>
      <c r="AJ394" s="4">
        <v>3</v>
      </c>
      <c r="AK394" s="4">
        <v>3</v>
      </c>
      <c r="AL394" s="4">
        <v>0</v>
      </c>
      <c r="AM394" s="4">
        <v>0</v>
      </c>
      <c r="AN394" s="4">
        <v>0</v>
      </c>
      <c r="AO394" s="4">
        <v>0</v>
      </c>
      <c r="AP394" s="3" t="s">
        <v>58</v>
      </c>
      <c r="AQ394" s="3" t="s">
        <v>68</v>
      </c>
      <c r="AR394" s="6" t="str">
        <f>HYPERLINK("http://catalog.hathitrust.org/Record/006607847","HathiTrust Record")</f>
        <v>HathiTrust Record</v>
      </c>
      <c r="AS394" s="6" t="str">
        <f>HYPERLINK("https://creighton-primo.hosted.exlibrisgroup.com/primo-explore/search?tab=default_tab&amp;search_scope=EVERYTHING&amp;vid=01CRU&amp;lang=en_US&amp;offset=0&amp;query=any,contains,991003699569702656","Catalog Record")</f>
        <v>Catalog Record</v>
      </c>
      <c r="AT394" s="6" t="str">
        <f>HYPERLINK("http://www.worldcat.org/oclc/1334710","WorldCat Record")</f>
        <v>WorldCat Record</v>
      </c>
      <c r="AU394" s="3" t="s">
        <v>4936</v>
      </c>
      <c r="AV394" s="3" t="s">
        <v>4937</v>
      </c>
      <c r="AW394" s="3" t="s">
        <v>4938</v>
      </c>
      <c r="AX394" s="3" t="s">
        <v>4938</v>
      </c>
      <c r="AY394" s="3" t="s">
        <v>4939</v>
      </c>
      <c r="AZ394" s="3" t="s">
        <v>73</v>
      </c>
      <c r="BC394" s="3" t="s">
        <v>4940</v>
      </c>
      <c r="BD394" s="3" t="s">
        <v>4941</v>
      </c>
    </row>
    <row r="395" spans="1:56" ht="31.5" customHeight="1" x14ac:dyDescent="0.25">
      <c r="A395" s="7" t="s">
        <v>58</v>
      </c>
      <c r="B395" s="2" t="s">
        <v>4942</v>
      </c>
      <c r="C395" s="2" t="s">
        <v>4943</v>
      </c>
      <c r="D395" s="2" t="s">
        <v>4944</v>
      </c>
      <c r="F395" s="3" t="s">
        <v>58</v>
      </c>
      <c r="G395" s="3" t="s">
        <v>59</v>
      </c>
      <c r="H395" s="3" t="s">
        <v>58</v>
      </c>
      <c r="I395" s="3" t="s">
        <v>58</v>
      </c>
      <c r="J395" s="3" t="s">
        <v>60</v>
      </c>
      <c r="L395" s="2" t="s">
        <v>4945</v>
      </c>
      <c r="M395" s="3" t="s">
        <v>230</v>
      </c>
      <c r="O395" s="3" t="s">
        <v>63</v>
      </c>
      <c r="P395" s="3" t="s">
        <v>3406</v>
      </c>
      <c r="R395" s="3" t="s">
        <v>65</v>
      </c>
      <c r="S395" s="4">
        <v>1</v>
      </c>
      <c r="T395" s="4">
        <v>1</v>
      </c>
      <c r="U395" s="5" t="s">
        <v>4946</v>
      </c>
      <c r="V395" s="5" t="s">
        <v>4946</v>
      </c>
      <c r="W395" s="5" t="s">
        <v>4947</v>
      </c>
      <c r="X395" s="5" t="s">
        <v>4947</v>
      </c>
      <c r="Y395" s="4">
        <v>207</v>
      </c>
      <c r="Z395" s="4">
        <v>206</v>
      </c>
      <c r="AA395" s="4">
        <v>213</v>
      </c>
      <c r="AB395" s="4">
        <v>3</v>
      </c>
      <c r="AC395" s="4">
        <v>3</v>
      </c>
      <c r="AD395" s="4">
        <v>11</v>
      </c>
      <c r="AE395" s="4">
        <v>11</v>
      </c>
      <c r="AF395" s="4">
        <v>2</v>
      </c>
      <c r="AG395" s="4">
        <v>2</v>
      </c>
      <c r="AH395" s="4">
        <v>1</v>
      </c>
      <c r="AI395" s="4">
        <v>1</v>
      </c>
      <c r="AJ395" s="4">
        <v>6</v>
      </c>
      <c r="AK395" s="4">
        <v>6</v>
      </c>
      <c r="AL395" s="4">
        <v>2</v>
      </c>
      <c r="AM395" s="4">
        <v>2</v>
      </c>
      <c r="AN395" s="4">
        <v>0</v>
      </c>
      <c r="AO395" s="4">
        <v>0</v>
      </c>
      <c r="AP395" s="3" t="s">
        <v>58</v>
      </c>
      <c r="AQ395" s="3" t="s">
        <v>68</v>
      </c>
      <c r="AR395" s="6" t="str">
        <f>HYPERLINK("http://catalog.hathitrust.org/Record/000179110","HathiTrust Record")</f>
        <v>HathiTrust Record</v>
      </c>
      <c r="AS395" s="6" t="str">
        <f>HYPERLINK("https://creighton-primo.hosted.exlibrisgroup.com/primo-explore/search?tab=default_tab&amp;search_scope=EVERYTHING&amp;vid=01CRU&amp;lang=en_US&amp;offset=0&amp;query=any,contains,991000495569702656","Catalog Record")</f>
        <v>Catalog Record</v>
      </c>
      <c r="AT395" s="6" t="str">
        <f>HYPERLINK("http://www.worldcat.org/oclc/11134108","WorldCat Record")</f>
        <v>WorldCat Record</v>
      </c>
      <c r="AU395" s="3" t="s">
        <v>4948</v>
      </c>
      <c r="AV395" s="3" t="s">
        <v>4949</v>
      </c>
      <c r="AW395" s="3" t="s">
        <v>4950</v>
      </c>
      <c r="AX395" s="3" t="s">
        <v>4950</v>
      </c>
      <c r="AY395" s="3" t="s">
        <v>4951</v>
      </c>
      <c r="AZ395" s="3" t="s">
        <v>73</v>
      </c>
      <c r="BC395" s="3" t="s">
        <v>4952</v>
      </c>
      <c r="BD395" s="3" t="s">
        <v>4953</v>
      </c>
    </row>
    <row r="396" spans="1:56" ht="31.5" customHeight="1" x14ac:dyDescent="0.25">
      <c r="A396" s="7" t="s">
        <v>58</v>
      </c>
      <c r="B396" s="2" t="s">
        <v>4954</v>
      </c>
      <c r="C396" s="2" t="s">
        <v>4955</v>
      </c>
      <c r="D396" s="2" t="s">
        <v>4956</v>
      </c>
      <c r="F396" s="3" t="s">
        <v>58</v>
      </c>
      <c r="G396" s="3" t="s">
        <v>59</v>
      </c>
      <c r="H396" s="3" t="s">
        <v>58</v>
      </c>
      <c r="I396" s="3" t="s">
        <v>58</v>
      </c>
      <c r="J396" s="3" t="s">
        <v>60</v>
      </c>
      <c r="K396" s="2" t="s">
        <v>4957</v>
      </c>
      <c r="L396" s="2" t="s">
        <v>4958</v>
      </c>
      <c r="M396" s="3" t="s">
        <v>944</v>
      </c>
      <c r="N396" s="2" t="s">
        <v>501</v>
      </c>
      <c r="O396" s="3" t="s">
        <v>63</v>
      </c>
      <c r="P396" s="3" t="s">
        <v>64</v>
      </c>
      <c r="R396" s="3" t="s">
        <v>65</v>
      </c>
      <c r="S396" s="4">
        <v>7</v>
      </c>
      <c r="T396" s="4">
        <v>7</v>
      </c>
      <c r="U396" s="5" t="s">
        <v>4843</v>
      </c>
      <c r="V396" s="5" t="s">
        <v>4843</v>
      </c>
      <c r="W396" s="5" t="s">
        <v>4959</v>
      </c>
      <c r="X396" s="5" t="s">
        <v>4959</v>
      </c>
      <c r="Y396" s="4">
        <v>1054</v>
      </c>
      <c r="Z396" s="4">
        <v>1005</v>
      </c>
      <c r="AA396" s="4">
        <v>1052</v>
      </c>
      <c r="AB396" s="4">
        <v>6</v>
      </c>
      <c r="AC396" s="4">
        <v>6</v>
      </c>
      <c r="AD396" s="4">
        <v>19</v>
      </c>
      <c r="AE396" s="4">
        <v>21</v>
      </c>
      <c r="AF396" s="4">
        <v>4</v>
      </c>
      <c r="AG396" s="4">
        <v>5</v>
      </c>
      <c r="AH396" s="4">
        <v>7</v>
      </c>
      <c r="AI396" s="4">
        <v>7</v>
      </c>
      <c r="AJ396" s="4">
        <v>8</v>
      </c>
      <c r="AK396" s="4">
        <v>9</v>
      </c>
      <c r="AL396" s="4">
        <v>4</v>
      </c>
      <c r="AM396" s="4">
        <v>4</v>
      </c>
      <c r="AN396" s="4">
        <v>0</v>
      </c>
      <c r="AO396" s="4">
        <v>0</v>
      </c>
      <c r="AP396" s="3" t="s">
        <v>58</v>
      </c>
      <c r="AQ396" s="3" t="s">
        <v>68</v>
      </c>
      <c r="AR396" s="6" t="str">
        <f>HYPERLINK("http://catalog.hathitrust.org/Record/002205125","HathiTrust Record")</f>
        <v>HathiTrust Record</v>
      </c>
      <c r="AS396" s="6" t="str">
        <f>HYPERLINK("https://creighton-primo.hosted.exlibrisgroup.com/primo-explore/search?tab=default_tab&amp;search_scope=EVERYTHING&amp;vid=01CRU&amp;lang=en_US&amp;offset=0&amp;query=any,contains,991001608269702656","Catalog Record")</f>
        <v>Catalog Record</v>
      </c>
      <c r="AT396" s="6" t="str">
        <f>HYPERLINK("http://www.worldcat.org/oclc/20722213","WorldCat Record")</f>
        <v>WorldCat Record</v>
      </c>
      <c r="AU396" s="3" t="s">
        <v>4960</v>
      </c>
      <c r="AV396" s="3" t="s">
        <v>4961</v>
      </c>
      <c r="AW396" s="3" t="s">
        <v>4962</v>
      </c>
      <c r="AX396" s="3" t="s">
        <v>4962</v>
      </c>
      <c r="AY396" s="3" t="s">
        <v>4963</v>
      </c>
      <c r="AZ396" s="3" t="s">
        <v>73</v>
      </c>
      <c r="BB396" s="3" t="s">
        <v>4964</v>
      </c>
      <c r="BC396" s="3" t="s">
        <v>4965</v>
      </c>
      <c r="BD396" s="3" t="s">
        <v>4966</v>
      </c>
    </row>
    <row r="397" spans="1:56" ht="31.5" customHeight="1" x14ac:dyDescent="0.25">
      <c r="A397" s="7" t="s">
        <v>58</v>
      </c>
      <c r="B397" s="2" t="s">
        <v>4967</v>
      </c>
      <c r="C397" s="2" t="s">
        <v>4968</v>
      </c>
      <c r="D397" s="2" t="s">
        <v>4969</v>
      </c>
      <c r="F397" s="3" t="s">
        <v>58</v>
      </c>
      <c r="G397" s="3" t="s">
        <v>59</v>
      </c>
      <c r="H397" s="3" t="s">
        <v>58</v>
      </c>
      <c r="I397" s="3" t="s">
        <v>58</v>
      </c>
      <c r="J397" s="3" t="s">
        <v>60</v>
      </c>
      <c r="K397" s="2" t="s">
        <v>4970</v>
      </c>
      <c r="L397" s="2" t="s">
        <v>4971</v>
      </c>
      <c r="M397" s="3" t="s">
        <v>1939</v>
      </c>
      <c r="O397" s="3" t="s">
        <v>63</v>
      </c>
      <c r="P397" s="3" t="s">
        <v>64</v>
      </c>
      <c r="R397" s="3" t="s">
        <v>65</v>
      </c>
      <c r="S397" s="4">
        <v>6</v>
      </c>
      <c r="T397" s="4">
        <v>6</v>
      </c>
      <c r="U397" s="5" t="s">
        <v>4972</v>
      </c>
      <c r="V397" s="5" t="s">
        <v>4972</v>
      </c>
      <c r="W397" s="5" t="s">
        <v>4973</v>
      </c>
      <c r="X397" s="5" t="s">
        <v>4973</v>
      </c>
      <c r="Y397" s="4">
        <v>1083</v>
      </c>
      <c r="Z397" s="4">
        <v>995</v>
      </c>
      <c r="AA397" s="4">
        <v>1228</v>
      </c>
      <c r="AB397" s="4">
        <v>7</v>
      </c>
      <c r="AC397" s="4">
        <v>9</v>
      </c>
      <c r="AD397" s="4">
        <v>26</v>
      </c>
      <c r="AE397" s="4">
        <v>29</v>
      </c>
      <c r="AF397" s="4">
        <v>8</v>
      </c>
      <c r="AG397" s="4">
        <v>9</v>
      </c>
      <c r="AH397" s="4">
        <v>4</v>
      </c>
      <c r="AI397" s="4">
        <v>4</v>
      </c>
      <c r="AJ397" s="4">
        <v>11</v>
      </c>
      <c r="AK397" s="4">
        <v>12</v>
      </c>
      <c r="AL397" s="4">
        <v>5</v>
      </c>
      <c r="AM397" s="4">
        <v>6</v>
      </c>
      <c r="AN397" s="4">
        <v>0</v>
      </c>
      <c r="AO397" s="4">
        <v>0</v>
      </c>
      <c r="AP397" s="3" t="s">
        <v>58</v>
      </c>
      <c r="AQ397" s="3" t="s">
        <v>58</v>
      </c>
      <c r="AS397" s="6" t="str">
        <f>HYPERLINK("https://creighton-primo.hosted.exlibrisgroup.com/primo-explore/search?tab=default_tab&amp;search_scope=EVERYTHING&amp;vid=01CRU&amp;lang=en_US&amp;offset=0&amp;query=any,contains,991002668559702656","Catalog Record")</f>
        <v>Catalog Record</v>
      </c>
      <c r="AT397" s="6" t="str">
        <f>HYPERLINK("http://www.worldcat.org/oclc/34906203","WorldCat Record")</f>
        <v>WorldCat Record</v>
      </c>
      <c r="AU397" s="3" t="s">
        <v>4974</v>
      </c>
      <c r="AV397" s="3" t="s">
        <v>4975</v>
      </c>
      <c r="AW397" s="3" t="s">
        <v>4976</v>
      </c>
      <c r="AX397" s="3" t="s">
        <v>4976</v>
      </c>
      <c r="AY397" s="3" t="s">
        <v>4977</v>
      </c>
      <c r="AZ397" s="3" t="s">
        <v>73</v>
      </c>
      <c r="BB397" s="3" t="s">
        <v>4978</v>
      </c>
      <c r="BC397" s="3" t="s">
        <v>4979</v>
      </c>
      <c r="BD397" s="3" t="s">
        <v>4980</v>
      </c>
    </row>
    <row r="398" spans="1:56" ht="31.5" customHeight="1" x14ac:dyDescent="0.25">
      <c r="A398" s="7" t="s">
        <v>58</v>
      </c>
      <c r="B398" s="2" t="s">
        <v>4981</v>
      </c>
      <c r="C398" s="2" t="s">
        <v>4982</v>
      </c>
      <c r="D398" s="2" t="s">
        <v>4983</v>
      </c>
      <c r="F398" s="3" t="s">
        <v>58</v>
      </c>
      <c r="G398" s="3" t="s">
        <v>59</v>
      </c>
      <c r="H398" s="3" t="s">
        <v>58</v>
      </c>
      <c r="I398" s="3" t="s">
        <v>58</v>
      </c>
      <c r="J398" s="3" t="s">
        <v>60</v>
      </c>
      <c r="K398" s="2" t="s">
        <v>4984</v>
      </c>
      <c r="L398" s="2" t="s">
        <v>4985</v>
      </c>
      <c r="M398" s="3" t="s">
        <v>1536</v>
      </c>
      <c r="N398" s="2" t="s">
        <v>4986</v>
      </c>
      <c r="O398" s="3" t="s">
        <v>63</v>
      </c>
      <c r="P398" s="3" t="s">
        <v>186</v>
      </c>
      <c r="R398" s="3" t="s">
        <v>65</v>
      </c>
      <c r="S398" s="4">
        <v>3</v>
      </c>
      <c r="T398" s="4">
        <v>3</v>
      </c>
      <c r="U398" s="5" t="s">
        <v>4987</v>
      </c>
      <c r="V398" s="5" t="s">
        <v>4987</v>
      </c>
      <c r="W398" s="5" t="s">
        <v>2026</v>
      </c>
      <c r="X398" s="5" t="s">
        <v>2026</v>
      </c>
      <c r="Y398" s="4">
        <v>135</v>
      </c>
      <c r="Z398" s="4">
        <v>104</v>
      </c>
      <c r="AA398" s="4">
        <v>396</v>
      </c>
      <c r="AB398" s="4">
        <v>2</v>
      </c>
      <c r="AC398" s="4">
        <v>2</v>
      </c>
      <c r="AD398" s="4">
        <v>3</v>
      </c>
      <c r="AE398" s="4">
        <v>9</v>
      </c>
      <c r="AF398" s="4">
        <v>0</v>
      </c>
      <c r="AG398" s="4">
        <v>6</v>
      </c>
      <c r="AH398" s="4">
        <v>0</v>
      </c>
      <c r="AI398" s="4">
        <v>0</v>
      </c>
      <c r="AJ398" s="4">
        <v>2</v>
      </c>
      <c r="AK398" s="4">
        <v>4</v>
      </c>
      <c r="AL398" s="4">
        <v>1</v>
      </c>
      <c r="AM398" s="4">
        <v>1</v>
      </c>
      <c r="AN398" s="4">
        <v>0</v>
      </c>
      <c r="AO398" s="4">
        <v>0</v>
      </c>
      <c r="AP398" s="3" t="s">
        <v>58</v>
      </c>
      <c r="AQ398" s="3" t="s">
        <v>68</v>
      </c>
      <c r="AR398" s="6" t="str">
        <f>HYPERLINK("http://catalog.hathitrust.org/Record/009094886","HathiTrust Record")</f>
        <v>HathiTrust Record</v>
      </c>
      <c r="AS398" s="6" t="str">
        <f>HYPERLINK("https://creighton-primo.hosted.exlibrisgroup.com/primo-explore/search?tab=default_tab&amp;search_scope=EVERYTHING&amp;vid=01CRU&amp;lang=en_US&amp;offset=0&amp;query=any,contains,991003995729702656","Catalog Record")</f>
        <v>Catalog Record</v>
      </c>
      <c r="AT398" s="6" t="str">
        <f>HYPERLINK("http://www.worldcat.org/oclc/2060197","WorldCat Record")</f>
        <v>WorldCat Record</v>
      </c>
      <c r="AU398" s="3" t="s">
        <v>4988</v>
      </c>
      <c r="AV398" s="3" t="s">
        <v>4989</v>
      </c>
      <c r="AW398" s="3" t="s">
        <v>4990</v>
      </c>
      <c r="AX398" s="3" t="s">
        <v>4990</v>
      </c>
      <c r="AY398" s="3" t="s">
        <v>4991</v>
      </c>
      <c r="AZ398" s="3" t="s">
        <v>73</v>
      </c>
      <c r="BC398" s="3" t="s">
        <v>4992</v>
      </c>
      <c r="BD398" s="3" t="s">
        <v>4993</v>
      </c>
    </row>
    <row r="399" spans="1:56" ht="31.5" customHeight="1" x14ac:dyDescent="0.25">
      <c r="A399" s="7" t="s">
        <v>58</v>
      </c>
      <c r="B399" s="2" t="s">
        <v>4994</v>
      </c>
      <c r="C399" s="2" t="s">
        <v>4995</v>
      </c>
      <c r="D399" s="2" t="s">
        <v>4996</v>
      </c>
      <c r="F399" s="3" t="s">
        <v>58</v>
      </c>
      <c r="G399" s="3" t="s">
        <v>59</v>
      </c>
      <c r="H399" s="3" t="s">
        <v>58</v>
      </c>
      <c r="I399" s="3" t="s">
        <v>58</v>
      </c>
      <c r="J399" s="3" t="s">
        <v>60</v>
      </c>
      <c r="K399" s="2" t="s">
        <v>4997</v>
      </c>
      <c r="L399" s="2" t="s">
        <v>4998</v>
      </c>
      <c r="M399" s="3" t="s">
        <v>344</v>
      </c>
      <c r="O399" s="3" t="s">
        <v>63</v>
      </c>
      <c r="P399" s="3" t="s">
        <v>186</v>
      </c>
      <c r="R399" s="3" t="s">
        <v>65</v>
      </c>
      <c r="S399" s="4">
        <v>4</v>
      </c>
      <c r="T399" s="4">
        <v>4</v>
      </c>
      <c r="U399" s="5" t="s">
        <v>4405</v>
      </c>
      <c r="V399" s="5" t="s">
        <v>4405</v>
      </c>
      <c r="W399" s="5" t="s">
        <v>4999</v>
      </c>
      <c r="X399" s="5" t="s">
        <v>4999</v>
      </c>
      <c r="Y399" s="4">
        <v>557</v>
      </c>
      <c r="Z399" s="4">
        <v>498</v>
      </c>
      <c r="AA399" s="4">
        <v>528</v>
      </c>
      <c r="AB399" s="4">
        <v>4</v>
      </c>
      <c r="AC399" s="4">
        <v>4</v>
      </c>
      <c r="AD399" s="4">
        <v>20</v>
      </c>
      <c r="AE399" s="4">
        <v>20</v>
      </c>
      <c r="AF399" s="4">
        <v>9</v>
      </c>
      <c r="AG399" s="4">
        <v>9</v>
      </c>
      <c r="AH399" s="4">
        <v>2</v>
      </c>
      <c r="AI399" s="4">
        <v>2</v>
      </c>
      <c r="AJ399" s="4">
        <v>7</v>
      </c>
      <c r="AK399" s="4">
        <v>7</v>
      </c>
      <c r="AL399" s="4">
        <v>3</v>
      </c>
      <c r="AM399" s="4">
        <v>3</v>
      </c>
      <c r="AN399" s="4">
        <v>0</v>
      </c>
      <c r="AO399" s="4">
        <v>0</v>
      </c>
      <c r="AP399" s="3" t="s">
        <v>58</v>
      </c>
      <c r="AQ399" s="3" t="s">
        <v>58</v>
      </c>
      <c r="AS399" s="6" t="str">
        <f>HYPERLINK("https://creighton-primo.hosted.exlibrisgroup.com/primo-explore/search?tab=default_tab&amp;search_scope=EVERYTHING&amp;vid=01CRU&amp;lang=en_US&amp;offset=0&amp;query=any,contains,991002183369702656","Catalog Record")</f>
        <v>Catalog Record</v>
      </c>
      <c r="AT399" s="6" t="str">
        <f>HYPERLINK("http://www.worldcat.org/oclc/28113249","WorldCat Record")</f>
        <v>WorldCat Record</v>
      </c>
      <c r="AU399" s="3" t="s">
        <v>5000</v>
      </c>
      <c r="AV399" s="3" t="s">
        <v>5001</v>
      </c>
      <c r="AW399" s="3" t="s">
        <v>5002</v>
      </c>
      <c r="AX399" s="3" t="s">
        <v>5002</v>
      </c>
      <c r="AY399" s="3" t="s">
        <v>5003</v>
      </c>
      <c r="AZ399" s="3" t="s">
        <v>73</v>
      </c>
      <c r="BB399" s="3" t="s">
        <v>5004</v>
      </c>
      <c r="BC399" s="3" t="s">
        <v>5005</v>
      </c>
      <c r="BD399" s="3" t="s">
        <v>5006</v>
      </c>
    </row>
    <row r="400" spans="1:56" ht="31.5" customHeight="1" x14ac:dyDescent="0.25">
      <c r="A400" s="7" t="s">
        <v>58</v>
      </c>
      <c r="B400" s="2" t="s">
        <v>5007</v>
      </c>
      <c r="C400" s="2" t="s">
        <v>5008</v>
      </c>
      <c r="D400" s="2" t="s">
        <v>5009</v>
      </c>
      <c r="F400" s="3" t="s">
        <v>58</v>
      </c>
      <c r="G400" s="3" t="s">
        <v>59</v>
      </c>
      <c r="H400" s="3" t="s">
        <v>58</v>
      </c>
      <c r="I400" s="3" t="s">
        <v>58</v>
      </c>
      <c r="J400" s="3" t="s">
        <v>60</v>
      </c>
      <c r="K400" s="2" t="s">
        <v>5010</v>
      </c>
      <c r="L400" s="2" t="s">
        <v>5011</v>
      </c>
      <c r="M400" s="3" t="s">
        <v>835</v>
      </c>
      <c r="O400" s="3" t="s">
        <v>63</v>
      </c>
      <c r="P400" s="3" t="s">
        <v>64</v>
      </c>
      <c r="Q400" s="2" t="s">
        <v>5012</v>
      </c>
      <c r="R400" s="3" t="s">
        <v>65</v>
      </c>
      <c r="S400" s="4">
        <v>1</v>
      </c>
      <c r="T400" s="4">
        <v>1</v>
      </c>
      <c r="U400" s="5" t="s">
        <v>4541</v>
      </c>
      <c r="V400" s="5" t="s">
        <v>4541</v>
      </c>
      <c r="W400" s="5" t="s">
        <v>5013</v>
      </c>
      <c r="X400" s="5" t="s">
        <v>5013</v>
      </c>
      <c r="Y400" s="4">
        <v>185</v>
      </c>
      <c r="Z400" s="4">
        <v>167</v>
      </c>
      <c r="AA400" s="4">
        <v>172</v>
      </c>
      <c r="AB400" s="4">
        <v>3</v>
      </c>
      <c r="AC400" s="4">
        <v>3</v>
      </c>
      <c r="AD400" s="4">
        <v>6</v>
      </c>
      <c r="AE400" s="4">
        <v>6</v>
      </c>
      <c r="AF400" s="4">
        <v>2</v>
      </c>
      <c r="AG400" s="4">
        <v>2</v>
      </c>
      <c r="AH400" s="4">
        <v>0</v>
      </c>
      <c r="AI400" s="4">
        <v>0</v>
      </c>
      <c r="AJ400" s="4">
        <v>2</v>
      </c>
      <c r="AK400" s="4">
        <v>2</v>
      </c>
      <c r="AL400" s="4">
        <v>2</v>
      </c>
      <c r="AM400" s="4">
        <v>2</v>
      </c>
      <c r="AN400" s="4">
        <v>0</v>
      </c>
      <c r="AO400" s="4">
        <v>0</v>
      </c>
      <c r="AP400" s="3" t="s">
        <v>58</v>
      </c>
      <c r="AQ400" s="3" t="s">
        <v>58</v>
      </c>
      <c r="AS400" s="6" t="str">
        <f>HYPERLINK("https://creighton-primo.hosted.exlibrisgroup.com/primo-explore/search?tab=default_tab&amp;search_scope=EVERYTHING&amp;vid=01CRU&amp;lang=en_US&amp;offset=0&amp;query=any,contains,991002748919702656","Catalog Record")</f>
        <v>Catalog Record</v>
      </c>
      <c r="AT400" s="6" t="str">
        <f>HYPERLINK("http://www.worldcat.org/oclc/36074483","WorldCat Record")</f>
        <v>WorldCat Record</v>
      </c>
      <c r="AU400" s="3" t="s">
        <v>5014</v>
      </c>
      <c r="AV400" s="3" t="s">
        <v>5015</v>
      </c>
      <c r="AW400" s="3" t="s">
        <v>5016</v>
      </c>
      <c r="AX400" s="3" t="s">
        <v>5016</v>
      </c>
      <c r="AY400" s="3" t="s">
        <v>5017</v>
      </c>
      <c r="AZ400" s="3" t="s">
        <v>73</v>
      </c>
      <c r="BB400" s="3" t="s">
        <v>5018</v>
      </c>
      <c r="BC400" s="3" t="s">
        <v>5019</v>
      </c>
      <c r="BD400" s="3" t="s">
        <v>5020</v>
      </c>
    </row>
    <row r="401" spans="1:56" ht="31.5" customHeight="1" x14ac:dyDescent="0.25">
      <c r="A401" s="7" t="s">
        <v>58</v>
      </c>
      <c r="B401" s="2" t="s">
        <v>5021</v>
      </c>
      <c r="C401" s="2" t="s">
        <v>5022</v>
      </c>
      <c r="D401" s="2" t="s">
        <v>5023</v>
      </c>
      <c r="F401" s="3" t="s">
        <v>58</v>
      </c>
      <c r="G401" s="3" t="s">
        <v>59</v>
      </c>
      <c r="H401" s="3" t="s">
        <v>58</v>
      </c>
      <c r="I401" s="3" t="s">
        <v>58</v>
      </c>
      <c r="J401" s="3" t="s">
        <v>60</v>
      </c>
      <c r="L401" s="2" t="s">
        <v>5024</v>
      </c>
      <c r="M401" s="3" t="s">
        <v>82</v>
      </c>
      <c r="O401" s="3" t="s">
        <v>63</v>
      </c>
      <c r="P401" s="3" t="s">
        <v>186</v>
      </c>
      <c r="R401" s="3" t="s">
        <v>65</v>
      </c>
      <c r="S401" s="4">
        <v>1</v>
      </c>
      <c r="T401" s="4">
        <v>1</v>
      </c>
      <c r="U401" s="5" t="s">
        <v>5025</v>
      </c>
      <c r="V401" s="5" t="s">
        <v>5025</v>
      </c>
      <c r="W401" s="5" t="s">
        <v>5025</v>
      </c>
      <c r="X401" s="5" t="s">
        <v>5025</v>
      </c>
      <c r="Y401" s="4">
        <v>311</v>
      </c>
      <c r="Z401" s="4">
        <v>264</v>
      </c>
      <c r="AA401" s="4">
        <v>269</v>
      </c>
      <c r="AB401" s="4">
        <v>2</v>
      </c>
      <c r="AC401" s="4">
        <v>2</v>
      </c>
      <c r="AD401" s="4">
        <v>5</v>
      </c>
      <c r="AE401" s="4">
        <v>5</v>
      </c>
      <c r="AF401" s="4">
        <v>2</v>
      </c>
      <c r="AG401" s="4">
        <v>2</v>
      </c>
      <c r="AH401" s="4">
        <v>1</v>
      </c>
      <c r="AI401" s="4">
        <v>1</v>
      </c>
      <c r="AJ401" s="4">
        <v>3</v>
      </c>
      <c r="AK401" s="4">
        <v>3</v>
      </c>
      <c r="AL401" s="4">
        <v>1</v>
      </c>
      <c r="AM401" s="4">
        <v>1</v>
      </c>
      <c r="AN401" s="4">
        <v>0</v>
      </c>
      <c r="AO401" s="4">
        <v>0</v>
      </c>
      <c r="AP401" s="3" t="s">
        <v>58</v>
      </c>
      <c r="AQ401" s="3" t="s">
        <v>58</v>
      </c>
      <c r="AS401" s="6" t="str">
        <f>HYPERLINK("https://creighton-primo.hosted.exlibrisgroup.com/primo-explore/search?tab=default_tab&amp;search_scope=EVERYTHING&amp;vid=01CRU&amp;lang=en_US&amp;offset=0&amp;query=any,contains,991004000819702656","Catalog Record")</f>
        <v>Catalog Record</v>
      </c>
      <c r="AT401" s="6" t="str">
        <f>HYPERLINK("http://www.worldcat.org/oclc/49902055","WorldCat Record")</f>
        <v>WorldCat Record</v>
      </c>
      <c r="AU401" s="3" t="s">
        <v>5026</v>
      </c>
      <c r="AV401" s="3" t="s">
        <v>5027</v>
      </c>
      <c r="AW401" s="3" t="s">
        <v>5028</v>
      </c>
      <c r="AX401" s="3" t="s">
        <v>5028</v>
      </c>
      <c r="AY401" s="3" t="s">
        <v>5029</v>
      </c>
      <c r="AZ401" s="3" t="s">
        <v>73</v>
      </c>
      <c r="BB401" s="3" t="s">
        <v>5030</v>
      </c>
      <c r="BC401" s="3" t="s">
        <v>5031</v>
      </c>
      <c r="BD401" s="3" t="s">
        <v>5032</v>
      </c>
    </row>
    <row r="402" spans="1:56" ht="31.5" customHeight="1" x14ac:dyDescent="0.25">
      <c r="A402" s="7" t="s">
        <v>58</v>
      </c>
      <c r="B402" s="2" t="s">
        <v>5033</v>
      </c>
      <c r="C402" s="2" t="s">
        <v>5034</v>
      </c>
      <c r="D402" s="2" t="s">
        <v>5035</v>
      </c>
      <c r="F402" s="3" t="s">
        <v>58</v>
      </c>
      <c r="G402" s="3" t="s">
        <v>59</v>
      </c>
      <c r="H402" s="3" t="s">
        <v>58</v>
      </c>
      <c r="I402" s="3" t="s">
        <v>58</v>
      </c>
      <c r="J402" s="3" t="s">
        <v>60</v>
      </c>
      <c r="L402" s="2" t="s">
        <v>5036</v>
      </c>
      <c r="M402" s="3" t="s">
        <v>2117</v>
      </c>
      <c r="O402" s="3" t="s">
        <v>63</v>
      </c>
      <c r="P402" s="3" t="s">
        <v>1014</v>
      </c>
      <c r="R402" s="3" t="s">
        <v>65</v>
      </c>
      <c r="S402" s="4">
        <v>6</v>
      </c>
      <c r="T402" s="4">
        <v>6</v>
      </c>
      <c r="U402" s="5" t="s">
        <v>5037</v>
      </c>
      <c r="V402" s="5" t="s">
        <v>5037</v>
      </c>
      <c r="W402" s="5" t="s">
        <v>3407</v>
      </c>
      <c r="X402" s="5" t="s">
        <v>3407</v>
      </c>
      <c r="Y402" s="4">
        <v>380</v>
      </c>
      <c r="Z402" s="4">
        <v>290</v>
      </c>
      <c r="AA402" s="4">
        <v>294</v>
      </c>
      <c r="AB402" s="4">
        <v>2</v>
      </c>
      <c r="AC402" s="4">
        <v>2</v>
      </c>
      <c r="AD402" s="4">
        <v>8</v>
      </c>
      <c r="AE402" s="4">
        <v>8</v>
      </c>
      <c r="AF402" s="4">
        <v>2</v>
      </c>
      <c r="AG402" s="4">
        <v>2</v>
      </c>
      <c r="AH402" s="4">
        <v>5</v>
      </c>
      <c r="AI402" s="4">
        <v>5</v>
      </c>
      <c r="AJ402" s="4">
        <v>2</v>
      </c>
      <c r="AK402" s="4">
        <v>2</v>
      </c>
      <c r="AL402" s="4">
        <v>1</v>
      </c>
      <c r="AM402" s="4">
        <v>1</v>
      </c>
      <c r="AN402" s="4">
        <v>0</v>
      </c>
      <c r="AO402" s="4">
        <v>0</v>
      </c>
      <c r="AP402" s="3" t="s">
        <v>58</v>
      </c>
      <c r="AQ402" s="3" t="s">
        <v>68</v>
      </c>
      <c r="AR402" s="6" t="str">
        <f>HYPERLINK("http://catalog.hathitrust.org/Record/000034685","HathiTrust Record")</f>
        <v>HathiTrust Record</v>
      </c>
      <c r="AS402" s="6" t="str">
        <f>HYPERLINK("https://creighton-primo.hosted.exlibrisgroup.com/primo-explore/search?tab=default_tab&amp;search_scope=EVERYTHING&amp;vid=01CRU&amp;lang=en_US&amp;offset=0&amp;query=any,contains,991004816119702656","Catalog Record")</f>
        <v>Catalog Record</v>
      </c>
      <c r="AT402" s="6" t="str">
        <f>HYPERLINK("http://www.worldcat.org/oclc/5310392","WorldCat Record")</f>
        <v>WorldCat Record</v>
      </c>
      <c r="AU402" s="3" t="s">
        <v>5038</v>
      </c>
      <c r="AV402" s="3" t="s">
        <v>5039</v>
      </c>
      <c r="AW402" s="3" t="s">
        <v>5040</v>
      </c>
      <c r="AX402" s="3" t="s">
        <v>5040</v>
      </c>
      <c r="AY402" s="3" t="s">
        <v>5041</v>
      </c>
      <c r="AZ402" s="3" t="s">
        <v>73</v>
      </c>
      <c r="BB402" s="3" t="s">
        <v>5042</v>
      </c>
      <c r="BC402" s="3" t="s">
        <v>5043</v>
      </c>
      <c r="BD402" s="3" t="s">
        <v>5044</v>
      </c>
    </row>
    <row r="403" spans="1:56" ht="31.5" customHeight="1" x14ac:dyDescent="0.25">
      <c r="A403" s="7" t="s">
        <v>58</v>
      </c>
      <c r="B403" s="2" t="s">
        <v>5045</v>
      </c>
      <c r="C403" s="2" t="s">
        <v>5046</v>
      </c>
      <c r="D403" s="2" t="s">
        <v>5047</v>
      </c>
      <c r="F403" s="3" t="s">
        <v>58</v>
      </c>
      <c r="G403" s="3" t="s">
        <v>59</v>
      </c>
      <c r="H403" s="3" t="s">
        <v>58</v>
      </c>
      <c r="I403" s="3" t="s">
        <v>58</v>
      </c>
      <c r="J403" s="3" t="s">
        <v>60</v>
      </c>
      <c r="K403" s="2" t="s">
        <v>5048</v>
      </c>
      <c r="L403" s="2" t="s">
        <v>1938</v>
      </c>
      <c r="M403" s="3" t="s">
        <v>1939</v>
      </c>
      <c r="O403" s="3" t="s">
        <v>63</v>
      </c>
      <c r="P403" s="3" t="s">
        <v>64</v>
      </c>
      <c r="R403" s="3" t="s">
        <v>65</v>
      </c>
      <c r="S403" s="4">
        <v>2</v>
      </c>
      <c r="T403" s="4">
        <v>2</v>
      </c>
      <c r="U403" s="5" t="s">
        <v>5049</v>
      </c>
      <c r="V403" s="5" t="s">
        <v>5049</v>
      </c>
      <c r="W403" s="5" t="s">
        <v>4973</v>
      </c>
      <c r="X403" s="5" t="s">
        <v>4973</v>
      </c>
      <c r="Y403" s="4">
        <v>542</v>
      </c>
      <c r="Z403" s="4">
        <v>508</v>
      </c>
      <c r="AA403" s="4">
        <v>531</v>
      </c>
      <c r="AB403" s="4">
        <v>3</v>
      </c>
      <c r="AC403" s="4">
        <v>3</v>
      </c>
      <c r="AD403" s="4">
        <v>11</v>
      </c>
      <c r="AE403" s="4">
        <v>11</v>
      </c>
      <c r="AF403" s="4">
        <v>2</v>
      </c>
      <c r="AG403" s="4">
        <v>2</v>
      </c>
      <c r="AH403" s="4">
        <v>3</v>
      </c>
      <c r="AI403" s="4">
        <v>3</v>
      </c>
      <c r="AJ403" s="4">
        <v>7</v>
      </c>
      <c r="AK403" s="4">
        <v>7</v>
      </c>
      <c r="AL403" s="4">
        <v>2</v>
      </c>
      <c r="AM403" s="4">
        <v>2</v>
      </c>
      <c r="AN403" s="4">
        <v>0</v>
      </c>
      <c r="AO403" s="4">
        <v>0</v>
      </c>
      <c r="AP403" s="3" t="s">
        <v>58</v>
      </c>
      <c r="AQ403" s="3" t="s">
        <v>58</v>
      </c>
      <c r="AS403" s="6" t="str">
        <f>HYPERLINK("https://creighton-primo.hosted.exlibrisgroup.com/primo-explore/search?tab=default_tab&amp;search_scope=EVERYTHING&amp;vid=01CRU&amp;lang=en_US&amp;offset=0&amp;query=any,contains,991002680949702656","Catalog Record")</f>
        <v>Catalog Record</v>
      </c>
      <c r="AT403" s="6" t="str">
        <f>HYPERLINK("http://www.worldcat.org/oclc/35033577","WorldCat Record")</f>
        <v>WorldCat Record</v>
      </c>
      <c r="AU403" s="3" t="s">
        <v>5050</v>
      </c>
      <c r="AV403" s="3" t="s">
        <v>5051</v>
      </c>
      <c r="AW403" s="3" t="s">
        <v>5052</v>
      </c>
      <c r="AX403" s="3" t="s">
        <v>5052</v>
      </c>
      <c r="AY403" s="3" t="s">
        <v>5053</v>
      </c>
      <c r="AZ403" s="3" t="s">
        <v>73</v>
      </c>
      <c r="BB403" s="3" t="s">
        <v>5054</v>
      </c>
      <c r="BC403" s="3" t="s">
        <v>5055</v>
      </c>
      <c r="BD403" s="3" t="s">
        <v>5056</v>
      </c>
    </row>
    <row r="404" spans="1:56" ht="31.5" customHeight="1" x14ac:dyDescent="0.25">
      <c r="A404" s="7" t="s">
        <v>58</v>
      </c>
      <c r="B404" s="2" t="s">
        <v>5057</v>
      </c>
      <c r="C404" s="2" t="s">
        <v>5058</v>
      </c>
      <c r="D404" s="2" t="s">
        <v>5059</v>
      </c>
      <c r="F404" s="3" t="s">
        <v>58</v>
      </c>
      <c r="G404" s="3" t="s">
        <v>59</v>
      </c>
      <c r="H404" s="3" t="s">
        <v>58</v>
      </c>
      <c r="I404" s="3" t="s">
        <v>58</v>
      </c>
      <c r="J404" s="3" t="s">
        <v>60</v>
      </c>
      <c r="K404" s="2" t="s">
        <v>5060</v>
      </c>
      <c r="L404" s="2" t="s">
        <v>5061</v>
      </c>
      <c r="M404" s="3" t="s">
        <v>1912</v>
      </c>
      <c r="O404" s="3" t="s">
        <v>63</v>
      </c>
      <c r="P404" s="3" t="s">
        <v>186</v>
      </c>
      <c r="R404" s="3" t="s">
        <v>65</v>
      </c>
      <c r="S404" s="4">
        <v>7</v>
      </c>
      <c r="T404" s="4">
        <v>7</v>
      </c>
      <c r="U404" s="5" t="s">
        <v>5062</v>
      </c>
      <c r="V404" s="5" t="s">
        <v>5062</v>
      </c>
      <c r="W404" s="5" t="s">
        <v>3407</v>
      </c>
      <c r="X404" s="5" t="s">
        <v>3407</v>
      </c>
      <c r="Y404" s="4">
        <v>66</v>
      </c>
      <c r="Z404" s="4">
        <v>31</v>
      </c>
      <c r="AA404" s="4">
        <v>271</v>
      </c>
      <c r="AB404" s="4">
        <v>1</v>
      </c>
      <c r="AC404" s="4">
        <v>3</v>
      </c>
      <c r="AD404" s="4">
        <v>0</v>
      </c>
      <c r="AE404" s="4">
        <v>7</v>
      </c>
      <c r="AF404" s="4">
        <v>0</v>
      </c>
      <c r="AG404" s="4">
        <v>1</v>
      </c>
      <c r="AH404" s="4">
        <v>0</v>
      </c>
      <c r="AI404" s="4">
        <v>2</v>
      </c>
      <c r="AJ404" s="4">
        <v>0</v>
      </c>
      <c r="AK404" s="4">
        <v>4</v>
      </c>
      <c r="AL404" s="4">
        <v>0</v>
      </c>
      <c r="AM404" s="4">
        <v>2</v>
      </c>
      <c r="AN404" s="4">
        <v>0</v>
      </c>
      <c r="AO404" s="4">
        <v>0</v>
      </c>
      <c r="AP404" s="3" t="s">
        <v>58</v>
      </c>
      <c r="AQ404" s="3" t="s">
        <v>68</v>
      </c>
      <c r="AR404" s="6" t="str">
        <f>HYPERLINK("http://catalog.hathitrust.org/Record/008514390","HathiTrust Record")</f>
        <v>HathiTrust Record</v>
      </c>
      <c r="AS404" s="6" t="str">
        <f>HYPERLINK("https://creighton-primo.hosted.exlibrisgroup.com/primo-explore/search?tab=default_tab&amp;search_scope=EVERYTHING&amp;vid=01CRU&amp;lang=en_US&amp;offset=0&amp;query=any,contains,991000859599702656","Catalog Record")</f>
        <v>Catalog Record</v>
      </c>
      <c r="AT404" s="6" t="str">
        <f>HYPERLINK("http://www.worldcat.org/oclc/13670239","WorldCat Record")</f>
        <v>WorldCat Record</v>
      </c>
      <c r="AU404" s="3" t="s">
        <v>5063</v>
      </c>
      <c r="AV404" s="3" t="s">
        <v>5064</v>
      </c>
      <c r="AW404" s="3" t="s">
        <v>5065</v>
      </c>
      <c r="AX404" s="3" t="s">
        <v>5065</v>
      </c>
      <c r="AY404" s="3" t="s">
        <v>5066</v>
      </c>
      <c r="AZ404" s="3" t="s">
        <v>73</v>
      </c>
      <c r="BB404" s="3" t="s">
        <v>5067</v>
      </c>
      <c r="BC404" s="3" t="s">
        <v>5068</v>
      </c>
      <c r="BD404" s="3" t="s">
        <v>5069</v>
      </c>
    </row>
    <row r="405" spans="1:56" ht="31.5" customHeight="1" x14ac:dyDescent="0.25">
      <c r="A405" s="7" t="s">
        <v>58</v>
      </c>
      <c r="B405" s="2" t="s">
        <v>5070</v>
      </c>
      <c r="C405" s="2" t="s">
        <v>5071</v>
      </c>
      <c r="D405" s="2" t="s">
        <v>5072</v>
      </c>
      <c r="F405" s="3" t="s">
        <v>58</v>
      </c>
      <c r="G405" s="3" t="s">
        <v>59</v>
      </c>
      <c r="H405" s="3" t="s">
        <v>58</v>
      </c>
      <c r="I405" s="3" t="s">
        <v>58</v>
      </c>
      <c r="J405" s="3" t="s">
        <v>60</v>
      </c>
      <c r="K405" s="2" t="s">
        <v>5073</v>
      </c>
      <c r="L405" s="2" t="s">
        <v>5074</v>
      </c>
      <c r="M405" s="3" t="s">
        <v>185</v>
      </c>
      <c r="O405" s="3" t="s">
        <v>63</v>
      </c>
      <c r="P405" s="3" t="s">
        <v>186</v>
      </c>
      <c r="Q405" s="2" t="s">
        <v>187</v>
      </c>
      <c r="R405" s="3" t="s">
        <v>65</v>
      </c>
      <c r="S405" s="4">
        <v>4</v>
      </c>
      <c r="T405" s="4">
        <v>4</v>
      </c>
      <c r="U405" s="5" t="s">
        <v>5075</v>
      </c>
      <c r="V405" s="5" t="s">
        <v>5075</v>
      </c>
      <c r="W405" s="5" t="s">
        <v>3296</v>
      </c>
      <c r="X405" s="5" t="s">
        <v>3296</v>
      </c>
      <c r="Y405" s="4">
        <v>305</v>
      </c>
      <c r="Z405" s="4">
        <v>247</v>
      </c>
      <c r="AA405" s="4">
        <v>340</v>
      </c>
      <c r="AB405" s="4">
        <v>3</v>
      </c>
      <c r="AC405" s="4">
        <v>6</v>
      </c>
      <c r="AD405" s="4">
        <v>8</v>
      </c>
      <c r="AE405" s="4">
        <v>16</v>
      </c>
      <c r="AF405" s="4">
        <v>3</v>
      </c>
      <c r="AG405" s="4">
        <v>5</v>
      </c>
      <c r="AH405" s="4">
        <v>2</v>
      </c>
      <c r="AI405" s="4">
        <v>3</v>
      </c>
      <c r="AJ405" s="4">
        <v>3</v>
      </c>
      <c r="AK405" s="4">
        <v>7</v>
      </c>
      <c r="AL405" s="4">
        <v>2</v>
      </c>
      <c r="AM405" s="4">
        <v>4</v>
      </c>
      <c r="AN405" s="4">
        <v>0</v>
      </c>
      <c r="AO405" s="4">
        <v>0</v>
      </c>
      <c r="AP405" s="3" t="s">
        <v>58</v>
      </c>
      <c r="AQ405" s="3" t="s">
        <v>68</v>
      </c>
      <c r="AR405" s="6" t="str">
        <f>HYPERLINK("http://catalog.hathitrust.org/Record/001097117","HathiTrust Record")</f>
        <v>HathiTrust Record</v>
      </c>
      <c r="AS405" s="6" t="str">
        <f>HYPERLINK("https://creighton-primo.hosted.exlibrisgroup.com/primo-explore/search?tab=default_tab&amp;search_scope=EVERYTHING&amp;vid=01CRU&amp;lang=en_US&amp;offset=0&amp;query=any,contains,991001327799702656","Catalog Record")</f>
        <v>Catalog Record</v>
      </c>
      <c r="AT405" s="6" t="str">
        <f>HYPERLINK("http://www.worldcat.org/oclc/18291383","WorldCat Record")</f>
        <v>WorldCat Record</v>
      </c>
      <c r="AU405" s="3" t="s">
        <v>5076</v>
      </c>
      <c r="AV405" s="3" t="s">
        <v>5077</v>
      </c>
      <c r="AW405" s="3" t="s">
        <v>5078</v>
      </c>
      <c r="AX405" s="3" t="s">
        <v>5078</v>
      </c>
      <c r="AY405" s="3" t="s">
        <v>5079</v>
      </c>
      <c r="AZ405" s="3" t="s">
        <v>73</v>
      </c>
      <c r="BB405" s="3" t="s">
        <v>5080</v>
      </c>
      <c r="BC405" s="3" t="s">
        <v>5081</v>
      </c>
      <c r="BD405" s="3" t="s">
        <v>5082</v>
      </c>
    </row>
    <row r="406" spans="1:56" ht="31.5" customHeight="1" x14ac:dyDescent="0.25">
      <c r="A406" s="7" t="s">
        <v>58</v>
      </c>
      <c r="B406" s="2" t="s">
        <v>5083</v>
      </c>
      <c r="C406" s="2" t="s">
        <v>5084</v>
      </c>
      <c r="D406" s="2" t="s">
        <v>5085</v>
      </c>
      <c r="F406" s="3" t="s">
        <v>58</v>
      </c>
      <c r="G406" s="3" t="s">
        <v>59</v>
      </c>
      <c r="H406" s="3" t="s">
        <v>58</v>
      </c>
      <c r="I406" s="3" t="s">
        <v>58</v>
      </c>
      <c r="J406" s="3" t="s">
        <v>60</v>
      </c>
      <c r="K406" s="2" t="s">
        <v>5086</v>
      </c>
      <c r="L406" s="2" t="s">
        <v>5087</v>
      </c>
      <c r="M406" s="3" t="s">
        <v>633</v>
      </c>
      <c r="O406" s="3" t="s">
        <v>63</v>
      </c>
      <c r="P406" s="3" t="s">
        <v>64</v>
      </c>
      <c r="R406" s="3" t="s">
        <v>65</v>
      </c>
      <c r="S406" s="4">
        <v>5</v>
      </c>
      <c r="T406" s="4">
        <v>5</v>
      </c>
      <c r="U406" s="5" t="s">
        <v>5062</v>
      </c>
      <c r="V406" s="5" t="s">
        <v>5062</v>
      </c>
      <c r="W406" s="5" t="s">
        <v>5088</v>
      </c>
      <c r="X406" s="5" t="s">
        <v>5088</v>
      </c>
      <c r="Y406" s="4">
        <v>821</v>
      </c>
      <c r="Z406" s="4">
        <v>718</v>
      </c>
      <c r="AA406" s="4">
        <v>719</v>
      </c>
      <c r="AB406" s="4">
        <v>4</v>
      </c>
      <c r="AC406" s="4">
        <v>4</v>
      </c>
      <c r="AD406" s="4">
        <v>17</v>
      </c>
      <c r="AE406" s="4">
        <v>17</v>
      </c>
      <c r="AF406" s="4">
        <v>7</v>
      </c>
      <c r="AG406" s="4">
        <v>7</v>
      </c>
      <c r="AH406" s="4">
        <v>4</v>
      </c>
      <c r="AI406" s="4">
        <v>4</v>
      </c>
      <c r="AJ406" s="4">
        <v>9</v>
      </c>
      <c r="AK406" s="4">
        <v>9</v>
      </c>
      <c r="AL406" s="4">
        <v>2</v>
      </c>
      <c r="AM406" s="4">
        <v>2</v>
      </c>
      <c r="AN406" s="4">
        <v>0</v>
      </c>
      <c r="AO406" s="4">
        <v>0</v>
      </c>
      <c r="AP406" s="3" t="s">
        <v>58</v>
      </c>
      <c r="AQ406" s="3" t="s">
        <v>68</v>
      </c>
      <c r="AR406" s="6" t="str">
        <f>HYPERLINK("http://catalog.hathitrust.org/Record/002976111","HathiTrust Record")</f>
        <v>HathiTrust Record</v>
      </c>
      <c r="AS406" s="6" t="str">
        <f>HYPERLINK("https://creighton-primo.hosted.exlibrisgroup.com/primo-explore/search?tab=default_tab&amp;search_scope=EVERYTHING&amp;vid=01CRU&amp;lang=en_US&amp;offset=0&amp;query=any,contains,991002389929702656","Catalog Record")</f>
        <v>Catalog Record</v>
      </c>
      <c r="AT406" s="6" t="str">
        <f>HYPERLINK("http://www.worldcat.org/oclc/31045313","WorldCat Record")</f>
        <v>WorldCat Record</v>
      </c>
      <c r="AU406" s="3" t="s">
        <v>5089</v>
      </c>
      <c r="AV406" s="3" t="s">
        <v>5090</v>
      </c>
      <c r="AW406" s="3" t="s">
        <v>5091</v>
      </c>
      <c r="AX406" s="3" t="s">
        <v>5091</v>
      </c>
      <c r="AY406" s="3" t="s">
        <v>5092</v>
      </c>
      <c r="AZ406" s="3" t="s">
        <v>73</v>
      </c>
      <c r="BB406" s="3" t="s">
        <v>5093</v>
      </c>
      <c r="BC406" s="3" t="s">
        <v>5094</v>
      </c>
      <c r="BD406" s="3" t="s">
        <v>5095</v>
      </c>
    </row>
    <row r="407" spans="1:56" ht="31.5" customHeight="1" x14ac:dyDescent="0.25">
      <c r="A407" s="7" t="s">
        <v>58</v>
      </c>
      <c r="B407" s="2" t="s">
        <v>5096</v>
      </c>
      <c r="C407" s="2" t="s">
        <v>5097</v>
      </c>
      <c r="D407" s="2" t="s">
        <v>5098</v>
      </c>
      <c r="F407" s="3" t="s">
        <v>58</v>
      </c>
      <c r="G407" s="3" t="s">
        <v>59</v>
      </c>
      <c r="H407" s="3" t="s">
        <v>58</v>
      </c>
      <c r="I407" s="3" t="s">
        <v>58</v>
      </c>
      <c r="J407" s="3" t="s">
        <v>60</v>
      </c>
      <c r="K407" s="2" t="s">
        <v>5099</v>
      </c>
      <c r="L407" s="2" t="s">
        <v>5100</v>
      </c>
      <c r="M407" s="3" t="s">
        <v>144</v>
      </c>
      <c r="O407" s="3" t="s">
        <v>63</v>
      </c>
      <c r="P407" s="3" t="s">
        <v>64</v>
      </c>
      <c r="R407" s="3" t="s">
        <v>65</v>
      </c>
      <c r="S407" s="4">
        <v>13</v>
      </c>
      <c r="T407" s="4">
        <v>13</v>
      </c>
      <c r="U407" s="5" t="s">
        <v>4424</v>
      </c>
      <c r="V407" s="5" t="s">
        <v>4424</v>
      </c>
      <c r="W407" s="5" t="s">
        <v>1998</v>
      </c>
      <c r="X407" s="5" t="s">
        <v>1998</v>
      </c>
      <c r="Y407" s="4">
        <v>461</v>
      </c>
      <c r="Z407" s="4">
        <v>415</v>
      </c>
      <c r="AA407" s="4">
        <v>416</v>
      </c>
      <c r="AB407" s="4">
        <v>1</v>
      </c>
      <c r="AC407" s="4">
        <v>1</v>
      </c>
      <c r="AD407" s="4">
        <v>6</v>
      </c>
      <c r="AE407" s="4">
        <v>6</v>
      </c>
      <c r="AF407" s="4">
        <v>1</v>
      </c>
      <c r="AG407" s="4">
        <v>1</v>
      </c>
      <c r="AH407" s="4">
        <v>1</v>
      </c>
      <c r="AI407" s="4">
        <v>1</v>
      </c>
      <c r="AJ407" s="4">
        <v>5</v>
      </c>
      <c r="AK407" s="4">
        <v>5</v>
      </c>
      <c r="AL407" s="4">
        <v>0</v>
      </c>
      <c r="AM407" s="4">
        <v>0</v>
      </c>
      <c r="AN407" s="4">
        <v>0</v>
      </c>
      <c r="AO407" s="4">
        <v>0</v>
      </c>
      <c r="AP407" s="3" t="s">
        <v>58</v>
      </c>
      <c r="AQ407" s="3" t="s">
        <v>58</v>
      </c>
      <c r="AS407" s="6" t="str">
        <f>HYPERLINK("https://creighton-primo.hosted.exlibrisgroup.com/primo-explore/search?tab=default_tab&amp;search_scope=EVERYTHING&amp;vid=01CRU&amp;lang=en_US&amp;offset=0&amp;query=any,contains,991005226969702656","Catalog Record")</f>
        <v>Catalog Record</v>
      </c>
      <c r="AT407" s="6" t="str">
        <f>HYPERLINK("http://www.worldcat.org/oclc/8283510","WorldCat Record")</f>
        <v>WorldCat Record</v>
      </c>
      <c r="AU407" s="3" t="s">
        <v>5101</v>
      </c>
      <c r="AV407" s="3" t="s">
        <v>5102</v>
      </c>
      <c r="AW407" s="3" t="s">
        <v>5103</v>
      </c>
      <c r="AX407" s="3" t="s">
        <v>5103</v>
      </c>
      <c r="AY407" s="3" t="s">
        <v>5104</v>
      </c>
      <c r="AZ407" s="3" t="s">
        <v>73</v>
      </c>
      <c r="BB407" s="3" t="s">
        <v>5105</v>
      </c>
      <c r="BC407" s="3" t="s">
        <v>5106</v>
      </c>
      <c r="BD407" s="3" t="s">
        <v>5107</v>
      </c>
    </row>
    <row r="408" spans="1:56" ht="31.5" customHeight="1" x14ac:dyDescent="0.25">
      <c r="A408" s="7" t="s">
        <v>58</v>
      </c>
      <c r="B408" s="2" t="s">
        <v>5108</v>
      </c>
      <c r="C408" s="2" t="s">
        <v>5109</v>
      </c>
      <c r="D408" s="2" t="s">
        <v>5110</v>
      </c>
      <c r="F408" s="3" t="s">
        <v>58</v>
      </c>
      <c r="G408" s="3" t="s">
        <v>59</v>
      </c>
      <c r="H408" s="3" t="s">
        <v>58</v>
      </c>
      <c r="I408" s="3" t="s">
        <v>58</v>
      </c>
      <c r="J408" s="3" t="s">
        <v>60</v>
      </c>
      <c r="K408" s="2" t="s">
        <v>5111</v>
      </c>
      <c r="L408" s="2" t="s">
        <v>5112</v>
      </c>
      <c r="M408" s="3" t="s">
        <v>2546</v>
      </c>
      <c r="O408" s="3" t="s">
        <v>63</v>
      </c>
      <c r="P408" s="3" t="s">
        <v>64</v>
      </c>
      <c r="R408" s="3" t="s">
        <v>65</v>
      </c>
      <c r="S408" s="4">
        <v>2</v>
      </c>
      <c r="T408" s="4">
        <v>2</v>
      </c>
      <c r="U408" s="5" t="s">
        <v>5113</v>
      </c>
      <c r="V408" s="5" t="s">
        <v>5113</v>
      </c>
      <c r="W408" s="5" t="s">
        <v>5113</v>
      </c>
      <c r="X408" s="5" t="s">
        <v>5113</v>
      </c>
      <c r="Y408" s="4">
        <v>697</v>
      </c>
      <c r="Z408" s="4">
        <v>627</v>
      </c>
      <c r="AA408" s="4">
        <v>662</v>
      </c>
      <c r="AB408" s="4">
        <v>8</v>
      </c>
      <c r="AC408" s="4">
        <v>8</v>
      </c>
      <c r="AD408" s="4">
        <v>16</v>
      </c>
      <c r="AE408" s="4">
        <v>19</v>
      </c>
      <c r="AF408" s="4">
        <v>6</v>
      </c>
      <c r="AG408" s="4">
        <v>8</v>
      </c>
      <c r="AH408" s="4">
        <v>3</v>
      </c>
      <c r="AI408" s="4">
        <v>4</v>
      </c>
      <c r="AJ408" s="4">
        <v>7</v>
      </c>
      <c r="AK408" s="4">
        <v>8</v>
      </c>
      <c r="AL408" s="4">
        <v>5</v>
      </c>
      <c r="AM408" s="4">
        <v>5</v>
      </c>
      <c r="AN408" s="4">
        <v>0</v>
      </c>
      <c r="AO408" s="4">
        <v>0</v>
      </c>
      <c r="AP408" s="3" t="s">
        <v>58</v>
      </c>
      <c r="AQ408" s="3" t="s">
        <v>58</v>
      </c>
      <c r="AS408" s="6" t="str">
        <f>HYPERLINK("https://creighton-primo.hosted.exlibrisgroup.com/primo-explore/search?tab=default_tab&amp;search_scope=EVERYTHING&amp;vid=01CRU&amp;lang=en_US&amp;offset=0&amp;query=any,contains,991003616329702656","Catalog Record")</f>
        <v>Catalog Record</v>
      </c>
      <c r="AT408" s="6" t="str">
        <f>HYPERLINK("http://www.worldcat.org/oclc/41355774","WorldCat Record")</f>
        <v>WorldCat Record</v>
      </c>
      <c r="AU408" s="3" t="s">
        <v>5114</v>
      </c>
      <c r="AV408" s="3" t="s">
        <v>5115</v>
      </c>
      <c r="AW408" s="3" t="s">
        <v>5116</v>
      </c>
      <c r="AX408" s="3" t="s">
        <v>5116</v>
      </c>
      <c r="AY408" s="3" t="s">
        <v>5117</v>
      </c>
      <c r="AZ408" s="3" t="s">
        <v>73</v>
      </c>
      <c r="BB408" s="3" t="s">
        <v>5118</v>
      </c>
      <c r="BC408" s="3" t="s">
        <v>5119</v>
      </c>
      <c r="BD408" s="3" t="s">
        <v>5120</v>
      </c>
    </row>
    <row r="409" spans="1:56" ht="31.5" customHeight="1" x14ac:dyDescent="0.25">
      <c r="A409" s="7" t="s">
        <v>58</v>
      </c>
      <c r="B409" s="2" t="s">
        <v>5121</v>
      </c>
      <c r="C409" s="2" t="s">
        <v>5122</v>
      </c>
      <c r="D409" s="2" t="s">
        <v>5123</v>
      </c>
      <c r="F409" s="3" t="s">
        <v>58</v>
      </c>
      <c r="G409" s="3" t="s">
        <v>59</v>
      </c>
      <c r="H409" s="3" t="s">
        <v>58</v>
      </c>
      <c r="I409" s="3" t="s">
        <v>58</v>
      </c>
      <c r="J409" s="3" t="s">
        <v>60</v>
      </c>
      <c r="L409" s="2" t="s">
        <v>4869</v>
      </c>
      <c r="M409" s="3" t="s">
        <v>201</v>
      </c>
      <c r="O409" s="3" t="s">
        <v>63</v>
      </c>
      <c r="P409" s="3" t="s">
        <v>1014</v>
      </c>
      <c r="R409" s="3" t="s">
        <v>65</v>
      </c>
      <c r="S409" s="4">
        <v>8</v>
      </c>
      <c r="T409" s="4">
        <v>8</v>
      </c>
      <c r="U409" s="5" t="s">
        <v>1657</v>
      </c>
      <c r="V409" s="5" t="s">
        <v>1657</v>
      </c>
      <c r="W409" s="5" t="s">
        <v>1998</v>
      </c>
      <c r="X409" s="5" t="s">
        <v>1998</v>
      </c>
      <c r="Y409" s="4">
        <v>382</v>
      </c>
      <c r="Z409" s="4">
        <v>279</v>
      </c>
      <c r="AA409" s="4">
        <v>285</v>
      </c>
      <c r="AB409" s="4">
        <v>3</v>
      </c>
      <c r="AC409" s="4">
        <v>3</v>
      </c>
      <c r="AD409" s="4">
        <v>7</v>
      </c>
      <c r="AE409" s="4">
        <v>7</v>
      </c>
      <c r="AF409" s="4">
        <v>1</v>
      </c>
      <c r="AG409" s="4">
        <v>1</v>
      </c>
      <c r="AH409" s="4">
        <v>1</v>
      </c>
      <c r="AI409" s="4">
        <v>1</v>
      </c>
      <c r="AJ409" s="4">
        <v>3</v>
      </c>
      <c r="AK409" s="4">
        <v>3</v>
      </c>
      <c r="AL409" s="4">
        <v>2</v>
      </c>
      <c r="AM409" s="4">
        <v>2</v>
      </c>
      <c r="AN409" s="4">
        <v>0</v>
      </c>
      <c r="AO409" s="4">
        <v>0</v>
      </c>
      <c r="AP409" s="3" t="s">
        <v>58</v>
      </c>
      <c r="AQ409" s="3" t="s">
        <v>68</v>
      </c>
      <c r="AR409" s="6" t="str">
        <f>HYPERLINK("http://catalog.hathitrust.org/Record/000726318","HathiTrust Record")</f>
        <v>HathiTrust Record</v>
      </c>
      <c r="AS409" s="6" t="str">
        <f>HYPERLINK("https://creighton-primo.hosted.exlibrisgroup.com/primo-explore/search?tab=default_tab&amp;search_scope=EVERYTHING&amp;vid=01CRU&amp;lang=en_US&amp;offset=0&amp;query=any,contains,991004153589702656","Catalog Record")</f>
        <v>Catalog Record</v>
      </c>
      <c r="AT409" s="6" t="str">
        <f>HYPERLINK("http://www.worldcat.org/oclc/2532796","WorldCat Record")</f>
        <v>WorldCat Record</v>
      </c>
      <c r="AU409" s="3" t="s">
        <v>5124</v>
      </c>
      <c r="AV409" s="3" t="s">
        <v>5125</v>
      </c>
      <c r="AW409" s="3" t="s">
        <v>5126</v>
      </c>
      <c r="AX409" s="3" t="s">
        <v>5126</v>
      </c>
      <c r="AY409" s="3" t="s">
        <v>5127</v>
      </c>
      <c r="AZ409" s="3" t="s">
        <v>73</v>
      </c>
      <c r="BB409" s="3" t="s">
        <v>5128</v>
      </c>
      <c r="BC409" s="3" t="s">
        <v>5129</v>
      </c>
      <c r="BD409" s="3" t="s">
        <v>5130</v>
      </c>
    </row>
    <row r="410" spans="1:56" ht="31.5" customHeight="1" x14ac:dyDescent="0.25">
      <c r="A410" s="7" t="s">
        <v>58</v>
      </c>
      <c r="B410" s="2" t="s">
        <v>5131</v>
      </c>
      <c r="C410" s="2" t="s">
        <v>5132</v>
      </c>
      <c r="D410" s="2" t="s">
        <v>5133</v>
      </c>
      <c r="F410" s="3" t="s">
        <v>58</v>
      </c>
      <c r="G410" s="3" t="s">
        <v>59</v>
      </c>
      <c r="H410" s="3" t="s">
        <v>58</v>
      </c>
      <c r="I410" s="3" t="s">
        <v>58</v>
      </c>
      <c r="J410" s="3" t="s">
        <v>60</v>
      </c>
      <c r="K410" s="2" t="s">
        <v>2983</v>
      </c>
      <c r="L410" s="2" t="s">
        <v>5134</v>
      </c>
      <c r="M410" s="3" t="s">
        <v>82</v>
      </c>
      <c r="O410" s="3" t="s">
        <v>63</v>
      </c>
      <c r="P410" s="3" t="s">
        <v>64</v>
      </c>
      <c r="Q410" s="2" t="s">
        <v>5135</v>
      </c>
      <c r="R410" s="3" t="s">
        <v>65</v>
      </c>
      <c r="S410" s="4">
        <v>1</v>
      </c>
      <c r="T410" s="4">
        <v>1</v>
      </c>
      <c r="U410" s="5" t="s">
        <v>5136</v>
      </c>
      <c r="V410" s="5" t="s">
        <v>5136</v>
      </c>
      <c r="W410" s="5" t="s">
        <v>5136</v>
      </c>
      <c r="X410" s="5" t="s">
        <v>5136</v>
      </c>
      <c r="Y410" s="4">
        <v>357</v>
      </c>
      <c r="Z410" s="4">
        <v>348</v>
      </c>
      <c r="AA410" s="4">
        <v>349</v>
      </c>
      <c r="AB410" s="4">
        <v>2</v>
      </c>
      <c r="AC410" s="4">
        <v>2</v>
      </c>
      <c r="AD410" s="4">
        <v>0</v>
      </c>
      <c r="AE410" s="4">
        <v>0</v>
      </c>
      <c r="AF410" s="4">
        <v>0</v>
      </c>
      <c r="AG410" s="4">
        <v>0</v>
      </c>
      <c r="AH410" s="4">
        <v>0</v>
      </c>
      <c r="AI410" s="4">
        <v>0</v>
      </c>
      <c r="AJ410" s="4">
        <v>0</v>
      </c>
      <c r="AK410" s="4">
        <v>0</v>
      </c>
      <c r="AL410" s="4">
        <v>0</v>
      </c>
      <c r="AM410" s="4">
        <v>0</v>
      </c>
      <c r="AN410" s="4">
        <v>0</v>
      </c>
      <c r="AO410" s="4">
        <v>0</v>
      </c>
      <c r="AP410" s="3" t="s">
        <v>58</v>
      </c>
      <c r="AQ410" s="3" t="s">
        <v>58</v>
      </c>
      <c r="AS410" s="6" t="str">
        <f>HYPERLINK("https://creighton-primo.hosted.exlibrisgroup.com/primo-explore/search?tab=default_tab&amp;search_scope=EVERYTHING&amp;vid=01CRU&amp;lang=en_US&amp;offset=0&amp;query=any,contains,991004104059702656","Catalog Record")</f>
        <v>Catalog Record</v>
      </c>
      <c r="AT410" s="6" t="str">
        <f>HYPERLINK("http://www.worldcat.org/oclc/47665227","WorldCat Record")</f>
        <v>WorldCat Record</v>
      </c>
      <c r="AU410" s="3" t="s">
        <v>5137</v>
      </c>
      <c r="AV410" s="3" t="s">
        <v>5138</v>
      </c>
      <c r="AW410" s="3" t="s">
        <v>5139</v>
      </c>
      <c r="AX410" s="3" t="s">
        <v>5139</v>
      </c>
      <c r="AY410" s="3" t="s">
        <v>5140</v>
      </c>
      <c r="AZ410" s="3" t="s">
        <v>73</v>
      </c>
      <c r="BB410" s="3" t="s">
        <v>5141</v>
      </c>
      <c r="BC410" s="3" t="s">
        <v>5142</v>
      </c>
      <c r="BD410" s="3" t="s">
        <v>5143</v>
      </c>
    </row>
    <row r="411" spans="1:56" ht="31.5" customHeight="1" x14ac:dyDescent="0.25">
      <c r="A411" s="7" t="s">
        <v>58</v>
      </c>
      <c r="B411" s="2" t="s">
        <v>5144</v>
      </c>
      <c r="C411" s="2" t="s">
        <v>5145</v>
      </c>
      <c r="D411" s="2" t="s">
        <v>5146</v>
      </c>
      <c r="F411" s="3" t="s">
        <v>58</v>
      </c>
      <c r="G411" s="3" t="s">
        <v>59</v>
      </c>
      <c r="H411" s="3" t="s">
        <v>58</v>
      </c>
      <c r="I411" s="3" t="s">
        <v>58</v>
      </c>
      <c r="J411" s="3" t="s">
        <v>60</v>
      </c>
      <c r="K411" s="2" t="s">
        <v>5147</v>
      </c>
      <c r="L411" s="2" t="s">
        <v>5148</v>
      </c>
      <c r="M411" s="3" t="s">
        <v>244</v>
      </c>
      <c r="N411" s="2" t="s">
        <v>2985</v>
      </c>
      <c r="O411" s="3" t="s">
        <v>63</v>
      </c>
      <c r="P411" s="3" t="s">
        <v>186</v>
      </c>
      <c r="R411" s="3" t="s">
        <v>65</v>
      </c>
      <c r="S411" s="4">
        <v>4</v>
      </c>
      <c r="T411" s="4">
        <v>4</v>
      </c>
      <c r="U411" s="5" t="s">
        <v>1657</v>
      </c>
      <c r="V411" s="5" t="s">
        <v>1657</v>
      </c>
      <c r="W411" s="5" t="s">
        <v>3407</v>
      </c>
      <c r="X411" s="5" t="s">
        <v>3407</v>
      </c>
      <c r="Y411" s="4">
        <v>340</v>
      </c>
      <c r="Z411" s="4">
        <v>272</v>
      </c>
      <c r="AA411" s="4">
        <v>276</v>
      </c>
      <c r="AB411" s="4">
        <v>2</v>
      </c>
      <c r="AC411" s="4">
        <v>2</v>
      </c>
      <c r="AD411" s="4">
        <v>4</v>
      </c>
      <c r="AE411" s="4">
        <v>4</v>
      </c>
      <c r="AF411" s="4">
        <v>3</v>
      </c>
      <c r="AG411" s="4">
        <v>3</v>
      </c>
      <c r="AH411" s="4">
        <v>0</v>
      </c>
      <c r="AI411" s="4">
        <v>0</v>
      </c>
      <c r="AJ411" s="4">
        <v>1</v>
      </c>
      <c r="AK411" s="4">
        <v>1</v>
      </c>
      <c r="AL411" s="4">
        <v>1</v>
      </c>
      <c r="AM411" s="4">
        <v>1</v>
      </c>
      <c r="AN411" s="4">
        <v>0</v>
      </c>
      <c r="AO411" s="4">
        <v>0</v>
      </c>
      <c r="AP411" s="3" t="s">
        <v>58</v>
      </c>
      <c r="AQ411" s="3" t="s">
        <v>58</v>
      </c>
      <c r="AS411" s="6" t="str">
        <f>HYPERLINK("https://creighton-primo.hosted.exlibrisgroup.com/primo-explore/search?tab=default_tab&amp;search_scope=EVERYTHING&amp;vid=01CRU&amp;lang=en_US&amp;offset=0&amp;query=any,contains,991000116519702656","Catalog Record")</f>
        <v>Catalog Record</v>
      </c>
      <c r="AT411" s="6" t="str">
        <f>HYPERLINK("http://www.worldcat.org/oclc/9042200","WorldCat Record")</f>
        <v>WorldCat Record</v>
      </c>
      <c r="AU411" s="3" t="s">
        <v>5149</v>
      </c>
      <c r="AV411" s="3" t="s">
        <v>5150</v>
      </c>
      <c r="AW411" s="3" t="s">
        <v>5151</v>
      </c>
      <c r="AX411" s="3" t="s">
        <v>5151</v>
      </c>
      <c r="AY411" s="3" t="s">
        <v>5152</v>
      </c>
      <c r="AZ411" s="3" t="s">
        <v>73</v>
      </c>
      <c r="BB411" s="3" t="s">
        <v>5153</v>
      </c>
      <c r="BC411" s="3" t="s">
        <v>5154</v>
      </c>
      <c r="BD411" s="3" t="s">
        <v>5155</v>
      </c>
    </row>
    <row r="412" spans="1:56" ht="31.5" customHeight="1" x14ac:dyDescent="0.25">
      <c r="A412" s="7" t="s">
        <v>58</v>
      </c>
      <c r="B412" s="2" t="s">
        <v>5156</v>
      </c>
      <c r="C412" s="2" t="s">
        <v>5157</v>
      </c>
      <c r="D412" s="2" t="s">
        <v>5158</v>
      </c>
      <c r="F412" s="3" t="s">
        <v>58</v>
      </c>
      <c r="G412" s="3" t="s">
        <v>59</v>
      </c>
      <c r="H412" s="3" t="s">
        <v>58</v>
      </c>
      <c r="I412" s="3" t="s">
        <v>58</v>
      </c>
      <c r="J412" s="3" t="s">
        <v>60</v>
      </c>
      <c r="K412" s="2" t="s">
        <v>5159</v>
      </c>
      <c r="L412" s="2" t="s">
        <v>5160</v>
      </c>
      <c r="M412" s="3" t="s">
        <v>633</v>
      </c>
      <c r="O412" s="3" t="s">
        <v>63</v>
      </c>
      <c r="P412" s="3" t="s">
        <v>186</v>
      </c>
      <c r="Q412" s="2" t="s">
        <v>5161</v>
      </c>
      <c r="R412" s="3" t="s">
        <v>65</v>
      </c>
      <c r="S412" s="4">
        <v>2</v>
      </c>
      <c r="T412" s="4">
        <v>2</v>
      </c>
      <c r="U412" s="5" t="s">
        <v>4424</v>
      </c>
      <c r="V412" s="5" t="s">
        <v>4424</v>
      </c>
      <c r="W412" s="5" t="s">
        <v>5162</v>
      </c>
      <c r="X412" s="5" t="s">
        <v>5162</v>
      </c>
      <c r="Y412" s="4">
        <v>368</v>
      </c>
      <c r="Z412" s="4">
        <v>297</v>
      </c>
      <c r="AA412" s="4">
        <v>307</v>
      </c>
      <c r="AB412" s="4">
        <v>2</v>
      </c>
      <c r="AC412" s="4">
        <v>2</v>
      </c>
      <c r="AD412" s="4">
        <v>10</v>
      </c>
      <c r="AE412" s="4">
        <v>10</v>
      </c>
      <c r="AF412" s="4">
        <v>3</v>
      </c>
      <c r="AG412" s="4">
        <v>3</v>
      </c>
      <c r="AH412" s="4">
        <v>3</v>
      </c>
      <c r="AI412" s="4">
        <v>3</v>
      </c>
      <c r="AJ412" s="4">
        <v>5</v>
      </c>
      <c r="AK412" s="4">
        <v>5</v>
      </c>
      <c r="AL412" s="4">
        <v>1</v>
      </c>
      <c r="AM412" s="4">
        <v>1</v>
      </c>
      <c r="AN412" s="4">
        <v>0</v>
      </c>
      <c r="AO412" s="4">
        <v>0</v>
      </c>
      <c r="AP412" s="3" t="s">
        <v>58</v>
      </c>
      <c r="AQ412" s="3" t="s">
        <v>58</v>
      </c>
      <c r="AS412" s="6" t="str">
        <f>HYPERLINK("https://creighton-primo.hosted.exlibrisgroup.com/primo-explore/search?tab=default_tab&amp;search_scope=EVERYTHING&amp;vid=01CRU&amp;lang=en_US&amp;offset=0&amp;query=any,contains,991002332739702656","Catalog Record")</f>
        <v>Catalog Record</v>
      </c>
      <c r="AT412" s="6" t="str">
        <f>HYPERLINK("http://www.worldcat.org/oclc/30357355","WorldCat Record")</f>
        <v>WorldCat Record</v>
      </c>
      <c r="AU412" s="3" t="s">
        <v>5163</v>
      </c>
      <c r="AV412" s="3" t="s">
        <v>5164</v>
      </c>
      <c r="AW412" s="3" t="s">
        <v>5165</v>
      </c>
      <c r="AX412" s="3" t="s">
        <v>5165</v>
      </c>
      <c r="AY412" s="3" t="s">
        <v>5166</v>
      </c>
      <c r="AZ412" s="3" t="s">
        <v>73</v>
      </c>
      <c r="BB412" s="3" t="s">
        <v>5167</v>
      </c>
      <c r="BC412" s="3" t="s">
        <v>5168</v>
      </c>
      <c r="BD412" s="3" t="s">
        <v>5169</v>
      </c>
    </row>
    <row r="413" spans="1:56" ht="31.5" customHeight="1" x14ac:dyDescent="0.25">
      <c r="A413" s="7" t="s">
        <v>58</v>
      </c>
      <c r="B413" s="2" t="s">
        <v>5170</v>
      </c>
      <c r="C413" s="2" t="s">
        <v>5171</v>
      </c>
      <c r="D413" s="2" t="s">
        <v>5172</v>
      </c>
      <c r="F413" s="3" t="s">
        <v>58</v>
      </c>
      <c r="G413" s="3" t="s">
        <v>59</v>
      </c>
      <c r="H413" s="3" t="s">
        <v>58</v>
      </c>
      <c r="I413" s="3" t="s">
        <v>58</v>
      </c>
      <c r="J413" s="3" t="s">
        <v>60</v>
      </c>
      <c r="K413" s="2" t="s">
        <v>5173</v>
      </c>
      <c r="L413" s="2" t="s">
        <v>5174</v>
      </c>
      <c r="M413" s="3" t="s">
        <v>159</v>
      </c>
      <c r="N413" s="2" t="s">
        <v>501</v>
      </c>
      <c r="O413" s="3" t="s">
        <v>63</v>
      </c>
      <c r="P413" s="3" t="s">
        <v>444</v>
      </c>
      <c r="R413" s="3" t="s">
        <v>65</v>
      </c>
      <c r="S413" s="4">
        <v>3</v>
      </c>
      <c r="T413" s="4">
        <v>3</v>
      </c>
      <c r="U413" s="5" t="s">
        <v>5175</v>
      </c>
      <c r="V413" s="5" t="s">
        <v>5175</v>
      </c>
      <c r="W413" s="5" t="s">
        <v>1998</v>
      </c>
      <c r="X413" s="5" t="s">
        <v>1998</v>
      </c>
      <c r="Y413" s="4">
        <v>475</v>
      </c>
      <c r="Z413" s="4">
        <v>452</v>
      </c>
      <c r="AA413" s="4">
        <v>458</v>
      </c>
      <c r="AB413" s="4">
        <v>3</v>
      </c>
      <c r="AC413" s="4">
        <v>3</v>
      </c>
      <c r="AD413" s="4">
        <v>5</v>
      </c>
      <c r="AE413" s="4">
        <v>5</v>
      </c>
      <c r="AF413" s="4">
        <v>2</v>
      </c>
      <c r="AG413" s="4">
        <v>2</v>
      </c>
      <c r="AH413" s="4">
        <v>2</v>
      </c>
      <c r="AI413" s="4">
        <v>2</v>
      </c>
      <c r="AJ413" s="4">
        <v>1</v>
      </c>
      <c r="AK413" s="4">
        <v>1</v>
      </c>
      <c r="AL413" s="4">
        <v>1</v>
      </c>
      <c r="AM413" s="4">
        <v>1</v>
      </c>
      <c r="AN413" s="4">
        <v>0</v>
      </c>
      <c r="AO413" s="4">
        <v>0</v>
      </c>
      <c r="AP413" s="3" t="s">
        <v>58</v>
      </c>
      <c r="AQ413" s="3" t="s">
        <v>68</v>
      </c>
      <c r="AR413" s="6" t="str">
        <f>HYPERLINK("http://catalog.hathitrust.org/Record/000238993","HathiTrust Record")</f>
        <v>HathiTrust Record</v>
      </c>
      <c r="AS413" s="6" t="str">
        <f>HYPERLINK("https://creighton-primo.hosted.exlibrisgroup.com/primo-explore/search?tab=default_tab&amp;search_scope=EVERYTHING&amp;vid=01CRU&amp;lang=en_US&amp;offset=0&amp;query=any,contains,991000075489702656","Catalog Record")</f>
        <v>Catalog Record</v>
      </c>
      <c r="AT413" s="6" t="str">
        <f>HYPERLINK("http://www.worldcat.org/oclc/8805771","WorldCat Record")</f>
        <v>WorldCat Record</v>
      </c>
      <c r="AU413" s="3" t="s">
        <v>5176</v>
      </c>
      <c r="AV413" s="3" t="s">
        <v>5177</v>
      </c>
      <c r="AW413" s="3" t="s">
        <v>5178</v>
      </c>
      <c r="AX413" s="3" t="s">
        <v>5178</v>
      </c>
      <c r="AY413" s="3" t="s">
        <v>5179</v>
      </c>
      <c r="AZ413" s="3" t="s">
        <v>73</v>
      </c>
      <c r="BB413" s="3" t="s">
        <v>5180</v>
      </c>
      <c r="BC413" s="3" t="s">
        <v>5181</v>
      </c>
      <c r="BD413" s="3" t="s">
        <v>5182</v>
      </c>
    </row>
    <row r="414" spans="1:56" ht="31.5" customHeight="1" x14ac:dyDescent="0.25">
      <c r="A414" s="7" t="s">
        <v>58</v>
      </c>
      <c r="B414" s="2" t="s">
        <v>5183</v>
      </c>
      <c r="C414" s="2" t="s">
        <v>5184</v>
      </c>
      <c r="D414" s="2" t="s">
        <v>5185</v>
      </c>
      <c r="F414" s="3" t="s">
        <v>58</v>
      </c>
      <c r="G414" s="3" t="s">
        <v>59</v>
      </c>
      <c r="H414" s="3" t="s">
        <v>58</v>
      </c>
      <c r="I414" s="3" t="s">
        <v>58</v>
      </c>
      <c r="J414" s="3" t="s">
        <v>60</v>
      </c>
      <c r="K414" s="2" t="s">
        <v>5186</v>
      </c>
      <c r="L414" s="2" t="s">
        <v>5187</v>
      </c>
      <c r="M414" s="3" t="s">
        <v>1235</v>
      </c>
      <c r="O414" s="3" t="s">
        <v>63</v>
      </c>
      <c r="P414" s="3" t="s">
        <v>1152</v>
      </c>
      <c r="R414" s="3" t="s">
        <v>65</v>
      </c>
      <c r="S414" s="4">
        <v>1</v>
      </c>
      <c r="T414" s="4">
        <v>1</v>
      </c>
      <c r="U414" s="5" t="s">
        <v>5188</v>
      </c>
      <c r="V414" s="5" t="s">
        <v>5188</v>
      </c>
      <c r="W414" s="5" t="s">
        <v>5188</v>
      </c>
      <c r="X414" s="5" t="s">
        <v>5188</v>
      </c>
      <c r="Y414" s="4">
        <v>458</v>
      </c>
      <c r="Z414" s="4">
        <v>430</v>
      </c>
      <c r="AA414" s="4">
        <v>496</v>
      </c>
      <c r="AB414" s="4">
        <v>6</v>
      </c>
      <c r="AC414" s="4">
        <v>6</v>
      </c>
      <c r="AD414" s="4">
        <v>12</v>
      </c>
      <c r="AE414" s="4">
        <v>13</v>
      </c>
      <c r="AF414" s="4">
        <v>4</v>
      </c>
      <c r="AG414" s="4">
        <v>5</v>
      </c>
      <c r="AH414" s="4">
        <v>3</v>
      </c>
      <c r="AI414" s="4">
        <v>3</v>
      </c>
      <c r="AJ414" s="4">
        <v>4</v>
      </c>
      <c r="AK414" s="4">
        <v>4</v>
      </c>
      <c r="AL414" s="4">
        <v>3</v>
      </c>
      <c r="AM414" s="4">
        <v>3</v>
      </c>
      <c r="AN414" s="4">
        <v>0</v>
      </c>
      <c r="AO414" s="4">
        <v>0</v>
      </c>
      <c r="AP414" s="3" t="s">
        <v>58</v>
      </c>
      <c r="AQ414" s="3" t="s">
        <v>58</v>
      </c>
      <c r="AS414" s="6" t="str">
        <f>HYPERLINK("https://creighton-primo.hosted.exlibrisgroup.com/primo-explore/search?tab=default_tab&amp;search_scope=EVERYTHING&amp;vid=01CRU&amp;lang=en_US&amp;offset=0&amp;query=any,contains,991004316249702656","Catalog Record")</f>
        <v>Catalog Record</v>
      </c>
      <c r="AT414" s="6" t="str">
        <f>HYPERLINK("http://www.worldcat.org/oclc/54694487","WorldCat Record")</f>
        <v>WorldCat Record</v>
      </c>
      <c r="AU414" s="3" t="s">
        <v>5189</v>
      </c>
      <c r="AV414" s="3" t="s">
        <v>5190</v>
      </c>
      <c r="AW414" s="3" t="s">
        <v>5191</v>
      </c>
      <c r="AX414" s="3" t="s">
        <v>5191</v>
      </c>
      <c r="AY414" s="3" t="s">
        <v>5192</v>
      </c>
      <c r="AZ414" s="3" t="s">
        <v>73</v>
      </c>
      <c r="BB414" s="3" t="s">
        <v>5193</v>
      </c>
      <c r="BC414" s="3" t="s">
        <v>5194</v>
      </c>
      <c r="BD414" s="3" t="s">
        <v>5195</v>
      </c>
    </row>
    <row r="415" spans="1:56" ht="31.5" customHeight="1" x14ac:dyDescent="0.25">
      <c r="A415" s="7" t="s">
        <v>58</v>
      </c>
      <c r="B415" s="2" t="s">
        <v>5196</v>
      </c>
      <c r="C415" s="2" t="s">
        <v>5197</v>
      </c>
      <c r="D415" s="2" t="s">
        <v>5198</v>
      </c>
      <c r="F415" s="3" t="s">
        <v>58</v>
      </c>
      <c r="G415" s="3" t="s">
        <v>59</v>
      </c>
      <c r="H415" s="3" t="s">
        <v>58</v>
      </c>
      <c r="I415" s="3" t="s">
        <v>58</v>
      </c>
      <c r="J415" s="3" t="s">
        <v>60</v>
      </c>
      <c r="K415" s="2" t="s">
        <v>3563</v>
      </c>
      <c r="L415" s="2" t="s">
        <v>5199</v>
      </c>
      <c r="M415" s="3" t="s">
        <v>877</v>
      </c>
      <c r="N415" s="2" t="s">
        <v>3565</v>
      </c>
      <c r="O415" s="3" t="s">
        <v>63</v>
      </c>
      <c r="P415" s="3" t="s">
        <v>64</v>
      </c>
      <c r="R415" s="3" t="s">
        <v>65</v>
      </c>
      <c r="S415" s="4">
        <v>11</v>
      </c>
      <c r="T415" s="4">
        <v>11</v>
      </c>
      <c r="U415" s="5" t="s">
        <v>4263</v>
      </c>
      <c r="V415" s="5" t="s">
        <v>4263</v>
      </c>
      <c r="W415" s="5" t="s">
        <v>5200</v>
      </c>
      <c r="X415" s="5" t="s">
        <v>5200</v>
      </c>
      <c r="Y415" s="4">
        <v>31</v>
      </c>
      <c r="Z415" s="4">
        <v>30</v>
      </c>
      <c r="AA415" s="4">
        <v>683</v>
      </c>
      <c r="AB415" s="4">
        <v>1</v>
      </c>
      <c r="AC415" s="4">
        <v>1</v>
      </c>
      <c r="AD415" s="4">
        <v>0</v>
      </c>
      <c r="AE415" s="4">
        <v>12</v>
      </c>
      <c r="AF415" s="4">
        <v>0</v>
      </c>
      <c r="AG415" s="4">
        <v>4</v>
      </c>
      <c r="AH415" s="4">
        <v>0</v>
      </c>
      <c r="AI415" s="4">
        <v>4</v>
      </c>
      <c r="AJ415" s="4">
        <v>0</v>
      </c>
      <c r="AK415" s="4">
        <v>7</v>
      </c>
      <c r="AL415" s="4">
        <v>0</v>
      </c>
      <c r="AM415" s="4">
        <v>0</v>
      </c>
      <c r="AN415" s="4">
        <v>0</v>
      </c>
      <c r="AO415" s="4">
        <v>0</v>
      </c>
      <c r="AP415" s="3" t="s">
        <v>58</v>
      </c>
      <c r="AQ415" s="3" t="s">
        <v>58</v>
      </c>
      <c r="AS415" s="6" t="str">
        <f>HYPERLINK("https://creighton-primo.hosted.exlibrisgroup.com/primo-explore/search?tab=default_tab&amp;search_scope=EVERYTHING&amp;vid=01CRU&amp;lang=en_US&amp;offset=0&amp;query=any,contains,991000782199702656","Catalog Record")</f>
        <v>Catalog Record</v>
      </c>
      <c r="AT415" s="6" t="str">
        <f>HYPERLINK("http://www.worldcat.org/oclc/13104993","WorldCat Record")</f>
        <v>WorldCat Record</v>
      </c>
      <c r="AU415" s="3" t="s">
        <v>5201</v>
      </c>
      <c r="AV415" s="3" t="s">
        <v>5202</v>
      </c>
      <c r="AW415" s="3" t="s">
        <v>5203</v>
      </c>
      <c r="AX415" s="3" t="s">
        <v>5203</v>
      </c>
      <c r="AY415" s="3" t="s">
        <v>5204</v>
      </c>
      <c r="AZ415" s="3" t="s">
        <v>73</v>
      </c>
      <c r="BB415" s="3" t="s">
        <v>5205</v>
      </c>
      <c r="BC415" s="3" t="s">
        <v>5206</v>
      </c>
      <c r="BD415" s="3" t="s">
        <v>5207</v>
      </c>
    </row>
    <row r="416" spans="1:56" ht="31.5" customHeight="1" x14ac:dyDescent="0.25">
      <c r="A416" s="7" t="s">
        <v>58</v>
      </c>
      <c r="B416" s="2" t="s">
        <v>5208</v>
      </c>
      <c r="C416" s="2" t="s">
        <v>5209</v>
      </c>
      <c r="D416" s="2" t="s">
        <v>5210</v>
      </c>
      <c r="F416" s="3" t="s">
        <v>58</v>
      </c>
      <c r="G416" s="3" t="s">
        <v>59</v>
      </c>
      <c r="H416" s="3" t="s">
        <v>58</v>
      </c>
      <c r="I416" s="3" t="s">
        <v>58</v>
      </c>
      <c r="J416" s="3" t="s">
        <v>60</v>
      </c>
      <c r="K416" s="2" t="s">
        <v>4379</v>
      </c>
      <c r="L416" s="2" t="s">
        <v>5211</v>
      </c>
      <c r="M416" s="3" t="s">
        <v>97</v>
      </c>
      <c r="O416" s="3" t="s">
        <v>63</v>
      </c>
      <c r="P416" s="3" t="s">
        <v>186</v>
      </c>
      <c r="R416" s="3" t="s">
        <v>65</v>
      </c>
      <c r="S416" s="4">
        <v>4</v>
      </c>
      <c r="T416" s="4">
        <v>4</v>
      </c>
      <c r="U416" s="5" t="s">
        <v>231</v>
      </c>
      <c r="V416" s="5" t="s">
        <v>231</v>
      </c>
      <c r="W416" s="5" t="s">
        <v>3407</v>
      </c>
      <c r="X416" s="5" t="s">
        <v>3407</v>
      </c>
      <c r="Y416" s="4">
        <v>599</v>
      </c>
      <c r="Z416" s="4">
        <v>518</v>
      </c>
      <c r="AA416" s="4">
        <v>535</v>
      </c>
      <c r="AB416" s="4">
        <v>3</v>
      </c>
      <c r="AC416" s="4">
        <v>3</v>
      </c>
      <c r="AD416" s="4">
        <v>11</v>
      </c>
      <c r="AE416" s="4">
        <v>12</v>
      </c>
      <c r="AF416" s="4">
        <v>2</v>
      </c>
      <c r="AG416" s="4">
        <v>3</v>
      </c>
      <c r="AH416" s="4">
        <v>1</v>
      </c>
      <c r="AI416" s="4">
        <v>1</v>
      </c>
      <c r="AJ416" s="4">
        <v>7</v>
      </c>
      <c r="AK416" s="4">
        <v>8</v>
      </c>
      <c r="AL416" s="4">
        <v>2</v>
      </c>
      <c r="AM416" s="4">
        <v>2</v>
      </c>
      <c r="AN416" s="4">
        <v>0</v>
      </c>
      <c r="AO416" s="4">
        <v>0</v>
      </c>
      <c r="AP416" s="3" t="s">
        <v>58</v>
      </c>
      <c r="AQ416" s="3" t="s">
        <v>58</v>
      </c>
      <c r="AS416" s="6" t="str">
        <f>HYPERLINK("https://creighton-primo.hosted.exlibrisgroup.com/primo-explore/search?tab=default_tab&amp;search_scope=EVERYTHING&amp;vid=01CRU&amp;lang=en_US&amp;offset=0&amp;query=any,contains,991001040249702656","Catalog Record")</f>
        <v>Catalog Record</v>
      </c>
      <c r="AT416" s="6" t="str">
        <f>HYPERLINK("http://www.worldcat.org/oclc/15588685","WorldCat Record")</f>
        <v>WorldCat Record</v>
      </c>
      <c r="AU416" s="3" t="s">
        <v>5212</v>
      </c>
      <c r="AV416" s="3" t="s">
        <v>5213</v>
      </c>
      <c r="AW416" s="3" t="s">
        <v>5214</v>
      </c>
      <c r="AX416" s="3" t="s">
        <v>5214</v>
      </c>
      <c r="AY416" s="3" t="s">
        <v>5215</v>
      </c>
      <c r="AZ416" s="3" t="s">
        <v>73</v>
      </c>
      <c r="BB416" s="3" t="s">
        <v>5216</v>
      </c>
      <c r="BC416" s="3" t="s">
        <v>5217</v>
      </c>
      <c r="BD416" s="3" t="s">
        <v>5218</v>
      </c>
    </row>
    <row r="417" spans="1:56" ht="31.5" customHeight="1" x14ac:dyDescent="0.25">
      <c r="A417" s="7" t="s">
        <v>58</v>
      </c>
      <c r="B417" s="2" t="s">
        <v>5219</v>
      </c>
      <c r="C417" s="2" t="s">
        <v>5220</v>
      </c>
      <c r="D417" s="2" t="s">
        <v>5221</v>
      </c>
      <c r="F417" s="3" t="s">
        <v>58</v>
      </c>
      <c r="G417" s="3" t="s">
        <v>59</v>
      </c>
      <c r="H417" s="3" t="s">
        <v>58</v>
      </c>
      <c r="I417" s="3" t="s">
        <v>58</v>
      </c>
      <c r="J417" s="3" t="s">
        <v>60</v>
      </c>
      <c r="K417" s="2" t="s">
        <v>5222</v>
      </c>
      <c r="L417" s="2" t="s">
        <v>5223</v>
      </c>
      <c r="M417" s="3" t="s">
        <v>185</v>
      </c>
      <c r="O417" s="3" t="s">
        <v>63</v>
      </c>
      <c r="P417" s="3" t="s">
        <v>64</v>
      </c>
      <c r="Q417" s="2" t="s">
        <v>5224</v>
      </c>
      <c r="R417" s="3" t="s">
        <v>65</v>
      </c>
      <c r="S417" s="4">
        <v>11</v>
      </c>
      <c r="T417" s="4">
        <v>11</v>
      </c>
      <c r="U417" s="5" t="s">
        <v>5225</v>
      </c>
      <c r="V417" s="5" t="s">
        <v>5225</v>
      </c>
      <c r="W417" s="5" t="s">
        <v>3269</v>
      </c>
      <c r="X417" s="5" t="s">
        <v>3269</v>
      </c>
      <c r="Y417" s="4">
        <v>661</v>
      </c>
      <c r="Z417" s="4">
        <v>586</v>
      </c>
      <c r="AA417" s="4">
        <v>692</v>
      </c>
      <c r="AB417" s="4">
        <v>5</v>
      </c>
      <c r="AC417" s="4">
        <v>6</v>
      </c>
      <c r="AD417" s="4">
        <v>12</v>
      </c>
      <c r="AE417" s="4">
        <v>15</v>
      </c>
      <c r="AF417" s="4">
        <v>4</v>
      </c>
      <c r="AG417" s="4">
        <v>5</v>
      </c>
      <c r="AH417" s="4">
        <v>2</v>
      </c>
      <c r="AI417" s="4">
        <v>3</v>
      </c>
      <c r="AJ417" s="4">
        <v>6</v>
      </c>
      <c r="AK417" s="4">
        <v>7</v>
      </c>
      <c r="AL417" s="4">
        <v>4</v>
      </c>
      <c r="AM417" s="4">
        <v>4</v>
      </c>
      <c r="AN417" s="4">
        <v>0</v>
      </c>
      <c r="AO417" s="4">
        <v>0</v>
      </c>
      <c r="AP417" s="3" t="s">
        <v>58</v>
      </c>
      <c r="AQ417" s="3" t="s">
        <v>68</v>
      </c>
      <c r="AR417" s="6" t="str">
        <f>HYPERLINK("http://catalog.hathitrust.org/Record/001083020","HathiTrust Record")</f>
        <v>HathiTrust Record</v>
      </c>
      <c r="AS417" s="6" t="str">
        <f>HYPERLINK("https://creighton-primo.hosted.exlibrisgroup.com/primo-explore/search?tab=default_tab&amp;search_scope=EVERYTHING&amp;vid=01CRU&amp;lang=en_US&amp;offset=0&amp;query=any,contains,991001308589702656","Catalog Record")</f>
        <v>Catalog Record</v>
      </c>
      <c r="AT417" s="6" t="str">
        <f>HYPERLINK("http://www.worldcat.org/oclc/18134941","WorldCat Record")</f>
        <v>WorldCat Record</v>
      </c>
      <c r="AU417" s="3" t="s">
        <v>5226</v>
      </c>
      <c r="AV417" s="3" t="s">
        <v>5227</v>
      </c>
      <c r="AW417" s="3" t="s">
        <v>5228</v>
      </c>
      <c r="AX417" s="3" t="s">
        <v>5228</v>
      </c>
      <c r="AY417" s="3" t="s">
        <v>5229</v>
      </c>
      <c r="AZ417" s="3" t="s">
        <v>73</v>
      </c>
      <c r="BB417" s="3" t="s">
        <v>5230</v>
      </c>
      <c r="BC417" s="3" t="s">
        <v>5231</v>
      </c>
      <c r="BD417" s="3" t="s">
        <v>5232</v>
      </c>
    </row>
    <row r="418" spans="1:56" ht="31.5" customHeight="1" x14ac:dyDescent="0.25">
      <c r="A418" s="7" t="s">
        <v>58</v>
      </c>
      <c r="B418" s="2" t="s">
        <v>5233</v>
      </c>
      <c r="C418" s="2" t="s">
        <v>5234</v>
      </c>
      <c r="D418" s="2" t="s">
        <v>5235</v>
      </c>
      <c r="F418" s="3" t="s">
        <v>58</v>
      </c>
      <c r="G418" s="3" t="s">
        <v>59</v>
      </c>
      <c r="H418" s="3" t="s">
        <v>58</v>
      </c>
      <c r="I418" s="3" t="s">
        <v>58</v>
      </c>
      <c r="J418" s="3" t="s">
        <v>60</v>
      </c>
      <c r="K418" s="2" t="s">
        <v>5099</v>
      </c>
      <c r="L418" s="2" t="s">
        <v>5236</v>
      </c>
      <c r="M418" s="3" t="s">
        <v>537</v>
      </c>
      <c r="O418" s="3" t="s">
        <v>63</v>
      </c>
      <c r="P418" s="3" t="s">
        <v>64</v>
      </c>
      <c r="R418" s="3" t="s">
        <v>65</v>
      </c>
      <c r="S418" s="4">
        <v>11</v>
      </c>
      <c r="T418" s="4">
        <v>11</v>
      </c>
      <c r="U418" s="5" t="s">
        <v>4263</v>
      </c>
      <c r="V418" s="5" t="s">
        <v>4263</v>
      </c>
      <c r="W418" s="5" t="s">
        <v>2091</v>
      </c>
      <c r="X418" s="5" t="s">
        <v>2091</v>
      </c>
      <c r="Y418" s="4">
        <v>562</v>
      </c>
      <c r="Z418" s="4">
        <v>503</v>
      </c>
      <c r="AA418" s="4">
        <v>509</v>
      </c>
      <c r="AB418" s="4">
        <v>3</v>
      </c>
      <c r="AC418" s="4">
        <v>3</v>
      </c>
      <c r="AD418" s="4">
        <v>17</v>
      </c>
      <c r="AE418" s="4">
        <v>17</v>
      </c>
      <c r="AF418" s="4">
        <v>7</v>
      </c>
      <c r="AG418" s="4">
        <v>7</v>
      </c>
      <c r="AH418" s="4">
        <v>4</v>
      </c>
      <c r="AI418" s="4">
        <v>4</v>
      </c>
      <c r="AJ418" s="4">
        <v>9</v>
      </c>
      <c r="AK418" s="4">
        <v>9</v>
      </c>
      <c r="AL418" s="4">
        <v>2</v>
      </c>
      <c r="AM418" s="4">
        <v>2</v>
      </c>
      <c r="AN418" s="4">
        <v>0</v>
      </c>
      <c r="AO418" s="4">
        <v>0</v>
      </c>
      <c r="AP418" s="3" t="s">
        <v>58</v>
      </c>
      <c r="AQ418" s="3" t="s">
        <v>58</v>
      </c>
      <c r="AS418" s="6" t="str">
        <f>HYPERLINK("https://creighton-primo.hosted.exlibrisgroup.com/primo-explore/search?tab=default_tab&amp;search_scope=EVERYTHING&amp;vid=01CRU&amp;lang=en_US&amp;offset=0&amp;query=any,contains,991001886209702656","Catalog Record")</f>
        <v>Catalog Record</v>
      </c>
      <c r="AT418" s="6" t="str">
        <f>HYPERLINK("http://www.worldcat.org/oclc/23767264","WorldCat Record")</f>
        <v>WorldCat Record</v>
      </c>
      <c r="AU418" s="3" t="s">
        <v>5237</v>
      </c>
      <c r="AV418" s="3" t="s">
        <v>5238</v>
      </c>
      <c r="AW418" s="3" t="s">
        <v>5239</v>
      </c>
      <c r="AX418" s="3" t="s">
        <v>5239</v>
      </c>
      <c r="AY418" s="3" t="s">
        <v>5240</v>
      </c>
      <c r="AZ418" s="3" t="s">
        <v>73</v>
      </c>
      <c r="BB418" s="3" t="s">
        <v>5241</v>
      </c>
      <c r="BC418" s="3" t="s">
        <v>5242</v>
      </c>
      <c r="BD418" s="3" t="s">
        <v>5243</v>
      </c>
    </row>
    <row r="419" spans="1:56" ht="31.5" customHeight="1" x14ac:dyDescent="0.25">
      <c r="A419" s="7" t="s">
        <v>58</v>
      </c>
      <c r="B419" s="2" t="s">
        <v>5244</v>
      </c>
      <c r="C419" s="2" t="s">
        <v>5245</v>
      </c>
      <c r="D419" s="2" t="s">
        <v>5246</v>
      </c>
      <c r="F419" s="3" t="s">
        <v>58</v>
      </c>
      <c r="G419" s="3" t="s">
        <v>59</v>
      </c>
      <c r="H419" s="3" t="s">
        <v>58</v>
      </c>
      <c r="I419" s="3" t="s">
        <v>58</v>
      </c>
      <c r="J419" s="3" t="s">
        <v>60</v>
      </c>
      <c r="K419" s="2" t="s">
        <v>5247</v>
      </c>
      <c r="L419" s="2" t="s">
        <v>5248</v>
      </c>
      <c r="M419" s="3" t="s">
        <v>1029</v>
      </c>
      <c r="O419" s="3" t="s">
        <v>63</v>
      </c>
      <c r="P419" s="3" t="s">
        <v>129</v>
      </c>
      <c r="R419" s="3" t="s">
        <v>65</v>
      </c>
      <c r="S419" s="4">
        <v>2</v>
      </c>
      <c r="T419" s="4">
        <v>2</v>
      </c>
      <c r="U419" s="5" t="s">
        <v>4170</v>
      </c>
      <c r="V419" s="5" t="s">
        <v>4170</v>
      </c>
      <c r="W419" s="5" t="s">
        <v>4002</v>
      </c>
      <c r="X419" s="5" t="s">
        <v>4002</v>
      </c>
      <c r="Y419" s="4">
        <v>565</v>
      </c>
      <c r="Z419" s="4">
        <v>476</v>
      </c>
      <c r="AA419" s="4">
        <v>607</v>
      </c>
      <c r="AB419" s="4">
        <v>2</v>
      </c>
      <c r="AC419" s="4">
        <v>2</v>
      </c>
      <c r="AD419" s="4">
        <v>13</v>
      </c>
      <c r="AE419" s="4">
        <v>16</v>
      </c>
      <c r="AF419" s="4">
        <v>5</v>
      </c>
      <c r="AG419" s="4">
        <v>7</v>
      </c>
      <c r="AH419" s="4">
        <v>4</v>
      </c>
      <c r="AI419" s="4">
        <v>6</v>
      </c>
      <c r="AJ419" s="4">
        <v>5</v>
      </c>
      <c r="AK419" s="4">
        <v>6</v>
      </c>
      <c r="AL419" s="4">
        <v>1</v>
      </c>
      <c r="AM419" s="4">
        <v>1</v>
      </c>
      <c r="AN419" s="4">
        <v>0</v>
      </c>
      <c r="AO419" s="4">
        <v>0</v>
      </c>
      <c r="AP419" s="3" t="s">
        <v>58</v>
      </c>
      <c r="AQ419" s="3" t="s">
        <v>58</v>
      </c>
      <c r="AS419" s="6" t="str">
        <f>HYPERLINK("https://creighton-primo.hosted.exlibrisgroup.com/primo-explore/search?tab=default_tab&amp;search_scope=EVERYTHING&amp;vid=01CRU&amp;lang=en_US&amp;offset=0&amp;query=any,contains,991002930449702656","Catalog Record")</f>
        <v>Catalog Record</v>
      </c>
      <c r="AT419" s="6" t="str">
        <f>HYPERLINK("http://www.worldcat.org/oclc/530702","WorldCat Record")</f>
        <v>WorldCat Record</v>
      </c>
      <c r="AU419" s="3" t="s">
        <v>5249</v>
      </c>
      <c r="AV419" s="3" t="s">
        <v>5250</v>
      </c>
      <c r="AW419" s="3" t="s">
        <v>5251</v>
      </c>
      <c r="AX419" s="3" t="s">
        <v>5251</v>
      </c>
      <c r="AY419" s="3" t="s">
        <v>5252</v>
      </c>
      <c r="AZ419" s="3" t="s">
        <v>73</v>
      </c>
      <c r="BC419" s="3" t="s">
        <v>5253</v>
      </c>
      <c r="BD419" s="3" t="s">
        <v>5254</v>
      </c>
    </row>
    <row r="420" spans="1:56" ht="31.5" customHeight="1" x14ac:dyDescent="0.25">
      <c r="A420" s="7" t="s">
        <v>58</v>
      </c>
      <c r="B420" s="2" t="s">
        <v>5255</v>
      </c>
      <c r="C420" s="2" t="s">
        <v>5256</v>
      </c>
      <c r="D420" s="2" t="s">
        <v>5257</v>
      </c>
      <c r="F420" s="3" t="s">
        <v>58</v>
      </c>
      <c r="G420" s="3" t="s">
        <v>59</v>
      </c>
      <c r="H420" s="3" t="s">
        <v>58</v>
      </c>
      <c r="I420" s="3" t="s">
        <v>58</v>
      </c>
      <c r="J420" s="3" t="s">
        <v>60</v>
      </c>
      <c r="K420" s="2" t="s">
        <v>4379</v>
      </c>
      <c r="L420" s="2" t="s">
        <v>5258</v>
      </c>
      <c r="M420" s="3" t="s">
        <v>344</v>
      </c>
      <c r="O420" s="3" t="s">
        <v>63</v>
      </c>
      <c r="P420" s="3" t="s">
        <v>186</v>
      </c>
      <c r="R420" s="3" t="s">
        <v>65</v>
      </c>
      <c r="S420" s="4">
        <v>2</v>
      </c>
      <c r="T420" s="4">
        <v>2</v>
      </c>
      <c r="U420" s="5" t="s">
        <v>231</v>
      </c>
      <c r="V420" s="5" t="s">
        <v>231</v>
      </c>
      <c r="W420" s="5" t="s">
        <v>1452</v>
      </c>
      <c r="X420" s="5" t="s">
        <v>1452</v>
      </c>
      <c r="Y420" s="4">
        <v>413</v>
      </c>
      <c r="Z420" s="4">
        <v>326</v>
      </c>
      <c r="AA420" s="4">
        <v>331</v>
      </c>
      <c r="AB420" s="4">
        <v>3</v>
      </c>
      <c r="AC420" s="4">
        <v>3</v>
      </c>
      <c r="AD420" s="4">
        <v>6</v>
      </c>
      <c r="AE420" s="4">
        <v>6</v>
      </c>
      <c r="AF420" s="4">
        <v>2</v>
      </c>
      <c r="AG420" s="4">
        <v>2</v>
      </c>
      <c r="AH420" s="4">
        <v>1</v>
      </c>
      <c r="AI420" s="4">
        <v>1</v>
      </c>
      <c r="AJ420" s="4">
        <v>3</v>
      </c>
      <c r="AK420" s="4">
        <v>3</v>
      </c>
      <c r="AL420" s="4">
        <v>2</v>
      </c>
      <c r="AM420" s="4">
        <v>2</v>
      </c>
      <c r="AN420" s="4">
        <v>0</v>
      </c>
      <c r="AO420" s="4">
        <v>0</v>
      </c>
      <c r="AP420" s="3" t="s">
        <v>58</v>
      </c>
      <c r="AQ420" s="3" t="s">
        <v>58</v>
      </c>
      <c r="AS420" s="6" t="str">
        <f>HYPERLINK("https://creighton-primo.hosted.exlibrisgroup.com/primo-explore/search?tab=default_tab&amp;search_scope=EVERYTHING&amp;vid=01CRU&amp;lang=en_US&amp;offset=0&amp;query=any,contains,991002181419702656","Catalog Record")</f>
        <v>Catalog Record</v>
      </c>
      <c r="AT420" s="6" t="str">
        <f>HYPERLINK("http://www.worldcat.org/oclc/28067810","WorldCat Record")</f>
        <v>WorldCat Record</v>
      </c>
      <c r="AU420" s="3" t="s">
        <v>5259</v>
      </c>
      <c r="AV420" s="3" t="s">
        <v>5260</v>
      </c>
      <c r="AW420" s="3" t="s">
        <v>5261</v>
      </c>
      <c r="AX420" s="3" t="s">
        <v>5261</v>
      </c>
      <c r="AY420" s="3" t="s">
        <v>5262</v>
      </c>
      <c r="AZ420" s="3" t="s">
        <v>73</v>
      </c>
      <c r="BB420" s="3" t="s">
        <v>5263</v>
      </c>
      <c r="BC420" s="3" t="s">
        <v>5264</v>
      </c>
      <c r="BD420" s="3" t="s">
        <v>5265</v>
      </c>
    </row>
    <row r="421" spans="1:56" ht="31.5" customHeight="1" x14ac:dyDescent="0.25">
      <c r="A421" s="7" t="s">
        <v>58</v>
      </c>
      <c r="B421" s="2" t="s">
        <v>5266</v>
      </c>
      <c r="C421" s="2" t="s">
        <v>5267</v>
      </c>
      <c r="D421" s="2" t="s">
        <v>5268</v>
      </c>
      <c r="F421" s="3" t="s">
        <v>58</v>
      </c>
      <c r="G421" s="3" t="s">
        <v>59</v>
      </c>
      <c r="H421" s="3" t="s">
        <v>58</v>
      </c>
      <c r="I421" s="3" t="s">
        <v>58</v>
      </c>
      <c r="J421" s="3" t="s">
        <v>60</v>
      </c>
      <c r="K421" s="2" t="s">
        <v>4868</v>
      </c>
      <c r="L421" s="2" t="s">
        <v>5269</v>
      </c>
      <c r="M421" s="3" t="s">
        <v>565</v>
      </c>
      <c r="O421" s="3" t="s">
        <v>63</v>
      </c>
      <c r="P421" s="3" t="s">
        <v>1014</v>
      </c>
      <c r="R421" s="3" t="s">
        <v>65</v>
      </c>
      <c r="S421" s="4">
        <v>14</v>
      </c>
      <c r="T421" s="4">
        <v>14</v>
      </c>
      <c r="U421" s="5" t="s">
        <v>5225</v>
      </c>
      <c r="V421" s="5" t="s">
        <v>5225</v>
      </c>
      <c r="W421" s="5" t="s">
        <v>4721</v>
      </c>
      <c r="X421" s="5" t="s">
        <v>4721</v>
      </c>
      <c r="Y421" s="4">
        <v>500</v>
      </c>
      <c r="Z421" s="4">
        <v>437</v>
      </c>
      <c r="AA421" s="4">
        <v>443</v>
      </c>
      <c r="AB421" s="4">
        <v>2</v>
      </c>
      <c r="AC421" s="4">
        <v>2</v>
      </c>
      <c r="AD421" s="4">
        <v>12</v>
      </c>
      <c r="AE421" s="4">
        <v>12</v>
      </c>
      <c r="AF421" s="4">
        <v>5</v>
      </c>
      <c r="AG421" s="4">
        <v>5</v>
      </c>
      <c r="AH421" s="4">
        <v>5</v>
      </c>
      <c r="AI421" s="4">
        <v>5</v>
      </c>
      <c r="AJ421" s="4">
        <v>6</v>
      </c>
      <c r="AK421" s="4">
        <v>6</v>
      </c>
      <c r="AL421" s="4">
        <v>1</v>
      </c>
      <c r="AM421" s="4">
        <v>1</v>
      </c>
      <c r="AN421" s="4">
        <v>0</v>
      </c>
      <c r="AO421" s="4">
        <v>0</v>
      </c>
      <c r="AP421" s="3" t="s">
        <v>58</v>
      </c>
      <c r="AQ421" s="3" t="s">
        <v>68</v>
      </c>
      <c r="AR421" s="6" t="str">
        <f>HYPERLINK("http://catalog.hathitrust.org/Record/000303422","HathiTrust Record")</f>
        <v>HathiTrust Record</v>
      </c>
      <c r="AS421" s="6" t="str">
        <f>HYPERLINK("https://creighton-primo.hosted.exlibrisgroup.com/primo-explore/search?tab=default_tab&amp;search_scope=EVERYTHING&amp;vid=01CRU&amp;lang=en_US&amp;offset=0&amp;query=any,contains,991004776939702656","Catalog Record")</f>
        <v>Catalog Record</v>
      </c>
      <c r="AT421" s="6" t="str">
        <f>HYPERLINK("http://www.worldcat.org/oclc/5101477","WorldCat Record")</f>
        <v>WorldCat Record</v>
      </c>
      <c r="AU421" s="3" t="s">
        <v>5270</v>
      </c>
      <c r="AV421" s="3" t="s">
        <v>5271</v>
      </c>
      <c r="AW421" s="3" t="s">
        <v>5272</v>
      </c>
      <c r="AX421" s="3" t="s">
        <v>5272</v>
      </c>
      <c r="AY421" s="3" t="s">
        <v>5273</v>
      </c>
      <c r="AZ421" s="3" t="s">
        <v>73</v>
      </c>
      <c r="BB421" s="3" t="s">
        <v>5274</v>
      </c>
      <c r="BC421" s="3" t="s">
        <v>5275</v>
      </c>
      <c r="BD421" s="3" t="s">
        <v>5276</v>
      </c>
    </row>
    <row r="422" spans="1:56" ht="31.5" customHeight="1" x14ac:dyDescent="0.25">
      <c r="A422" s="7" t="s">
        <v>58</v>
      </c>
      <c r="B422" s="2" t="s">
        <v>5277</v>
      </c>
      <c r="C422" s="2" t="s">
        <v>5278</v>
      </c>
      <c r="D422" s="2" t="s">
        <v>5279</v>
      </c>
      <c r="F422" s="3" t="s">
        <v>58</v>
      </c>
      <c r="G422" s="3" t="s">
        <v>59</v>
      </c>
      <c r="H422" s="3" t="s">
        <v>58</v>
      </c>
      <c r="I422" s="3" t="s">
        <v>68</v>
      </c>
      <c r="J422" s="3" t="s">
        <v>60</v>
      </c>
      <c r="K422" s="2" t="s">
        <v>5280</v>
      </c>
      <c r="L422" s="2" t="s">
        <v>5281</v>
      </c>
      <c r="M422" s="3" t="s">
        <v>835</v>
      </c>
      <c r="O422" s="3" t="s">
        <v>63</v>
      </c>
      <c r="P422" s="3" t="s">
        <v>64</v>
      </c>
      <c r="R422" s="3" t="s">
        <v>65</v>
      </c>
      <c r="S422" s="4">
        <v>3</v>
      </c>
      <c r="T422" s="4">
        <v>3</v>
      </c>
      <c r="U422" s="5" t="s">
        <v>1044</v>
      </c>
      <c r="V422" s="5" t="s">
        <v>1044</v>
      </c>
      <c r="W422" s="5" t="s">
        <v>5282</v>
      </c>
      <c r="X422" s="5" t="s">
        <v>5282</v>
      </c>
      <c r="Y422" s="4">
        <v>540</v>
      </c>
      <c r="Z422" s="4">
        <v>461</v>
      </c>
      <c r="AA422" s="4">
        <v>1373</v>
      </c>
      <c r="AB422" s="4">
        <v>3</v>
      </c>
      <c r="AC422" s="4">
        <v>7</v>
      </c>
      <c r="AD422" s="4">
        <v>17</v>
      </c>
      <c r="AE422" s="4">
        <v>35</v>
      </c>
      <c r="AF422" s="4">
        <v>6</v>
      </c>
      <c r="AG422" s="4">
        <v>17</v>
      </c>
      <c r="AH422" s="4">
        <v>4</v>
      </c>
      <c r="AI422" s="4">
        <v>7</v>
      </c>
      <c r="AJ422" s="4">
        <v>8</v>
      </c>
      <c r="AK422" s="4">
        <v>12</v>
      </c>
      <c r="AL422" s="4">
        <v>2</v>
      </c>
      <c r="AM422" s="4">
        <v>5</v>
      </c>
      <c r="AN422" s="4">
        <v>0</v>
      </c>
      <c r="AO422" s="4">
        <v>0</v>
      </c>
      <c r="AP422" s="3" t="s">
        <v>58</v>
      </c>
      <c r="AQ422" s="3" t="s">
        <v>68</v>
      </c>
      <c r="AR422" s="6" t="str">
        <f>HYPERLINK("http://catalog.hathitrust.org/Record/003949649","HathiTrust Record")</f>
        <v>HathiTrust Record</v>
      </c>
      <c r="AS422" s="6" t="str">
        <f>HYPERLINK("https://creighton-primo.hosted.exlibrisgroup.com/primo-explore/search?tab=default_tab&amp;search_scope=EVERYTHING&amp;vid=01CRU&amp;lang=en_US&amp;offset=0&amp;query=any,contains,991002778349702656","Catalog Record")</f>
        <v>Catalog Record</v>
      </c>
      <c r="AT422" s="6" t="str">
        <f>HYPERLINK("http://www.worldcat.org/oclc/36477102","WorldCat Record")</f>
        <v>WorldCat Record</v>
      </c>
      <c r="AU422" s="3" t="s">
        <v>5283</v>
      </c>
      <c r="AV422" s="3" t="s">
        <v>5284</v>
      </c>
      <c r="AW422" s="3" t="s">
        <v>5285</v>
      </c>
      <c r="AX422" s="3" t="s">
        <v>5285</v>
      </c>
      <c r="AY422" s="3" t="s">
        <v>5286</v>
      </c>
      <c r="AZ422" s="3" t="s">
        <v>73</v>
      </c>
      <c r="BB422" s="3" t="s">
        <v>5287</v>
      </c>
      <c r="BC422" s="3" t="s">
        <v>5288</v>
      </c>
      <c r="BD422" s="3" t="s">
        <v>5289</v>
      </c>
    </row>
    <row r="423" spans="1:56" ht="31.5" customHeight="1" x14ac:dyDescent="0.25">
      <c r="A423" s="7" t="s">
        <v>58</v>
      </c>
      <c r="B423" s="2" t="s">
        <v>5290</v>
      </c>
      <c r="C423" s="2" t="s">
        <v>5291</v>
      </c>
      <c r="D423" s="2" t="s">
        <v>5279</v>
      </c>
      <c r="F423" s="3" t="s">
        <v>58</v>
      </c>
      <c r="G423" s="3" t="s">
        <v>59</v>
      </c>
      <c r="H423" s="3" t="s">
        <v>58</v>
      </c>
      <c r="I423" s="3" t="s">
        <v>68</v>
      </c>
      <c r="J423" s="3" t="s">
        <v>60</v>
      </c>
      <c r="K423" s="2" t="s">
        <v>5280</v>
      </c>
      <c r="L423" s="2" t="s">
        <v>5292</v>
      </c>
      <c r="M423" s="3" t="s">
        <v>1000</v>
      </c>
      <c r="N423" s="2" t="s">
        <v>5293</v>
      </c>
      <c r="O423" s="3" t="s">
        <v>63</v>
      </c>
      <c r="P423" s="3" t="s">
        <v>98</v>
      </c>
      <c r="R423" s="3" t="s">
        <v>65</v>
      </c>
      <c r="S423" s="4">
        <v>9</v>
      </c>
      <c r="T423" s="4">
        <v>9</v>
      </c>
      <c r="U423" s="5" t="s">
        <v>5225</v>
      </c>
      <c r="V423" s="5" t="s">
        <v>5225</v>
      </c>
      <c r="W423" s="5" t="s">
        <v>2576</v>
      </c>
      <c r="X423" s="5" t="s">
        <v>2576</v>
      </c>
      <c r="Y423" s="4">
        <v>237</v>
      </c>
      <c r="Z423" s="4">
        <v>204</v>
      </c>
      <c r="AA423" s="4">
        <v>1373</v>
      </c>
      <c r="AB423" s="4">
        <v>3</v>
      </c>
      <c r="AC423" s="4">
        <v>7</v>
      </c>
      <c r="AD423" s="4">
        <v>7</v>
      </c>
      <c r="AE423" s="4">
        <v>35</v>
      </c>
      <c r="AF423" s="4">
        <v>3</v>
      </c>
      <c r="AG423" s="4">
        <v>17</v>
      </c>
      <c r="AH423" s="4">
        <v>1</v>
      </c>
      <c r="AI423" s="4">
        <v>7</v>
      </c>
      <c r="AJ423" s="4">
        <v>2</v>
      </c>
      <c r="AK423" s="4">
        <v>12</v>
      </c>
      <c r="AL423" s="4">
        <v>2</v>
      </c>
      <c r="AM423" s="4">
        <v>5</v>
      </c>
      <c r="AN423" s="4">
        <v>0</v>
      </c>
      <c r="AO423" s="4">
        <v>0</v>
      </c>
      <c r="AP423" s="3" t="s">
        <v>58</v>
      </c>
      <c r="AQ423" s="3" t="s">
        <v>68</v>
      </c>
      <c r="AR423" s="6" t="str">
        <f>HYPERLINK("http://catalog.hathitrust.org/Record/005974936","HathiTrust Record")</f>
        <v>HathiTrust Record</v>
      </c>
      <c r="AS423" s="6" t="str">
        <f>HYPERLINK("https://creighton-primo.hosted.exlibrisgroup.com/primo-explore/search?tab=default_tab&amp;search_scope=EVERYTHING&amp;vid=01CRU&amp;lang=en_US&amp;offset=0&amp;query=any,contains,991005144839702656","Catalog Record")</f>
        <v>Catalog Record</v>
      </c>
      <c r="AT423" s="6" t="str">
        <f>HYPERLINK("http://www.worldcat.org/oclc/62176951","WorldCat Record")</f>
        <v>WorldCat Record</v>
      </c>
      <c r="AU423" s="3" t="s">
        <v>5283</v>
      </c>
      <c r="AV423" s="3" t="s">
        <v>5294</v>
      </c>
      <c r="AW423" s="3" t="s">
        <v>5295</v>
      </c>
      <c r="AX423" s="3" t="s">
        <v>5295</v>
      </c>
      <c r="AY423" s="3" t="s">
        <v>5296</v>
      </c>
      <c r="AZ423" s="3" t="s">
        <v>73</v>
      </c>
      <c r="BB423" s="3" t="s">
        <v>5297</v>
      </c>
      <c r="BC423" s="3" t="s">
        <v>5298</v>
      </c>
      <c r="BD423" s="3" t="s">
        <v>5299</v>
      </c>
    </row>
    <row r="424" spans="1:56" ht="31.5" customHeight="1" x14ac:dyDescent="0.25">
      <c r="A424" s="7" t="s">
        <v>58</v>
      </c>
      <c r="B424" s="2" t="s">
        <v>5300</v>
      </c>
      <c r="C424" s="2" t="s">
        <v>5301</v>
      </c>
      <c r="D424" s="2" t="s">
        <v>5302</v>
      </c>
      <c r="F424" s="3" t="s">
        <v>58</v>
      </c>
      <c r="G424" s="3" t="s">
        <v>59</v>
      </c>
      <c r="H424" s="3" t="s">
        <v>58</v>
      </c>
      <c r="I424" s="3" t="s">
        <v>58</v>
      </c>
      <c r="J424" s="3" t="s">
        <v>60</v>
      </c>
      <c r="K424" s="2" t="s">
        <v>5303</v>
      </c>
      <c r="L424" s="2" t="s">
        <v>5304</v>
      </c>
      <c r="M424" s="3" t="s">
        <v>565</v>
      </c>
      <c r="O424" s="3" t="s">
        <v>63</v>
      </c>
      <c r="P424" s="3" t="s">
        <v>2174</v>
      </c>
      <c r="R424" s="3" t="s">
        <v>65</v>
      </c>
      <c r="S424" s="4">
        <v>14</v>
      </c>
      <c r="T424" s="4">
        <v>14</v>
      </c>
      <c r="U424" s="5" t="s">
        <v>5225</v>
      </c>
      <c r="V424" s="5" t="s">
        <v>5225</v>
      </c>
      <c r="W424" s="5" t="s">
        <v>3407</v>
      </c>
      <c r="X424" s="5" t="s">
        <v>3407</v>
      </c>
      <c r="Y424" s="4">
        <v>713</v>
      </c>
      <c r="Z424" s="4">
        <v>630</v>
      </c>
      <c r="AA424" s="4">
        <v>692</v>
      </c>
      <c r="AB424" s="4">
        <v>3</v>
      </c>
      <c r="AC424" s="4">
        <v>4</v>
      </c>
      <c r="AD424" s="4">
        <v>13</v>
      </c>
      <c r="AE424" s="4">
        <v>14</v>
      </c>
      <c r="AF424" s="4">
        <v>7</v>
      </c>
      <c r="AG424" s="4">
        <v>7</v>
      </c>
      <c r="AH424" s="4">
        <v>3</v>
      </c>
      <c r="AI424" s="4">
        <v>3</v>
      </c>
      <c r="AJ424" s="4">
        <v>5</v>
      </c>
      <c r="AK424" s="4">
        <v>5</v>
      </c>
      <c r="AL424" s="4">
        <v>2</v>
      </c>
      <c r="AM424" s="4">
        <v>3</v>
      </c>
      <c r="AN424" s="4">
        <v>0</v>
      </c>
      <c r="AO424" s="4">
        <v>0</v>
      </c>
      <c r="AP424" s="3" t="s">
        <v>58</v>
      </c>
      <c r="AQ424" s="3" t="s">
        <v>68</v>
      </c>
      <c r="AR424" s="6" t="str">
        <f>HYPERLINK("http://catalog.hathitrust.org/Record/000736357","HathiTrust Record")</f>
        <v>HathiTrust Record</v>
      </c>
      <c r="AS424" s="6" t="str">
        <f>HYPERLINK("https://creighton-primo.hosted.exlibrisgroup.com/primo-explore/search?tab=default_tab&amp;search_scope=EVERYTHING&amp;vid=01CRU&amp;lang=en_US&amp;offset=0&amp;query=any,contains,991004992589702656","Catalog Record")</f>
        <v>Catalog Record</v>
      </c>
      <c r="AT424" s="6" t="str">
        <f>HYPERLINK("http://www.worldcat.org/oclc/6487781","WorldCat Record")</f>
        <v>WorldCat Record</v>
      </c>
      <c r="AU424" s="3" t="s">
        <v>5305</v>
      </c>
      <c r="AV424" s="3" t="s">
        <v>5306</v>
      </c>
      <c r="AW424" s="3" t="s">
        <v>5307</v>
      </c>
      <c r="AX424" s="3" t="s">
        <v>5307</v>
      </c>
      <c r="AY424" s="3" t="s">
        <v>5308</v>
      </c>
      <c r="AZ424" s="3" t="s">
        <v>73</v>
      </c>
      <c r="BB424" s="3" t="s">
        <v>5309</v>
      </c>
      <c r="BC424" s="3" t="s">
        <v>5310</v>
      </c>
      <c r="BD424" s="3" t="s">
        <v>5311</v>
      </c>
    </row>
    <row r="425" spans="1:56" ht="31.5" customHeight="1" x14ac:dyDescent="0.25">
      <c r="A425" s="7" t="s">
        <v>58</v>
      </c>
      <c r="B425" s="2" t="s">
        <v>5312</v>
      </c>
      <c r="C425" s="2" t="s">
        <v>5313</v>
      </c>
      <c r="D425" s="2" t="s">
        <v>5314</v>
      </c>
      <c r="F425" s="3" t="s">
        <v>58</v>
      </c>
      <c r="G425" s="3" t="s">
        <v>59</v>
      </c>
      <c r="H425" s="3" t="s">
        <v>58</v>
      </c>
      <c r="I425" s="3" t="s">
        <v>58</v>
      </c>
      <c r="J425" s="3" t="s">
        <v>60</v>
      </c>
      <c r="K425" s="2" t="s">
        <v>5315</v>
      </c>
      <c r="L425" s="2" t="s">
        <v>5316</v>
      </c>
      <c r="M425" s="3" t="s">
        <v>244</v>
      </c>
      <c r="O425" s="3" t="s">
        <v>63</v>
      </c>
      <c r="P425" s="3" t="s">
        <v>64</v>
      </c>
      <c r="R425" s="3" t="s">
        <v>65</v>
      </c>
      <c r="S425" s="4">
        <v>2</v>
      </c>
      <c r="T425" s="4">
        <v>2</v>
      </c>
      <c r="U425" s="5" t="s">
        <v>5317</v>
      </c>
      <c r="V425" s="5" t="s">
        <v>5317</v>
      </c>
      <c r="W425" s="5" t="s">
        <v>5318</v>
      </c>
      <c r="X425" s="5" t="s">
        <v>5318</v>
      </c>
      <c r="Y425" s="4">
        <v>1145</v>
      </c>
      <c r="Z425" s="4">
        <v>1111</v>
      </c>
      <c r="AA425" s="4">
        <v>1325</v>
      </c>
      <c r="AB425" s="4">
        <v>8</v>
      </c>
      <c r="AC425" s="4">
        <v>13</v>
      </c>
      <c r="AD425" s="4">
        <v>19</v>
      </c>
      <c r="AE425" s="4">
        <v>23</v>
      </c>
      <c r="AF425" s="4">
        <v>7</v>
      </c>
      <c r="AG425" s="4">
        <v>10</v>
      </c>
      <c r="AH425" s="4">
        <v>3</v>
      </c>
      <c r="AI425" s="4">
        <v>3</v>
      </c>
      <c r="AJ425" s="4">
        <v>7</v>
      </c>
      <c r="AK425" s="4">
        <v>9</v>
      </c>
      <c r="AL425" s="4">
        <v>4</v>
      </c>
      <c r="AM425" s="4">
        <v>5</v>
      </c>
      <c r="AN425" s="4">
        <v>0</v>
      </c>
      <c r="AO425" s="4">
        <v>0</v>
      </c>
      <c r="AP425" s="3" t="s">
        <v>58</v>
      </c>
      <c r="AQ425" s="3" t="s">
        <v>68</v>
      </c>
      <c r="AR425" s="6" t="str">
        <f>HYPERLINK("http://catalog.hathitrust.org/Record/000185644","HathiTrust Record")</f>
        <v>HathiTrust Record</v>
      </c>
      <c r="AS425" s="6" t="str">
        <f>HYPERLINK("https://creighton-primo.hosted.exlibrisgroup.com/primo-explore/search?tab=default_tab&amp;search_scope=EVERYTHING&amp;vid=01CRU&amp;lang=en_US&amp;offset=0&amp;query=any,contains,991005053989702656","Catalog Record")</f>
        <v>Catalog Record</v>
      </c>
      <c r="AT425" s="6" t="str">
        <f>HYPERLINK("http://www.worldcat.org/oclc/6889937","WorldCat Record")</f>
        <v>WorldCat Record</v>
      </c>
      <c r="AU425" s="3" t="s">
        <v>5319</v>
      </c>
      <c r="AV425" s="3" t="s">
        <v>5320</v>
      </c>
      <c r="AW425" s="3" t="s">
        <v>5321</v>
      </c>
      <c r="AX425" s="3" t="s">
        <v>5321</v>
      </c>
      <c r="AY425" s="3" t="s">
        <v>5322</v>
      </c>
      <c r="AZ425" s="3" t="s">
        <v>73</v>
      </c>
      <c r="BB425" s="3" t="s">
        <v>5323</v>
      </c>
      <c r="BC425" s="3" t="s">
        <v>5324</v>
      </c>
      <c r="BD425" s="3" t="s">
        <v>5325</v>
      </c>
    </row>
    <row r="426" spans="1:56" ht="31.5" customHeight="1" x14ac:dyDescent="0.25">
      <c r="A426" s="7" t="s">
        <v>58</v>
      </c>
      <c r="B426" s="2" t="s">
        <v>5326</v>
      </c>
      <c r="C426" s="2" t="s">
        <v>5327</v>
      </c>
      <c r="D426" s="2" t="s">
        <v>5328</v>
      </c>
      <c r="F426" s="3" t="s">
        <v>58</v>
      </c>
      <c r="G426" s="3" t="s">
        <v>59</v>
      </c>
      <c r="H426" s="3" t="s">
        <v>58</v>
      </c>
      <c r="I426" s="3" t="s">
        <v>58</v>
      </c>
      <c r="J426" s="3" t="s">
        <v>60</v>
      </c>
      <c r="L426" s="2" t="s">
        <v>5329</v>
      </c>
      <c r="M426" s="3" t="s">
        <v>344</v>
      </c>
      <c r="O426" s="3" t="s">
        <v>63</v>
      </c>
      <c r="P426" s="3" t="s">
        <v>186</v>
      </c>
      <c r="Q426" s="2" t="s">
        <v>4223</v>
      </c>
      <c r="R426" s="3" t="s">
        <v>65</v>
      </c>
      <c r="S426" s="4">
        <v>2</v>
      </c>
      <c r="T426" s="4">
        <v>2</v>
      </c>
      <c r="U426" s="5" t="s">
        <v>5330</v>
      </c>
      <c r="V426" s="5" t="s">
        <v>5330</v>
      </c>
      <c r="W426" s="5" t="s">
        <v>5331</v>
      </c>
      <c r="X426" s="5" t="s">
        <v>5331</v>
      </c>
      <c r="Y426" s="4">
        <v>357</v>
      </c>
      <c r="Z426" s="4">
        <v>292</v>
      </c>
      <c r="AA426" s="4">
        <v>293</v>
      </c>
      <c r="AB426" s="4">
        <v>5</v>
      </c>
      <c r="AC426" s="4">
        <v>5</v>
      </c>
      <c r="AD426" s="4">
        <v>14</v>
      </c>
      <c r="AE426" s="4">
        <v>14</v>
      </c>
      <c r="AF426" s="4">
        <v>2</v>
      </c>
      <c r="AG426" s="4">
        <v>2</v>
      </c>
      <c r="AH426" s="4">
        <v>4</v>
      </c>
      <c r="AI426" s="4">
        <v>4</v>
      </c>
      <c r="AJ426" s="4">
        <v>5</v>
      </c>
      <c r="AK426" s="4">
        <v>5</v>
      </c>
      <c r="AL426" s="4">
        <v>4</v>
      </c>
      <c r="AM426" s="4">
        <v>4</v>
      </c>
      <c r="AN426" s="4">
        <v>0</v>
      </c>
      <c r="AO426" s="4">
        <v>0</v>
      </c>
      <c r="AP426" s="3" t="s">
        <v>58</v>
      </c>
      <c r="AQ426" s="3" t="s">
        <v>68</v>
      </c>
      <c r="AR426" s="6" t="str">
        <f>HYPERLINK("http://catalog.hathitrust.org/Record/002961430","HathiTrust Record")</f>
        <v>HathiTrust Record</v>
      </c>
      <c r="AS426" s="6" t="str">
        <f>HYPERLINK("https://creighton-primo.hosted.exlibrisgroup.com/primo-explore/search?tab=default_tab&amp;search_scope=EVERYTHING&amp;vid=01CRU&amp;lang=en_US&amp;offset=0&amp;query=any,contains,991002619469702656","Catalog Record")</f>
        <v>Catalog Record</v>
      </c>
      <c r="AT426" s="6" t="str">
        <f>HYPERLINK("http://www.worldcat.org/oclc/36841676","WorldCat Record")</f>
        <v>WorldCat Record</v>
      </c>
      <c r="AU426" s="3" t="s">
        <v>5332</v>
      </c>
      <c r="AV426" s="3" t="s">
        <v>5333</v>
      </c>
      <c r="AW426" s="3" t="s">
        <v>5334</v>
      </c>
      <c r="AX426" s="3" t="s">
        <v>5334</v>
      </c>
      <c r="AY426" s="3" t="s">
        <v>5335</v>
      </c>
      <c r="AZ426" s="3" t="s">
        <v>73</v>
      </c>
      <c r="BB426" s="3" t="s">
        <v>5336</v>
      </c>
      <c r="BC426" s="3" t="s">
        <v>5337</v>
      </c>
      <c r="BD426" s="3" t="s">
        <v>5338</v>
      </c>
    </row>
    <row r="427" spans="1:56" ht="31.5" customHeight="1" x14ac:dyDescent="0.25">
      <c r="A427" s="7" t="s">
        <v>58</v>
      </c>
      <c r="B427" s="2" t="s">
        <v>5339</v>
      </c>
      <c r="C427" s="2" t="s">
        <v>5340</v>
      </c>
      <c r="D427" s="2" t="s">
        <v>5341</v>
      </c>
      <c r="F427" s="3" t="s">
        <v>58</v>
      </c>
      <c r="G427" s="3" t="s">
        <v>59</v>
      </c>
      <c r="H427" s="3" t="s">
        <v>58</v>
      </c>
      <c r="I427" s="3" t="s">
        <v>58</v>
      </c>
      <c r="J427" s="3" t="s">
        <v>60</v>
      </c>
      <c r="K427" s="2" t="s">
        <v>5342</v>
      </c>
      <c r="L427" s="2" t="s">
        <v>5343</v>
      </c>
      <c r="M427" s="3" t="s">
        <v>1939</v>
      </c>
      <c r="O427" s="3" t="s">
        <v>63</v>
      </c>
      <c r="P427" s="3" t="s">
        <v>129</v>
      </c>
      <c r="Q427" s="2" t="s">
        <v>5344</v>
      </c>
      <c r="R427" s="3" t="s">
        <v>65</v>
      </c>
      <c r="S427" s="4">
        <v>8</v>
      </c>
      <c r="T427" s="4">
        <v>8</v>
      </c>
      <c r="U427" s="5" t="s">
        <v>5345</v>
      </c>
      <c r="V427" s="5" t="s">
        <v>5345</v>
      </c>
      <c r="W427" s="5" t="s">
        <v>5346</v>
      </c>
      <c r="X427" s="5" t="s">
        <v>5346</v>
      </c>
      <c r="Y427" s="4">
        <v>692</v>
      </c>
      <c r="Z427" s="4">
        <v>630</v>
      </c>
      <c r="AA427" s="4">
        <v>703</v>
      </c>
      <c r="AB427" s="4">
        <v>7</v>
      </c>
      <c r="AC427" s="4">
        <v>8</v>
      </c>
      <c r="AD427" s="4">
        <v>13</v>
      </c>
      <c r="AE427" s="4">
        <v>20</v>
      </c>
      <c r="AF427" s="4">
        <v>2</v>
      </c>
      <c r="AG427" s="4">
        <v>4</v>
      </c>
      <c r="AH427" s="4">
        <v>2</v>
      </c>
      <c r="AI427" s="4">
        <v>2</v>
      </c>
      <c r="AJ427" s="4">
        <v>5</v>
      </c>
      <c r="AK427" s="4">
        <v>9</v>
      </c>
      <c r="AL427" s="4">
        <v>6</v>
      </c>
      <c r="AM427" s="4">
        <v>7</v>
      </c>
      <c r="AN427" s="4">
        <v>0</v>
      </c>
      <c r="AO427" s="4">
        <v>0</v>
      </c>
      <c r="AP427" s="3" t="s">
        <v>58</v>
      </c>
      <c r="AQ427" s="3" t="s">
        <v>68</v>
      </c>
      <c r="AR427" s="6" t="str">
        <f>HYPERLINK("http://catalog.hathitrust.org/Record/003027842","HathiTrust Record")</f>
        <v>HathiTrust Record</v>
      </c>
      <c r="AS427" s="6" t="str">
        <f>HYPERLINK("https://creighton-primo.hosted.exlibrisgroup.com/primo-explore/search?tab=default_tab&amp;search_scope=EVERYTHING&amp;vid=01CRU&amp;lang=en_US&amp;offset=0&amp;query=any,contains,991002524159702656","Catalog Record")</f>
        <v>Catalog Record</v>
      </c>
      <c r="AT427" s="6" t="str">
        <f>HYPERLINK("http://www.worldcat.org/oclc/32820957","WorldCat Record")</f>
        <v>WorldCat Record</v>
      </c>
      <c r="AU427" s="3" t="s">
        <v>5347</v>
      </c>
      <c r="AV427" s="3" t="s">
        <v>5348</v>
      </c>
      <c r="AW427" s="3" t="s">
        <v>5349</v>
      </c>
      <c r="AX427" s="3" t="s">
        <v>5349</v>
      </c>
      <c r="AY427" s="3" t="s">
        <v>5350</v>
      </c>
      <c r="AZ427" s="3" t="s">
        <v>73</v>
      </c>
      <c r="BB427" s="3" t="s">
        <v>5351</v>
      </c>
      <c r="BC427" s="3" t="s">
        <v>5352</v>
      </c>
      <c r="BD427" s="3" t="s">
        <v>5353</v>
      </c>
    </row>
    <row r="428" spans="1:56" ht="31.5" customHeight="1" x14ac:dyDescent="0.25">
      <c r="A428" s="7" t="s">
        <v>58</v>
      </c>
      <c r="B428" s="2" t="s">
        <v>5354</v>
      </c>
      <c r="C428" s="2" t="s">
        <v>5355</v>
      </c>
      <c r="D428" s="2" t="s">
        <v>5356</v>
      </c>
      <c r="F428" s="3" t="s">
        <v>58</v>
      </c>
      <c r="G428" s="3" t="s">
        <v>59</v>
      </c>
      <c r="H428" s="3" t="s">
        <v>58</v>
      </c>
      <c r="I428" s="3" t="s">
        <v>58</v>
      </c>
      <c r="J428" s="3" t="s">
        <v>60</v>
      </c>
      <c r="K428" s="2" t="s">
        <v>5357</v>
      </c>
      <c r="L428" s="2" t="s">
        <v>5358</v>
      </c>
      <c r="M428" s="3" t="s">
        <v>257</v>
      </c>
      <c r="O428" s="3" t="s">
        <v>63</v>
      </c>
      <c r="P428" s="3" t="s">
        <v>64</v>
      </c>
      <c r="R428" s="3" t="s">
        <v>65</v>
      </c>
      <c r="S428" s="4">
        <v>2</v>
      </c>
      <c r="T428" s="4">
        <v>2</v>
      </c>
      <c r="U428" s="5" t="s">
        <v>5359</v>
      </c>
      <c r="V428" s="5" t="s">
        <v>5359</v>
      </c>
      <c r="W428" s="5" t="s">
        <v>5360</v>
      </c>
      <c r="X428" s="5" t="s">
        <v>5360</v>
      </c>
      <c r="Y428" s="4">
        <v>645</v>
      </c>
      <c r="Z428" s="4">
        <v>561</v>
      </c>
      <c r="AA428" s="4">
        <v>572</v>
      </c>
      <c r="AB428" s="4">
        <v>4</v>
      </c>
      <c r="AC428" s="4">
        <v>4</v>
      </c>
      <c r="AD428" s="4">
        <v>12</v>
      </c>
      <c r="AE428" s="4">
        <v>12</v>
      </c>
      <c r="AF428" s="4">
        <v>1</v>
      </c>
      <c r="AG428" s="4">
        <v>1</v>
      </c>
      <c r="AH428" s="4">
        <v>3</v>
      </c>
      <c r="AI428" s="4">
        <v>3</v>
      </c>
      <c r="AJ428" s="4">
        <v>7</v>
      </c>
      <c r="AK428" s="4">
        <v>7</v>
      </c>
      <c r="AL428" s="4">
        <v>2</v>
      </c>
      <c r="AM428" s="4">
        <v>2</v>
      </c>
      <c r="AN428" s="4">
        <v>0</v>
      </c>
      <c r="AO428" s="4">
        <v>0</v>
      </c>
      <c r="AP428" s="3" t="s">
        <v>58</v>
      </c>
      <c r="AQ428" s="3" t="s">
        <v>68</v>
      </c>
      <c r="AR428" s="6" t="str">
        <f>HYPERLINK("http://catalog.hathitrust.org/Record/003122687","HathiTrust Record")</f>
        <v>HathiTrust Record</v>
      </c>
      <c r="AS428" s="6" t="str">
        <f>HYPERLINK("https://creighton-primo.hosted.exlibrisgroup.com/primo-explore/search?tab=default_tab&amp;search_scope=EVERYTHING&amp;vid=01CRU&amp;lang=en_US&amp;offset=0&amp;query=any,contains,991002668589702656","Catalog Record")</f>
        <v>Catalog Record</v>
      </c>
      <c r="AT428" s="6" t="str">
        <f>HYPERLINK("http://www.worldcat.org/oclc/34906204","WorldCat Record")</f>
        <v>WorldCat Record</v>
      </c>
      <c r="AU428" s="3" t="s">
        <v>5361</v>
      </c>
      <c r="AV428" s="3" t="s">
        <v>5362</v>
      </c>
      <c r="AW428" s="3" t="s">
        <v>5363</v>
      </c>
      <c r="AX428" s="3" t="s">
        <v>5363</v>
      </c>
      <c r="AY428" s="3" t="s">
        <v>5364</v>
      </c>
      <c r="AZ428" s="3" t="s">
        <v>73</v>
      </c>
      <c r="BB428" s="3" t="s">
        <v>5365</v>
      </c>
      <c r="BC428" s="3" t="s">
        <v>5366</v>
      </c>
      <c r="BD428" s="3" t="s">
        <v>5367</v>
      </c>
    </row>
    <row r="429" spans="1:56" ht="31.5" customHeight="1" x14ac:dyDescent="0.25">
      <c r="A429" s="7" t="s">
        <v>58</v>
      </c>
      <c r="B429" s="2" t="s">
        <v>5368</v>
      </c>
      <c r="C429" s="2" t="s">
        <v>5369</v>
      </c>
      <c r="D429" s="2" t="s">
        <v>5370</v>
      </c>
      <c r="F429" s="3" t="s">
        <v>58</v>
      </c>
      <c r="G429" s="3" t="s">
        <v>59</v>
      </c>
      <c r="H429" s="3" t="s">
        <v>58</v>
      </c>
      <c r="I429" s="3" t="s">
        <v>58</v>
      </c>
      <c r="J429" s="3" t="s">
        <v>60</v>
      </c>
      <c r="K429" s="2" t="s">
        <v>5371</v>
      </c>
      <c r="L429" s="2" t="s">
        <v>5372</v>
      </c>
      <c r="M429" s="3" t="s">
        <v>1939</v>
      </c>
      <c r="N429" s="2" t="s">
        <v>501</v>
      </c>
      <c r="O429" s="3" t="s">
        <v>63</v>
      </c>
      <c r="P429" s="3" t="s">
        <v>1631</v>
      </c>
      <c r="R429" s="3" t="s">
        <v>65</v>
      </c>
      <c r="S429" s="4">
        <v>2</v>
      </c>
      <c r="T429" s="4">
        <v>2</v>
      </c>
      <c r="U429" s="5" t="s">
        <v>5373</v>
      </c>
      <c r="V429" s="5" t="s">
        <v>5373</v>
      </c>
      <c r="W429" s="5" t="s">
        <v>5374</v>
      </c>
      <c r="X429" s="5" t="s">
        <v>5374</v>
      </c>
      <c r="Y429" s="4">
        <v>302</v>
      </c>
      <c r="Z429" s="4">
        <v>288</v>
      </c>
      <c r="AA429" s="4">
        <v>289</v>
      </c>
      <c r="AB429" s="4">
        <v>1</v>
      </c>
      <c r="AC429" s="4">
        <v>1</v>
      </c>
      <c r="AD429" s="4">
        <v>5</v>
      </c>
      <c r="AE429" s="4">
        <v>5</v>
      </c>
      <c r="AF429" s="4">
        <v>0</v>
      </c>
      <c r="AG429" s="4">
        <v>0</v>
      </c>
      <c r="AH429" s="4">
        <v>0</v>
      </c>
      <c r="AI429" s="4">
        <v>0</v>
      </c>
      <c r="AJ429" s="4">
        <v>5</v>
      </c>
      <c r="AK429" s="4">
        <v>5</v>
      </c>
      <c r="AL429" s="4">
        <v>0</v>
      </c>
      <c r="AM429" s="4">
        <v>0</v>
      </c>
      <c r="AN429" s="4">
        <v>0</v>
      </c>
      <c r="AO429" s="4">
        <v>0</v>
      </c>
      <c r="AP429" s="3" t="s">
        <v>58</v>
      </c>
      <c r="AQ429" s="3" t="s">
        <v>68</v>
      </c>
      <c r="AR429" s="6" t="str">
        <f>HYPERLINK("http://catalog.hathitrust.org/Record/003138110","HathiTrust Record")</f>
        <v>HathiTrust Record</v>
      </c>
      <c r="AS429" s="6" t="str">
        <f>HYPERLINK("https://creighton-primo.hosted.exlibrisgroup.com/primo-explore/search?tab=default_tab&amp;search_scope=EVERYTHING&amp;vid=01CRU&amp;lang=en_US&amp;offset=0&amp;query=any,contains,991002742359702656","Catalog Record")</f>
        <v>Catalog Record</v>
      </c>
      <c r="AT429" s="6" t="str">
        <f>HYPERLINK("http://www.worldcat.org/oclc/36009068","WorldCat Record")</f>
        <v>WorldCat Record</v>
      </c>
      <c r="AU429" s="3" t="s">
        <v>5375</v>
      </c>
      <c r="AV429" s="3" t="s">
        <v>5376</v>
      </c>
      <c r="AW429" s="3" t="s">
        <v>5377</v>
      </c>
      <c r="AX429" s="3" t="s">
        <v>5377</v>
      </c>
      <c r="AY429" s="3" t="s">
        <v>5378</v>
      </c>
      <c r="AZ429" s="3" t="s">
        <v>73</v>
      </c>
      <c r="BB429" s="3" t="s">
        <v>5379</v>
      </c>
      <c r="BC429" s="3" t="s">
        <v>5380</v>
      </c>
      <c r="BD429" s="3" t="s">
        <v>5381</v>
      </c>
    </row>
    <row r="430" spans="1:56" ht="31.5" customHeight="1" x14ac:dyDescent="0.25">
      <c r="A430" s="7" t="s">
        <v>58</v>
      </c>
      <c r="B430" s="2" t="s">
        <v>5382</v>
      </c>
      <c r="C430" s="2" t="s">
        <v>5383</v>
      </c>
      <c r="D430" s="2" t="s">
        <v>5384</v>
      </c>
      <c r="F430" s="3" t="s">
        <v>58</v>
      </c>
      <c r="G430" s="3" t="s">
        <v>59</v>
      </c>
      <c r="H430" s="3" t="s">
        <v>58</v>
      </c>
      <c r="I430" s="3" t="s">
        <v>58</v>
      </c>
      <c r="J430" s="3" t="s">
        <v>60</v>
      </c>
      <c r="L430" s="2" t="s">
        <v>5385</v>
      </c>
      <c r="M430" s="3" t="s">
        <v>835</v>
      </c>
      <c r="O430" s="3" t="s">
        <v>63</v>
      </c>
      <c r="P430" s="3" t="s">
        <v>186</v>
      </c>
      <c r="R430" s="3" t="s">
        <v>65</v>
      </c>
      <c r="S430" s="4">
        <v>1</v>
      </c>
      <c r="T430" s="4">
        <v>1</v>
      </c>
      <c r="U430" s="5" t="s">
        <v>5386</v>
      </c>
      <c r="V430" s="5" t="s">
        <v>5386</v>
      </c>
      <c r="W430" s="5" t="s">
        <v>3631</v>
      </c>
      <c r="X430" s="5" t="s">
        <v>3631</v>
      </c>
      <c r="Y430" s="4">
        <v>432</v>
      </c>
      <c r="Z430" s="4">
        <v>376</v>
      </c>
      <c r="AA430" s="4">
        <v>422</v>
      </c>
      <c r="AB430" s="4">
        <v>4</v>
      </c>
      <c r="AC430" s="4">
        <v>5</v>
      </c>
      <c r="AD430" s="4">
        <v>15</v>
      </c>
      <c r="AE430" s="4">
        <v>15</v>
      </c>
      <c r="AF430" s="4">
        <v>5</v>
      </c>
      <c r="AG430" s="4">
        <v>5</v>
      </c>
      <c r="AH430" s="4">
        <v>3</v>
      </c>
      <c r="AI430" s="4">
        <v>3</v>
      </c>
      <c r="AJ430" s="4">
        <v>8</v>
      </c>
      <c r="AK430" s="4">
        <v>8</v>
      </c>
      <c r="AL430" s="4">
        <v>3</v>
      </c>
      <c r="AM430" s="4">
        <v>3</v>
      </c>
      <c r="AN430" s="4">
        <v>0</v>
      </c>
      <c r="AO430" s="4">
        <v>0</v>
      </c>
      <c r="AP430" s="3" t="s">
        <v>58</v>
      </c>
      <c r="AQ430" s="3" t="s">
        <v>58</v>
      </c>
      <c r="AS430" s="6" t="str">
        <f>HYPERLINK("https://creighton-primo.hosted.exlibrisgroup.com/primo-explore/search?tab=default_tab&amp;search_scope=EVERYTHING&amp;vid=01CRU&amp;lang=en_US&amp;offset=0&amp;query=any,contains,991002985839702656","Catalog Record")</f>
        <v>Catalog Record</v>
      </c>
      <c r="AT430" s="6" t="str">
        <f>HYPERLINK("http://www.worldcat.org/oclc/40221861","WorldCat Record")</f>
        <v>WorldCat Record</v>
      </c>
      <c r="AU430" s="3" t="s">
        <v>5387</v>
      </c>
      <c r="AV430" s="3" t="s">
        <v>5388</v>
      </c>
      <c r="AW430" s="3" t="s">
        <v>5389</v>
      </c>
      <c r="AX430" s="3" t="s">
        <v>5389</v>
      </c>
      <c r="AY430" s="3" t="s">
        <v>5390</v>
      </c>
      <c r="AZ430" s="3" t="s">
        <v>73</v>
      </c>
      <c r="BB430" s="3" t="s">
        <v>5391</v>
      </c>
      <c r="BC430" s="3" t="s">
        <v>5392</v>
      </c>
      <c r="BD430" s="3" t="s">
        <v>5393</v>
      </c>
    </row>
    <row r="431" spans="1:56" ht="31.5" customHeight="1" x14ac:dyDescent="0.25">
      <c r="A431" s="7" t="s">
        <v>58</v>
      </c>
      <c r="B431" s="2" t="s">
        <v>5394</v>
      </c>
      <c r="C431" s="2" t="s">
        <v>5395</v>
      </c>
      <c r="D431" s="2" t="s">
        <v>5396</v>
      </c>
      <c r="F431" s="3" t="s">
        <v>58</v>
      </c>
      <c r="G431" s="3" t="s">
        <v>59</v>
      </c>
      <c r="H431" s="3" t="s">
        <v>58</v>
      </c>
      <c r="I431" s="3" t="s">
        <v>58</v>
      </c>
      <c r="J431" s="3" t="s">
        <v>60</v>
      </c>
      <c r="K431" s="2" t="s">
        <v>5397</v>
      </c>
      <c r="L431" s="2" t="s">
        <v>5398</v>
      </c>
      <c r="M431" s="3" t="s">
        <v>474</v>
      </c>
      <c r="O431" s="3" t="s">
        <v>63</v>
      </c>
      <c r="P431" s="3" t="s">
        <v>1275</v>
      </c>
      <c r="R431" s="3" t="s">
        <v>65</v>
      </c>
      <c r="S431" s="4">
        <v>1</v>
      </c>
      <c r="T431" s="4">
        <v>1</v>
      </c>
      <c r="U431" s="5" t="s">
        <v>5386</v>
      </c>
      <c r="V431" s="5" t="s">
        <v>5386</v>
      </c>
      <c r="W431" s="5" t="s">
        <v>4002</v>
      </c>
      <c r="X431" s="5" t="s">
        <v>4002</v>
      </c>
      <c r="Y431" s="4">
        <v>754</v>
      </c>
      <c r="Z431" s="4">
        <v>670</v>
      </c>
      <c r="AA431" s="4">
        <v>678</v>
      </c>
      <c r="AB431" s="4">
        <v>3</v>
      </c>
      <c r="AC431" s="4">
        <v>5</v>
      </c>
      <c r="AD431" s="4">
        <v>17</v>
      </c>
      <c r="AE431" s="4">
        <v>20</v>
      </c>
      <c r="AF431" s="4">
        <v>7</v>
      </c>
      <c r="AG431" s="4">
        <v>8</v>
      </c>
      <c r="AH431" s="4">
        <v>2</v>
      </c>
      <c r="AI431" s="4">
        <v>2</v>
      </c>
      <c r="AJ431" s="4">
        <v>8</v>
      </c>
      <c r="AK431" s="4">
        <v>8</v>
      </c>
      <c r="AL431" s="4">
        <v>2</v>
      </c>
      <c r="AM431" s="4">
        <v>4</v>
      </c>
      <c r="AN431" s="4">
        <v>0</v>
      </c>
      <c r="AO431" s="4">
        <v>0</v>
      </c>
      <c r="AP431" s="3" t="s">
        <v>58</v>
      </c>
      <c r="AQ431" s="3" t="s">
        <v>68</v>
      </c>
      <c r="AR431" s="6" t="str">
        <f>HYPERLINK("http://catalog.hathitrust.org/Record/001477099","HathiTrust Record")</f>
        <v>HathiTrust Record</v>
      </c>
      <c r="AS431" s="6" t="str">
        <f>HYPERLINK("https://creighton-primo.hosted.exlibrisgroup.com/primo-explore/search?tab=default_tab&amp;search_scope=EVERYTHING&amp;vid=01CRU&amp;lang=en_US&amp;offset=0&amp;query=any,contains,991002561589702656","Catalog Record")</f>
        <v>Catalog Record</v>
      </c>
      <c r="AT431" s="6" t="str">
        <f>HYPERLINK("http://www.worldcat.org/oclc/371822","WorldCat Record")</f>
        <v>WorldCat Record</v>
      </c>
      <c r="AU431" s="3" t="s">
        <v>5399</v>
      </c>
      <c r="AV431" s="3" t="s">
        <v>5400</v>
      </c>
      <c r="AW431" s="3" t="s">
        <v>5401</v>
      </c>
      <c r="AX431" s="3" t="s">
        <v>5401</v>
      </c>
      <c r="AY431" s="3" t="s">
        <v>5402</v>
      </c>
      <c r="AZ431" s="3" t="s">
        <v>73</v>
      </c>
      <c r="BC431" s="3" t="s">
        <v>5403</v>
      </c>
      <c r="BD431" s="3" t="s">
        <v>5404</v>
      </c>
    </row>
    <row r="432" spans="1:56" ht="31.5" customHeight="1" x14ac:dyDescent="0.25">
      <c r="A432" s="7" t="s">
        <v>58</v>
      </c>
      <c r="B432" s="2" t="s">
        <v>5405</v>
      </c>
      <c r="C432" s="2" t="s">
        <v>5406</v>
      </c>
      <c r="D432" s="2" t="s">
        <v>5407</v>
      </c>
      <c r="F432" s="3" t="s">
        <v>58</v>
      </c>
      <c r="G432" s="3" t="s">
        <v>59</v>
      </c>
      <c r="H432" s="3" t="s">
        <v>58</v>
      </c>
      <c r="I432" s="3" t="s">
        <v>58</v>
      </c>
      <c r="J432" s="3" t="s">
        <v>60</v>
      </c>
      <c r="K432" s="2" t="s">
        <v>5408</v>
      </c>
      <c r="L432" s="2" t="s">
        <v>5409</v>
      </c>
      <c r="M432" s="3" t="s">
        <v>5410</v>
      </c>
      <c r="O432" s="3" t="s">
        <v>63</v>
      </c>
      <c r="P432" s="3" t="s">
        <v>1014</v>
      </c>
      <c r="R432" s="3" t="s">
        <v>65</v>
      </c>
      <c r="S432" s="4">
        <v>1</v>
      </c>
      <c r="T432" s="4">
        <v>1</v>
      </c>
      <c r="U432" s="5" t="s">
        <v>5386</v>
      </c>
      <c r="V432" s="5" t="s">
        <v>5386</v>
      </c>
      <c r="W432" s="5" t="s">
        <v>4002</v>
      </c>
      <c r="X432" s="5" t="s">
        <v>4002</v>
      </c>
      <c r="Y432" s="4">
        <v>238</v>
      </c>
      <c r="Z432" s="4">
        <v>224</v>
      </c>
      <c r="AA432" s="4">
        <v>267</v>
      </c>
      <c r="AB432" s="4">
        <v>2</v>
      </c>
      <c r="AC432" s="4">
        <v>2</v>
      </c>
      <c r="AD432" s="4">
        <v>4</v>
      </c>
      <c r="AE432" s="4">
        <v>4</v>
      </c>
      <c r="AF432" s="4">
        <v>1</v>
      </c>
      <c r="AG432" s="4">
        <v>1</v>
      </c>
      <c r="AH432" s="4">
        <v>1</v>
      </c>
      <c r="AI432" s="4">
        <v>1</v>
      </c>
      <c r="AJ432" s="4">
        <v>1</v>
      </c>
      <c r="AK432" s="4">
        <v>1</v>
      </c>
      <c r="AL432" s="4">
        <v>1</v>
      </c>
      <c r="AM432" s="4">
        <v>1</v>
      </c>
      <c r="AN432" s="4">
        <v>0</v>
      </c>
      <c r="AO432" s="4">
        <v>0</v>
      </c>
      <c r="AP432" s="3" t="s">
        <v>58</v>
      </c>
      <c r="AQ432" s="3" t="s">
        <v>68</v>
      </c>
      <c r="AR432" s="6" t="str">
        <f>HYPERLINK("http://catalog.hathitrust.org/Record/001477104","HathiTrust Record")</f>
        <v>HathiTrust Record</v>
      </c>
      <c r="AS432" s="6" t="str">
        <f>HYPERLINK("https://creighton-primo.hosted.exlibrisgroup.com/primo-explore/search?tab=default_tab&amp;search_scope=EVERYTHING&amp;vid=01CRU&amp;lang=en_US&amp;offset=0&amp;query=any,contains,991003783529702656","Catalog Record")</f>
        <v>Catalog Record</v>
      </c>
      <c r="AT432" s="6" t="str">
        <f>HYPERLINK("http://www.worldcat.org/oclc/1498634","WorldCat Record")</f>
        <v>WorldCat Record</v>
      </c>
      <c r="AU432" s="3" t="s">
        <v>5411</v>
      </c>
      <c r="AV432" s="3" t="s">
        <v>5412</v>
      </c>
      <c r="AW432" s="3" t="s">
        <v>5413</v>
      </c>
      <c r="AX432" s="3" t="s">
        <v>5413</v>
      </c>
      <c r="AY432" s="3" t="s">
        <v>5414</v>
      </c>
      <c r="AZ432" s="3" t="s">
        <v>73</v>
      </c>
      <c r="BC432" s="3" t="s">
        <v>5415</v>
      </c>
      <c r="BD432" s="3" t="s">
        <v>5416</v>
      </c>
    </row>
    <row r="433" spans="1:56" ht="31.5" customHeight="1" x14ac:dyDescent="0.25">
      <c r="A433" s="7" t="s">
        <v>58</v>
      </c>
      <c r="B433" s="2" t="s">
        <v>5417</v>
      </c>
      <c r="C433" s="2" t="s">
        <v>5418</v>
      </c>
      <c r="D433" s="2" t="s">
        <v>5419</v>
      </c>
      <c r="F433" s="3" t="s">
        <v>58</v>
      </c>
      <c r="G433" s="3" t="s">
        <v>59</v>
      </c>
      <c r="H433" s="3" t="s">
        <v>58</v>
      </c>
      <c r="I433" s="3" t="s">
        <v>58</v>
      </c>
      <c r="J433" s="3" t="s">
        <v>60</v>
      </c>
      <c r="K433" s="2" t="s">
        <v>5420</v>
      </c>
      <c r="L433" s="2" t="s">
        <v>5421</v>
      </c>
      <c r="M433" s="3" t="s">
        <v>863</v>
      </c>
      <c r="O433" s="3" t="s">
        <v>63</v>
      </c>
      <c r="P433" s="3" t="s">
        <v>64</v>
      </c>
      <c r="Q433" s="2" t="s">
        <v>5422</v>
      </c>
      <c r="R433" s="3" t="s">
        <v>65</v>
      </c>
      <c r="S433" s="4">
        <v>1</v>
      </c>
      <c r="T433" s="4">
        <v>1</v>
      </c>
      <c r="U433" s="5" t="s">
        <v>5423</v>
      </c>
      <c r="V433" s="5" t="s">
        <v>5423</v>
      </c>
      <c r="W433" s="5" t="s">
        <v>3407</v>
      </c>
      <c r="X433" s="5" t="s">
        <v>3407</v>
      </c>
      <c r="Y433" s="4">
        <v>474</v>
      </c>
      <c r="Z433" s="4">
        <v>352</v>
      </c>
      <c r="AA433" s="4">
        <v>358</v>
      </c>
      <c r="AB433" s="4">
        <v>2</v>
      </c>
      <c r="AC433" s="4">
        <v>2</v>
      </c>
      <c r="AD433" s="4">
        <v>14</v>
      </c>
      <c r="AE433" s="4">
        <v>14</v>
      </c>
      <c r="AF433" s="4">
        <v>3</v>
      </c>
      <c r="AG433" s="4">
        <v>3</v>
      </c>
      <c r="AH433" s="4">
        <v>2</v>
      </c>
      <c r="AI433" s="4">
        <v>2</v>
      </c>
      <c r="AJ433" s="4">
        <v>10</v>
      </c>
      <c r="AK433" s="4">
        <v>10</v>
      </c>
      <c r="AL433" s="4">
        <v>1</v>
      </c>
      <c r="AM433" s="4">
        <v>1</v>
      </c>
      <c r="AN433" s="4">
        <v>0</v>
      </c>
      <c r="AO433" s="4">
        <v>0</v>
      </c>
      <c r="AP433" s="3" t="s">
        <v>58</v>
      </c>
      <c r="AQ433" s="3" t="s">
        <v>68</v>
      </c>
      <c r="AR433" s="6" t="str">
        <f>HYPERLINK("http://catalog.hathitrust.org/Record/001477114","HathiTrust Record")</f>
        <v>HathiTrust Record</v>
      </c>
      <c r="AS433" s="6" t="str">
        <f>HYPERLINK("https://creighton-primo.hosted.exlibrisgroup.com/primo-explore/search?tab=default_tab&amp;search_scope=EVERYTHING&amp;vid=01CRU&amp;lang=en_US&amp;offset=0&amp;query=any,contains,991001987989702656","Catalog Record")</f>
        <v>Catalog Record</v>
      </c>
      <c r="AT433" s="6" t="str">
        <f>HYPERLINK("http://www.worldcat.org/oclc/254863","WorldCat Record")</f>
        <v>WorldCat Record</v>
      </c>
      <c r="AU433" s="3" t="s">
        <v>5424</v>
      </c>
      <c r="AV433" s="3" t="s">
        <v>5425</v>
      </c>
      <c r="AW433" s="3" t="s">
        <v>5426</v>
      </c>
      <c r="AX433" s="3" t="s">
        <v>5426</v>
      </c>
      <c r="AY433" s="3" t="s">
        <v>5427</v>
      </c>
      <c r="AZ433" s="3" t="s">
        <v>73</v>
      </c>
      <c r="BB433" s="3" t="s">
        <v>5428</v>
      </c>
      <c r="BC433" s="3" t="s">
        <v>5429</v>
      </c>
      <c r="BD433" s="3" t="s">
        <v>5430</v>
      </c>
    </row>
    <row r="434" spans="1:56" ht="31.5" customHeight="1" x14ac:dyDescent="0.25">
      <c r="A434" s="7" t="s">
        <v>58</v>
      </c>
      <c r="B434" s="2" t="s">
        <v>5431</v>
      </c>
      <c r="C434" s="2" t="s">
        <v>5432</v>
      </c>
      <c r="D434" s="2" t="s">
        <v>5433</v>
      </c>
      <c r="F434" s="3" t="s">
        <v>58</v>
      </c>
      <c r="G434" s="3" t="s">
        <v>59</v>
      </c>
      <c r="H434" s="3" t="s">
        <v>58</v>
      </c>
      <c r="I434" s="3" t="s">
        <v>58</v>
      </c>
      <c r="J434" s="3" t="s">
        <v>60</v>
      </c>
      <c r="K434" s="2" t="s">
        <v>5420</v>
      </c>
      <c r="L434" s="2" t="s">
        <v>1166</v>
      </c>
      <c r="M434" s="3" t="s">
        <v>230</v>
      </c>
      <c r="O434" s="3" t="s">
        <v>63</v>
      </c>
      <c r="P434" s="3" t="s">
        <v>64</v>
      </c>
      <c r="R434" s="3" t="s">
        <v>65</v>
      </c>
      <c r="S434" s="4">
        <v>3</v>
      </c>
      <c r="T434" s="4">
        <v>3</v>
      </c>
      <c r="U434" s="5" t="s">
        <v>5434</v>
      </c>
      <c r="V434" s="5" t="s">
        <v>5434</v>
      </c>
      <c r="W434" s="5" t="s">
        <v>1524</v>
      </c>
      <c r="X434" s="5" t="s">
        <v>1524</v>
      </c>
      <c r="Y434" s="4">
        <v>473</v>
      </c>
      <c r="Z434" s="4">
        <v>341</v>
      </c>
      <c r="AA434" s="4">
        <v>422</v>
      </c>
      <c r="AB434" s="4">
        <v>3</v>
      </c>
      <c r="AC434" s="4">
        <v>3</v>
      </c>
      <c r="AD434" s="4">
        <v>11</v>
      </c>
      <c r="AE434" s="4">
        <v>13</v>
      </c>
      <c r="AF434" s="4">
        <v>2</v>
      </c>
      <c r="AG434" s="4">
        <v>2</v>
      </c>
      <c r="AH434" s="4">
        <v>4</v>
      </c>
      <c r="AI434" s="4">
        <v>4</v>
      </c>
      <c r="AJ434" s="4">
        <v>5</v>
      </c>
      <c r="AK434" s="4">
        <v>7</v>
      </c>
      <c r="AL434" s="4">
        <v>2</v>
      </c>
      <c r="AM434" s="4">
        <v>2</v>
      </c>
      <c r="AN434" s="4">
        <v>0</v>
      </c>
      <c r="AO434" s="4">
        <v>0</v>
      </c>
      <c r="AP434" s="3" t="s">
        <v>58</v>
      </c>
      <c r="AQ434" s="3" t="s">
        <v>68</v>
      </c>
      <c r="AR434" s="6" t="str">
        <f>HYPERLINK("http://catalog.hathitrust.org/Record/000747201","HathiTrust Record")</f>
        <v>HathiTrust Record</v>
      </c>
      <c r="AS434" s="6" t="str">
        <f>HYPERLINK("https://creighton-primo.hosted.exlibrisgroup.com/primo-explore/search?tab=default_tab&amp;search_scope=EVERYTHING&amp;vid=01CRU&amp;lang=en_US&amp;offset=0&amp;query=any,contains,991004394219702656","Catalog Record")</f>
        <v>Catalog Record</v>
      </c>
      <c r="AT434" s="6" t="str">
        <f>HYPERLINK("http://www.worldcat.org/oclc/3274329","WorldCat Record")</f>
        <v>WorldCat Record</v>
      </c>
      <c r="AU434" s="3" t="s">
        <v>5435</v>
      </c>
      <c r="AV434" s="3" t="s">
        <v>5436</v>
      </c>
      <c r="AW434" s="3" t="s">
        <v>5437</v>
      </c>
      <c r="AX434" s="3" t="s">
        <v>5437</v>
      </c>
      <c r="AY434" s="3" t="s">
        <v>5438</v>
      </c>
      <c r="AZ434" s="3" t="s">
        <v>73</v>
      </c>
      <c r="BB434" s="3" t="s">
        <v>5439</v>
      </c>
      <c r="BC434" s="3" t="s">
        <v>5440</v>
      </c>
      <c r="BD434" s="3" t="s">
        <v>5441</v>
      </c>
    </row>
    <row r="435" spans="1:56" ht="31.5" customHeight="1" x14ac:dyDescent="0.25">
      <c r="A435" s="7" t="s">
        <v>58</v>
      </c>
      <c r="B435" s="2" t="s">
        <v>5442</v>
      </c>
      <c r="C435" s="2" t="s">
        <v>5443</v>
      </c>
      <c r="D435" s="2" t="s">
        <v>5444</v>
      </c>
      <c r="F435" s="3" t="s">
        <v>58</v>
      </c>
      <c r="G435" s="3" t="s">
        <v>59</v>
      </c>
      <c r="H435" s="3" t="s">
        <v>58</v>
      </c>
      <c r="I435" s="3" t="s">
        <v>58</v>
      </c>
      <c r="J435" s="3" t="s">
        <v>60</v>
      </c>
      <c r="K435" s="2" t="s">
        <v>5445</v>
      </c>
      <c r="L435" s="2" t="s">
        <v>5446</v>
      </c>
      <c r="M435" s="3" t="s">
        <v>128</v>
      </c>
      <c r="N435" s="2" t="s">
        <v>501</v>
      </c>
      <c r="O435" s="3" t="s">
        <v>63</v>
      </c>
      <c r="P435" s="3" t="s">
        <v>64</v>
      </c>
      <c r="R435" s="3" t="s">
        <v>65</v>
      </c>
      <c r="S435" s="4">
        <v>3</v>
      </c>
      <c r="T435" s="4">
        <v>3</v>
      </c>
      <c r="U435" s="5" t="s">
        <v>5447</v>
      </c>
      <c r="V435" s="5" t="s">
        <v>5447</v>
      </c>
      <c r="W435" s="5" t="s">
        <v>5448</v>
      </c>
      <c r="X435" s="5" t="s">
        <v>5448</v>
      </c>
      <c r="Y435" s="4">
        <v>756</v>
      </c>
      <c r="Z435" s="4">
        <v>713</v>
      </c>
      <c r="AA435" s="4">
        <v>741</v>
      </c>
      <c r="AB435" s="4">
        <v>4</v>
      </c>
      <c r="AC435" s="4">
        <v>5</v>
      </c>
      <c r="AD435" s="4">
        <v>21</v>
      </c>
      <c r="AE435" s="4">
        <v>24</v>
      </c>
      <c r="AF435" s="4">
        <v>8</v>
      </c>
      <c r="AG435" s="4">
        <v>9</v>
      </c>
      <c r="AH435" s="4">
        <v>5</v>
      </c>
      <c r="AI435" s="4">
        <v>5</v>
      </c>
      <c r="AJ435" s="4">
        <v>12</v>
      </c>
      <c r="AK435" s="4">
        <v>13</v>
      </c>
      <c r="AL435" s="4">
        <v>2</v>
      </c>
      <c r="AM435" s="4">
        <v>3</v>
      </c>
      <c r="AN435" s="4">
        <v>0</v>
      </c>
      <c r="AO435" s="4">
        <v>0</v>
      </c>
      <c r="AP435" s="3" t="s">
        <v>58</v>
      </c>
      <c r="AQ435" s="3" t="s">
        <v>68</v>
      </c>
      <c r="AR435" s="6" t="str">
        <f>HYPERLINK("http://catalog.hathitrust.org/Record/002654960","HathiTrust Record")</f>
        <v>HathiTrust Record</v>
      </c>
      <c r="AS435" s="6" t="str">
        <f>HYPERLINK("https://creighton-primo.hosted.exlibrisgroup.com/primo-explore/search?tab=default_tab&amp;search_scope=EVERYTHING&amp;vid=01CRU&amp;lang=en_US&amp;offset=0&amp;query=any,contains,991002128369702656","Catalog Record")</f>
        <v>Catalog Record</v>
      </c>
      <c r="AT435" s="6" t="str">
        <f>HYPERLINK("http://www.worldcat.org/oclc/27265728","WorldCat Record")</f>
        <v>WorldCat Record</v>
      </c>
      <c r="AU435" s="3" t="s">
        <v>5449</v>
      </c>
      <c r="AV435" s="3" t="s">
        <v>5450</v>
      </c>
      <c r="AW435" s="3" t="s">
        <v>5451</v>
      </c>
      <c r="AX435" s="3" t="s">
        <v>5451</v>
      </c>
      <c r="AY435" s="3" t="s">
        <v>5452</v>
      </c>
      <c r="AZ435" s="3" t="s">
        <v>73</v>
      </c>
      <c r="BB435" s="3" t="s">
        <v>5453</v>
      </c>
      <c r="BC435" s="3" t="s">
        <v>5454</v>
      </c>
      <c r="BD435" s="3" t="s">
        <v>5455</v>
      </c>
    </row>
    <row r="436" spans="1:56" ht="31.5" customHeight="1" x14ac:dyDescent="0.25">
      <c r="A436" s="7" t="s">
        <v>58</v>
      </c>
      <c r="B436" s="2" t="s">
        <v>5456</v>
      </c>
      <c r="C436" s="2" t="s">
        <v>5457</v>
      </c>
      <c r="D436" s="2" t="s">
        <v>5458</v>
      </c>
      <c r="F436" s="3" t="s">
        <v>58</v>
      </c>
      <c r="G436" s="3" t="s">
        <v>59</v>
      </c>
      <c r="H436" s="3" t="s">
        <v>58</v>
      </c>
      <c r="I436" s="3" t="s">
        <v>58</v>
      </c>
      <c r="J436" s="3" t="s">
        <v>60</v>
      </c>
      <c r="K436" s="2" t="s">
        <v>2681</v>
      </c>
      <c r="L436" s="2" t="s">
        <v>487</v>
      </c>
      <c r="M436" s="3" t="s">
        <v>97</v>
      </c>
      <c r="O436" s="3" t="s">
        <v>63</v>
      </c>
      <c r="P436" s="3" t="s">
        <v>64</v>
      </c>
      <c r="R436" s="3" t="s">
        <v>65</v>
      </c>
      <c r="S436" s="4">
        <v>2</v>
      </c>
      <c r="T436" s="4">
        <v>2</v>
      </c>
      <c r="U436" s="5" t="s">
        <v>5447</v>
      </c>
      <c r="V436" s="5" t="s">
        <v>5447</v>
      </c>
      <c r="W436" s="5" t="s">
        <v>5459</v>
      </c>
      <c r="X436" s="5" t="s">
        <v>5459</v>
      </c>
      <c r="Y436" s="4">
        <v>654</v>
      </c>
      <c r="Z436" s="4">
        <v>575</v>
      </c>
      <c r="AA436" s="4">
        <v>587</v>
      </c>
      <c r="AB436" s="4">
        <v>4</v>
      </c>
      <c r="AC436" s="4">
        <v>4</v>
      </c>
      <c r="AD436" s="4">
        <v>20</v>
      </c>
      <c r="AE436" s="4">
        <v>21</v>
      </c>
      <c r="AF436" s="4">
        <v>5</v>
      </c>
      <c r="AG436" s="4">
        <v>6</v>
      </c>
      <c r="AH436" s="4">
        <v>5</v>
      </c>
      <c r="AI436" s="4">
        <v>5</v>
      </c>
      <c r="AJ436" s="4">
        <v>13</v>
      </c>
      <c r="AK436" s="4">
        <v>13</v>
      </c>
      <c r="AL436" s="4">
        <v>3</v>
      </c>
      <c r="AM436" s="4">
        <v>3</v>
      </c>
      <c r="AN436" s="4">
        <v>0</v>
      </c>
      <c r="AO436" s="4">
        <v>0</v>
      </c>
      <c r="AP436" s="3" t="s">
        <v>58</v>
      </c>
      <c r="AQ436" s="3" t="s">
        <v>68</v>
      </c>
      <c r="AR436" s="6" t="str">
        <f>HYPERLINK("http://catalog.hathitrust.org/Record/001830994","HathiTrust Record")</f>
        <v>HathiTrust Record</v>
      </c>
      <c r="AS436" s="6" t="str">
        <f>HYPERLINK("https://creighton-primo.hosted.exlibrisgroup.com/primo-explore/search?tab=default_tab&amp;search_scope=EVERYTHING&amp;vid=01CRU&amp;lang=en_US&amp;offset=0&amp;query=any,contains,991001540599702656","Catalog Record")</f>
        <v>Catalog Record</v>
      </c>
      <c r="AT436" s="6" t="str">
        <f>HYPERLINK("http://www.worldcat.org/oclc/20130057","WorldCat Record")</f>
        <v>WorldCat Record</v>
      </c>
      <c r="AU436" s="3" t="s">
        <v>5460</v>
      </c>
      <c r="AV436" s="3" t="s">
        <v>5461</v>
      </c>
      <c r="AW436" s="3" t="s">
        <v>5462</v>
      </c>
      <c r="AX436" s="3" t="s">
        <v>5462</v>
      </c>
      <c r="AY436" s="3" t="s">
        <v>5463</v>
      </c>
      <c r="AZ436" s="3" t="s">
        <v>73</v>
      </c>
      <c r="BB436" s="3" t="s">
        <v>5464</v>
      </c>
      <c r="BC436" s="3" t="s">
        <v>5465</v>
      </c>
      <c r="BD436" s="3" t="s">
        <v>5466</v>
      </c>
    </row>
    <row r="437" spans="1:56" ht="31.5" customHeight="1" x14ac:dyDescent="0.25">
      <c r="A437" s="7" t="s">
        <v>58</v>
      </c>
      <c r="B437" s="2" t="s">
        <v>5467</v>
      </c>
      <c r="C437" s="2" t="s">
        <v>5468</v>
      </c>
      <c r="D437" s="2" t="s">
        <v>5469</v>
      </c>
      <c r="F437" s="3" t="s">
        <v>58</v>
      </c>
      <c r="G437" s="3" t="s">
        <v>59</v>
      </c>
      <c r="H437" s="3" t="s">
        <v>58</v>
      </c>
      <c r="I437" s="3" t="s">
        <v>58</v>
      </c>
      <c r="J437" s="3" t="s">
        <v>60</v>
      </c>
      <c r="K437" s="2" t="s">
        <v>5470</v>
      </c>
      <c r="L437" s="2" t="s">
        <v>5471</v>
      </c>
      <c r="M437" s="3" t="s">
        <v>537</v>
      </c>
      <c r="O437" s="3" t="s">
        <v>63</v>
      </c>
      <c r="P437" s="3" t="s">
        <v>64</v>
      </c>
      <c r="R437" s="3" t="s">
        <v>65</v>
      </c>
      <c r="S437" s="4">
        <v>5</v>
      </c>
      <c r="T437" s="4">
        <v>5</v>
      </c>
      <c r="U437" s="5" t="s">
        <v>5447</v>
      </c>
      <c r="V437" s="5" t="s">
        <v>5447</v>
      </c>
      <c r="W437" s="5" t="s">
        <v>5472</v>
      </c>
      <c r="X437" s="5" t="s">
        <v>5472</v>
      </c>
      <c r="Y437" s="4">
        <v>758</v>
      </c>
      <c r="Z437" s="4">
        <v>631</v>
      </c>
      <c r="AA437" s="4">
        <v>645</v>
      </c>
      <c r="AB437" s="4">
        <v>4</v>
      </c>
      <c r="AC437" s="4">
        <v>5</v>
      </c>
      <c r="AD437" s="4">
        <v>23</v>
      </c>
      <c r="AE437" s="4">
        <v>23</v>
      </c>
      <c r="AF437" s="4">
        <v>7</v>
      </c>
      <c r="AG437" s="4">
        <v>7</v>
      </c>
      <c r="AH437" s="4">
        <v>6</v>
      </c>
      <c r="AI437" s="4">
        <v>6</v>
      </c>
      <c r="AJ437" s="4">
        <v>13</v>
      </c>
      <c r="AK437" s="4">
        <v>13</v>
      </c>
      <c r="AL437" s="4">
        <v>2</v>
      </c>
      <c r="AM437" s="4">
        <v>2</v>
      </c>
      <c r="AN437" s="4">
        <v>0</v>
      </c>
      <c r="AO437" s="4">
        <v>0</v>
      </c>
      <c r="AP437" s="3" t="s">
        <v>58</v>
      </c>
      <c r="AQ437" s="3" t="s">
        <v>58</v>
      </c>
      <c r="AS437" s="6" t="str">
        <f>HYPERLINK("https://creighton-primo.hosted.exlibrisgroup.com/primo-explore/search?tab=default_tab&amp;search_scope=EVERYTHING&amp;vid=01CRU&amp;lang=en_US&amp;offset=0&amp;query=any,contains,991001741049702656","Catalog Record")</f>
        <v>Catalog Record</v>
      </c>
      <c r="AT437" s="6" t="str">
        <f>HYPERLINK("http://www.worldcat.org/oclc/22004718","WorldCat Record")</f>
        <v>WorldCat Record</v>
      </c>
      <c r="AU437" s="3" t="s">
        <v>5473</v>
      </c>
      <c r="AV437" s="3" t="s">
        <v>5474</v>
      </c>
      <c r="AW437" s="3" t="s">
        <v>5475</v>
      </c>
      <c r="AX437" s="3" t="s">
        <v>5475</v>
      </c>
      <c r="AY437" s="3" t="s">
        <v>5476</v>
      </c>
      <c r="AZ437" s="3" t="s">
        <v>73</v>
      </c>
      <c r="BB437" s="3" t="s">
        <v>5477</v>
      </c>
      <c r="BC437" s="3" t="s">
        <v>5478</v>
      </c>
      <c r="BD437" s="3" t="s">
        <v>5479</v>
      </c>
    </row>
    <row r="438" spans="1:56" ht="31.5" customHeight="1" x14ac:dyDescent="0.25">
      <c r="A438" s="7" t="s">
        <v>58</v>
      </c>
      <c r="B438" s="2" t="s">
        <v>5480</v>
      </c>
      <c r="C438" s="2" t="s">
        <v>5481</v>
      </c>
      <c r="D438" s="2" t="s">
        <v>5482</v>
      </c>
      <c r="F438" s="3" t="s">
        <v>58</v>
      </c>
      <c r="G438" s="3" t="s">
        <v>59</v>
      </c>
      <c r="H438" s="3" t="s">
        <v>58</v>
      </c>
      <c r="I438" s="3" t="s">
        <v>58</v>
      </c>
      <c r="J438" s="3" t="s">
        <v>60</v>
      </c>
      <c r="K438" s="2" t="s">
        <v>5483</v>
      </c>
      <c r="L438" s="2" t="s">
        <v>5484</v>
      </c>
      <c r="M438" s="3" t="s">
        <v>633</v>
      </c>
      <c r="O438" s="3" t="s">
        <v>63</v>
      </c>
      <c r="P438" s="3" t="s">
        <v>186</v>
      </c>
      <c r="Q438" s="2" t="s">
        <v>5485</v>
      </c>
      <c r="R438" s="3" t="s">
        <v>65</v>
      </c>
      <c r="S438" s="4">
        <v>3</v>
      </c>
      <c r="T438" s="4">
        <v>3</v>
      </c>
      <c r="U438" s="5" t="s">
        <v>5447</v>
      </c>
      <c r="V438" s="5" t="s">
        <v>5447</v>
      </c>
      <c r="W438" s="5" t="s">
        <v>5486</v>
      </c>
      <c r="X438" s="5" t="s">
        <v>5486</v>
      </c>
      <c r="Y438" s="4">
        <v>27</v>
      </c>
      <c r="Z438" s="4">
        <v>15</v>
      </c>
      <c r="AA438" s="4">
        <v>248</v>
      </c>
      <c r="AB438" s="4">
        <v>1</v>
      </c>
      <c r="AC438" s="4">
        <v>3</v>
      </c>
      <c r="AD438" s="4">
        <v>1</v>
      </c>
      <c r="AE438" s="4">
        <v>17</v>
      </c>
      <c r="AF438" s="4">
        <v>0</v>
      </c>
      <c r="AG438" s="4">
        <v>3</v>
      </c>
      <c r="AH438" s="4">
        <v>0</v>
      </c>
      <c r="AI438" s="4">
        <v>6</v>
      </c>
      <c r="AJ438" s="4">
        <v>1</v>
      </c>
      <c r="AK438" s="4">
        <v>8</v>
      </c>
      <c r="AL438" s="4">
        <v>0</v>
      </c>
      <c r="AM438" s="4">
        <v>2</v>
      </c>
      <c r="AN438" s="4">
        <v>0</v>
      </c>
      <c r="AO438" s="4">
        <v>0</v>
      </c>
      <c r="AP438" s="3" t="s">
        <v>58</v>
      </c>
      <c r="AQ438" s="3" t="s">
        <v>58</v>
      </c>
      <c r="AS438" s="6" t="str">
        <f>HYPERLINK("https://creighton-primo.hosted.exlibrisgroup.com/primo-explore/search?tab=default_tab&amp;search_scope=EVERYTHING&amp;vid=01CRU&amp;lang=en_US&amp;offset=0&amp;query=any,contains,991002684339702656","Catalog Record")</f>
        <v>Catalog Record</v>
      </c>
      <c r="AT438" s="6" t="str">
        <f>HYPERLINK("http://www.worldcat.org/oclc/35083518","WorldCat Record")</f>
        <v>WorldCat Record</v>
      </c>
      <c r="AU438" s="3" t="s">
        <v>5487</v>
      </c>
      <c r="AV438" s="3" t="s">
        <v>5488</v>
      </c>
      <c r="AW438" s="3" t="s">
        <v>5489</v>
      </c>
      <c r="AX438" s="3" t="s">
        <v>5489</v>
      </c>
      <c r="AY438" s="3" t="s">
        <v>5490</v>
      </c>
      <c r="AZ438" s="3" t="s">
        <v>73</v>
      </c>
      <c r="BC438" s="3" t="s">
        <v>5491</v>
      </c>
      <c r="BD438" s="3" t="s">
        <v>5492</v>
      </c>
    </row>
    <row r="439" spans="1:56" ht="31.5" customHeight="1" x14ac:dyDescent="0.25">
      <c r="A439" s="7" t="s">
        <v>58</v>
      </c>
      <c r="B439" s="2" t="s">
        <v>5493</v>
      </c>
      <c r="C439" s="2" t="s">
        <v>5494</v>
      </c>
      <c r="D439" s="2" t="s">
        <v>5495</v>
      </c>
      <c r="F439" s="3" t="s">
        <v>58</v>
      </c>
      <c r="G439" s="3" t="s">
        <v>59</v>
      </c>
      <c r="H439" s="3" t="s">
        <v>58</v>
      </c>
      <c r="I439" s="3" t="s">
        <v>58</v>
      </c>
      <c r="J439" s="3" t="s">
        <v>60</v>
      </c>
      <c r="K439" s="2" t="s">
        <v>2544</v>
      </c>
      <c r="L439" s="2" t="s">
        <v>5496</v>
      </c>
      <c r="M439" s="3" t="s">
        <v>185</v>
      </c>
      <c r="N439" s="2" t="s">
        <v>501</v>
      </c>
      <c r="O439" s="3" t="s">
        <v>63</v>
      </c>
      <c r="P439" s="3" t="s">
        <v>64</v>
      </c>
      <c r="R439" s="3" t="s">
        <v>65</v>
      </c>
      <c r="S439" s="4">
        <v>3</v>
      </c>
      <c r="T439" s="4">
        <v>3</v>
      </c>
      <c r="U439" s="5" t="s">
        <v>5447</v>
      </c>
      <c r="V439" s="5" t="s">
        <v>5447</v>
      </c>
      <c r="W439" s="5" t="s">
        <v>3407</v>
      </c>
      <c r="X439" s="5" t="s">
        <v>3407</v>
      </c>
      <c r="Y439" s="4">
        <v>805</v>
      </c>
      <c r="Z439" s="4">
        <v>746</v>
      </c>
      <c r="AA439" s="4">
        <v>750</v>
      </c>
      <c r="AB439" s="4">
        <v>5</v>
      </c>
      <c r="AC439" s="4">
        <v>5</v>
      </c>
      <c r="AD439" s="4">
        <v>25</v>
      </c>
      <c r="AE439" s="4">
        <v>25</v>
      </c>
      <c r="AF439" s="4">
        <v>11</v>
      </c>
      <c r="AG439" s="4">
        <v>11</v>
      </c>
      <c r="AH439" s="4">
        <v>6</v>
      </c>
      <c r="AI439" s="4">
        <v>6</v>
      </c>
      <c r="AJ439" s="4">
        <v>11</v>
      </c>
      <c r="AK439" s="4">
        <v>11</v>
      </c>
      <c r="AL439" s="4">
        <v>4</v>
      </c>
      <c r="AM439" s="4">
        <v>4</v>
      </c>
      <c r="AN439" s="4">
        <v>0</v>
      </c>
      <c r="AO439" s="4">
        <v>0</v>
      </c>
      <c r="AP439" s="3" t="s">
        <v>58</v>
      </c>
      <c r="AQ439" s="3" t="s">
        <v>58</v>
      </c>
      <c r="AS439" s="6" t="str">
        <f>HYPERLINK("https://creighton-primo.hosted.exlibrisgroup.com/primo-explore/search?tab=default_tab&amp;search_scope=EVERYTHING&amp;vid=01CRU&amp;lang=en_US&amp;offset=0&amp;query=any,contains,991001194729702656","Catalog Record")</f>
        <v>Catalog Record</v>
      </c>
      <c r="AT439" s="6" t="str">
        <f>HYPERLINK("http://www.worldcat.org/oclc/17265362","WorldCat Record")</f>
        <v>WorldCat Record</v>
      </c>
      <c r="AU439" s="3" t="s">
        <v>5497</v>
      </c>
      <c r="AV439" s="3" t="s">
        <v>5498</v>
      </c>
      <c r="AW439" s="3" t="s">
        <v>5499</v>
      </c>
      <c r="AX439" s="3" t="s">
        <v>5499</v>
      </c>
      <c r="AY439" s="3" t="s">
        <v>5500</v>
      </c>
      <c r="AZ439" s="3" t="s">
        <v>73</v>
      </c>
      <c r="BB439" s="3" t="s">
        <v>5501</v>
      </c>
      <c r="BC439" s="3" t="s">
        <v>5502</v>
      </c>
      <c r="BD439" s="3" t="s">
        <v>5503</v>
      </c>
    </row>
    <row r="440" spans="1:56" ht="31.5" customHeight="1" x14ac:dyDescent="0.25">
      <c r="A440" s="7" t="s">
        <v>58</v>
      </c>
      <c r="B440" s="2" t="s">
        <v>5504</v>
      </c>
      <c r="C440" s="2" t="s">
        <v>5505</v>
      </c>
      <c r="D440" s="2" t="s">
        <v>5506</v>
      </c>
      <c r="F440" s="3" t="s">
        <v>58</v>
      </c>
      <c r="G440" s="3" t="s">
        <v>59</v>
      </c>
      <c r="H440" s="3" t="s">
        <v>58</v>
      </c>
      <c r="I440" s="3" t="s">
        <v>58</v>
      </c>
      <c r="J440" s="3" t="s">
        <v>60</v>
      </c>
      <c r="K440" s="2" t="s">
        <v>5507</v>
      </c>
      <c r="L440" s="2" t="s">
        <v>4159</v>
      </c>
      <c r="M440" s="3" t="s">
        <v>1195</v>
      </c>
      <c r="O440" s="3" t="s">
        <v>63</v>
      </c>
      <c r="P440" s="3" t="s">
        <v>129</v>
      </c>
      <c r="R440" s="3" t="s">
        <v>65</v>
      </c>
      <c r="S440" s="4">
        <v>4</v>
      </c>
      <c r="T440" s="4">
        <v>4</v>
      </c>
      <c r="U440" s="5" t="s">
        <v>5508</v>
      </c>
      <c r="V440" s="5" t="s">
        <v>5508</v>
      </c>
      <c r="W440" s="5" t="s">
        <v>5509</v>
      </c>
      <c r="X440" s="5" t="s">
        <v>5509</v>
      </c>
      <c r="Y440" s="4">
        <v>511</v>
      </c>
      <c r="Z440" s="4">
        <v>420</v>
      </c>
      <c r="AA440" s="4">
        <v>511</v>
      </c>
      <c r="AB440" s="4">
        <v>3</v>
      </c>
      <c r="AC440" s="4">
        <v>4</v>
      </c>
      <c r="AD440" s="4">
        <v>10</v>
      </c>
      <c r="AE440" s="4">
        <v>16</v>
      </c>
      <c r="AF440" s="4">
        <v>2</v>
      </c>
      <c r="AG440" s="4">
        <v>4</v>
      </c>
      <c r="AH440" s="4">
        <v>0</v>
      </c>
      <c r="AI440" s="4">
        <v>3</v>
      </c>
      <c r="AJ440" s="4">
        <v>6</v>
      </c>
      <c r="AK440" s="4">
        <v>8</v>
      </c>
      <c r="AL440" s="4">
        <v>2</v>
      </c>
      <c r="AM440" s="4">
        <v>3</v>
      </c>
      <c r="AN440" s="4">
        <v>0</v>
      </c>
      <c r="AO440" s="4">
        <v>0</v>
      </c>
      <c r="AP440" s="3" t="s">
        <v>58</v>
      </c>
      <c r="AQ440" s="3" t="s">
        <v>58</v>
      </c>
      <c r="AS440" s="6" t="str">
        <f>HYPERLINK("https://creighton-primo.hosted.exlibrisgroup.com/primo-explore/search?tab=default_tab&amp;search_scope=EVERYTHING&amp;vid=01CRU&amp;lang=en_US&amp;offset=0&amp;query=any,contains,991002225569702656","Catalog Record")</f>
        <v>Catalog Record</v>
      </c>
      <c r="AT440" s="6" t="str">
        <f>HYPERLINK("http://www.worldcat.org/oclc/291423","WorldCat Record")</f>
        <v>WorldCat Record</v>
      </c>
      <c r="AU440" s="3" t="s">
        <v>5510</v>
      </c>
      <c r="AV440" s="3" t="s">
        <v>5511</v>
      </c>
      <c r="AW440" s="3" t="s">
        <v>5512</v>
      </c>
      <c r="AX440" s="3" t="s">
        <v>5512</v>
      </c>
      <c r="AY440" s="3" t="s">
        <v>5513</v>
      </c>
      <c r="AZ440" s="3" t="s">
        <v>73</v>
      </c>
      <c r="BC440" s="3" t="s">
        <v>5514</v>
      </c>
      <c r="BD440" s="3" t="s">
        <v>5515</v>
      </c>
    </row>
    <row r="441" spans="1:56" ht="31.5" customHeight="1" x14ac:dyDescent="0.25">
      <c r="A441" s="7" t="s">
        <v>58</v>
      </c>
      <c r="B441" s="2" t="s">
        <v>5516</v>
      </c>
      <c r="C441" s="2" t="s">
        <v>5517</v>
      </c>
      <c r="D441" s="2" t="s">
        <v>5518</v>
      </c>
      <c r="F441" s="3" t="s">
        <v>58</v>
      </c>
      <c r="G441" s="3" t="s">
        <v>59</v>
      </c>
      <c r="H441" s="3" t="s">
        <v>58</v>
      </c>
      <c r="I441" s="3" t="s">
        <v>58</v>
      </c>
      <c r="J441" s="3" t="s">
        <v>60</v>
      </c>
      <c r="K441" s="2" t="s">
        <v>5519</v>
      </c>
      <c r="L441" s="2" t="s">
        <v>3118</v>
      </c>
      <c r="M441" s="3" t="s">
        <v>2117</v>
      </c>
      <c r="O441" s="3" t="s">
        <v>63</v>
      </c>
      <c r="P441" s="3" t="s">
        <v>129</v>
      </c>
      <c r="Q441" s="2" t="s">
        <v>3228</v>
      </c>
      <c r="R441" s="3" t="s">
        <v>65</v>
      </c>
      <c r="S441" s="4">
        <v>1</v>
      </c>
      <c r="T441" s="4">
        <v>1</v>
      </c>
      <c r="U441" s="5" t="s">
        <v>5520</v>
      </c>
      <c r="V441" s="5" t="s">
        <v>5520</v>
      </c>
      <c r="W441" s="5" t="s">
        <v>3407</v>
      </c>
      <c r="X441" s="5" t="s">
        <v>3407</v>
      </c>
      <c r="Y441" s="4">
        <v>648</v>
      </c>
      <c r="Z441" s="4">
        <v>539</v>
      </c>
      <c r="AA441" s="4">
        <v>547</v>
      </c>
      <c r="AB441" s="4">
        <v>6</v>
      </c>
      <c r="AC441" s="4">
        <v>6</v>
      </c>
      <c r="AD441" s="4">
        <v>16</v>
      </c>
      <c r="AE441" s="4">
        <v>16</v>
      </c>
      <c r="AF441" s="4">
        <v>4</v>
      </c>
      <c r="AG441" s="4">
        <v>4</v>
      </c>
      <c r="AH441" s="4">
        <v>3</v>
      </c>
      <c r="AI441" s="4">
        <v>3</v>
      </c>
      <c r="AJ441" s="4">
        <v>6</v>
      </c>
      <c r="AK441" s="4">
        <v>6</v>
      </c>
      <c r="AL441" s="4">
        <v>4</v>
      </c>
      <c r="AM441" s="4">
        <v>4</v>
      </c>
      <c r="AN441" s="4">
        <v>0</v>
      </c>
      <c r="AO441" s="4">
        <v>0</v>
      </c>
      <c r="AP441" s="3" t="s">
        <v>58</v>
      </c>
      <c r="AQ441" s="3" t="s">
        <v>68</v>
      </c>
      <c r="AR441" s="6" t="str">
        <f>HYPERLINK("http://catalog.hathitrust.org/Record/000298267","HathiTrust Record")</f>
        <v>HathiTrust Record</v>
      </c>
      <c r="AS441" s="6" t="str">
        <f>HYPERLINK("https://creighton-primo.hosted.exlibrisgroup.com/primo-explore/search?tab=default_tab&amp;search_scope=EVERYTHING&amp;vid=01CRU&amp;lang=en_US&amp;offset=0&amp;query=any,contains,991004721269702656","Catalog Record")</f>
        <v>Catalog Record</v>
      </c>
      <c r="AT441" s="6" t="str">
        <f>HYPERLINK("http://www.worldcat.org/oclc/4804560","WorldCat Record")</f>
        <v>WorldCat Record</v>
      </c>
      <c r="AU441" s="3" t="s">
        <v>5521</v>
      </c>
      <c r="AV441" s="3" t="s">
        <v>5522</v>
      </c>
      <c r="AW441" s="3" t="s">
        <v>5523</v>
      </c>
      <c r="AX441" s="3" t="s">
        <v>5523</v>
      </c>
      <c r="AY441" s="3" t="s">
        <v>5524</v>
      </c>
      <c r="AZ441" s="3" t="s">
        <v>73</v>
      </c>
      <c r="BB441" s="3" t="s">
        <v>5525</v>
      </c>
      <c r="BC441" s="3" t="s">
        <v>5526</v>
      </c>
      <c r="BD441" s="3" t="s">
        <v>5527</v>
      </c>
    </row>
    <row r="442" spans="1:56" ht="31.5" customHeight="1" x14ac:dyDescent="0.25">
      <c r="A442" s="7" t="s">
        <v>58</v>
      </c>
      <c r="B442" s="2" t="s">
        <v>5528</v>
      </c>
      <c r="C442" s="2" t="s">
        <v>5529</v>
      </c>
      <c r="D442" s="2" t="s">
        <v>5530</v>
      </c>
      <c r="F442" s="3" t="s">
        <v>58</v>
      </c>
      <c r="G442" s="3" t="s">
        <v>59</v>
      </c>
      <c r="H442" s="3" t="s">
        <v>58</v>
      </c>
      <c r="I442" s="3" t="s">
        <v>58</v>
      </c>
      <c r="J442" s="3" t="s">
        <v>60</v>
      </c>
      <c r="K442" s="2" t="s">
        <v>5531</v>
      </c>
      <c r="L442" s="2" t="s">
        <v>5532</v>
      </c>
      <c r="M442" s="3" t="s">
        <v>2546</v>
      </c>
      <c r="O442" s="3" t="s">
        <v>63</v>
      </c>
      <c r="P442" s="3" t="s">
        <v>186</v>
      </c>
      <c r="R442" s="3" t="s">
        <v>65</v>
      </c>
      <c r="S442" s="4">
        <v>2</v>
      </c>
      <c r="T442" s="4">
        <v>2</v>
      </c>
      <c r="U442" s="5" t="s">
        <v>5533</v>
      </c>
      <c r="V442" s="5" t="s">
        <v>5533</v>
      </c>
      <c r="W442" s="5" t="s">
        <v>5533</v>
      </c>
      <c r="X442" s="5" t="s">
        <v>5533</v>
      </c>
      <c r="Y442" s="4">
        <v>792</v>
      </c>
      <c r="Z442" s="4">
        <v>699</v>
      </c>
      <c r="AA442" s="4">
        <v>719</v>
      </c>
      <c r="AB442" s="4">
        <v>7</v>
      </c>
      <c r="AC442" s="4">
        <v>7</v>
      </c>
      <c r="AD442" s="4">
        <v>25</v>
      </c>
      <c r="AE442" s="4">
        <v>25</v>
      </c>
      <c r="AF442" s="4">
        <v>10</v>
      </c>
      <c r="AG442" s="4">
        <v>10</v>
      </c>
      <c r="AH442" s="4">
        <v>5</v>
      </c>
      <c r="AI442" s="4">
        <v>5</v>
      </c>
      <c r="AJ442" s="4">
        <v>10</v>
      </c>
      <c r="AK442" s="4">
        <v>10</v>
      </c>
      <c r="AL442" s="4">
        <v>5</v>
      </c>
      <c r="AM442" s="4">
        <v>5</v>
      </c>
      <c r="AN442" s="4">
        <v>0</v>
      </c>
      <c r="AO442" s="4">
        <v>0</v>
      </c>
      <c r="AP442" s="3" t="s">
        <v>58</v>
      </c>
      <c r="AQ442" s="3" t="s">
        <v>58</v>
      </c>
      <c r="AS442" s="6" t="str">
        <f>HYPERLINK("https://creighton-primo.hosted.exlibrisgroup.com/primo-explore/search?tab=default_tab&amp;search_scope=EVERYTHING&amp;vid=01CRU&amp;lang=en_US&amp;offset=0&amp;query=any,contains,991003744939702656","Catalog Record")</f>
        <v>Catalog Record</v>
      </c>
      <c r="AT442" s="6" t="str">
        <f>HYPERLINK("http://www.worldcat.org/oclc/44613139","WorldCat Record")</f>
        <v>WorldCat Record</v>
      </c>
      <c r="AU442" s="3" t="s">
        <v>5534</v>
      </c>
      <c r="AV442" s="3" t="s">
        <v>5535</v>
      </c>
      <c r="AW442" s="3" t="s">
        <v>5536</v>
      </c>
      <c r="AX442" s="3" t="s">
        <v>5536</v>
      </c>
      <c r="AY442" s="3" t="s">
        <v>5537</v>
      </c>
      <c r="AZ442" s="3" t="s">
        <v>73</v>
      </c>
      <c r="BB442" s="3" t="s">
        <v>5538</v>
      </c>
      <c r="BC442" s="3" t="s">
        <v>5539</v>
      </c>
      <c r="BD442" s="3" t="s">
        <v>5540</v>
      </c>
    </row>
    <row r="443" spans="1:56" ht="31.5" customHeight="1" x14ac:dyDescent="0.25">
      <c r="A443" s="7" t="s">
        <v>58</v>
      </c>
      <c r="B443" s="2" t="s">
        <v>5541</v>
      </c>
      <c r="C443" s="2" t="s">
        <v>5542</v>
      </c>
      <c r="D443" s="2" t="s">
        <v>5543</v>
      </c>
      <c r="F443" s="3" t="s">
        <v>58</v>
      </c>
      <c r="G443" s="3" t="s">
        <v>59</v>
      </c>
      <c r="H443" s="3" t="s">
        <v>58</v>
      </c>
      <c r="I443" s="3" t="s">
        <v>58</v>
      </c>
      <c r="J443" s="3" t="s">
        <v>60</v>
      </c>
      <c r="K443" s="2" t="s">
        <v>314</v>
      </c>
      <c r="L443" s="2" t="s">
        <v>5544</v>
      </c>
      <c r="M443" s="3" t="s">
        <v>97</v>
      </c>
      <c r="N443" s="2" t="s">
        <v>345</v>
      </c>
      <c r="O443" s="3" t="s">
        <v>63</v>
      </c>
      <c r="P443" s="3" t="s">
        <v>64</v>
      </c>
      <c r="R443" s="3" t="s">
        <v>65</v>
      </c>
      <c r="S443" s="4">
        <v>2</v>
      </c>
      <c r="T443" s="4">
        <v>2</v>
      </c>
      <c r="U443" s="5" t="s">
        <v>5520</v>
      </c>
      <c r="V443" s="5" t="s">
        <v>5520</v>
      </c>
      <c r="W443" s="5" t="s">
        <v>1509</v>
      </c>
      <c r="X443" s="5" t="s">
        <v>1509</v>
      </c>
      <c r="Y443" s="4">
        <v>704</v>
      </c>
      <c r="Z443" s="4">
        <v>678</v>
      </c>
      <c r="AA443" s="4">
        <v>691</v>
      </c>
      <c r="AB443" s="4">
        <v>5</v>
      </c>
      <c r="AC443" s="4">
        <v>5</v>
      </c>
      <c r="AD443" s="4">
        <v>15</v>
      </c>
      <c r="AE443" s="4">
        <v>15</v>
      </c>
      <c r="AF443" s="4">
        <v>5</v>
      </c>
      <c r="AG443" s="4">
        <v>5</v>
      </c>
      <c r="AH443" s="4">
        <v>5</v>
      </c>
      <c r="AI443" s="4">
        <v>5</v>
      </c>
      <c r="AJ443" s="4">
        <v>7</v>
      </c>
      <c r="AK443" s="4">
        <v>7</v>
      </c>
      <c r="AL443" s="4">
        <v>3</v>
      </c>
      <c r="AM443" s="4">
        <v>3</v>
      </c>
      <c r="AN443" s="4">
        <v>0</v>
      </c>
      <c r="AO443" s="4">
        <v>0</v>
      </c>
      <c r="AP443" s="3" t="s">
        <v>58</v>
      </c>
      <c r="AQ443" s="3" t="s">
        <v>58</v>
      </c>
      <c r="AS443" s="6" t="str">
        <f>HYPERLINK("https://creighton-primo.hosted.exlibrisgroup.com/primo-explore/search?tab=default_tab&amp;search_scope=EVERYTHING&amp;vid=01CRU&amp;lang=en_US&amp;offset=0&amp;query=any,contains,991001318299702656","Catalog Record")</f>
        <v>Catalog Record</v>
      </c>
      <c r="AT443" s="6" t="str">
        <f>HYPERLINK("http://www.worldcat.org/oclc/18192054","WorldCat Record")</f>
        <v>WorldCat Record</v>
      </c>
      <c r="AU443" s="3" t="s">
        <v>5545</v>
      </c>
      <c r="AV443" s="3" t="s">
        <v>5546</v>
      </c>
      <c r="AW443" s="3" t="s">
        <v>5547</v>
      </c>
      <c r="AX443" s="3" t="s">
        <v>5547</v>
      </c>
      <c r="AY443" s="3" t="s">
        <v>5548</v>
      </c>
      <c r="AZ443" s="3" t="s">
        <v>73</v>
      </c>
      <c r="BB443" s="3" t="s">
        <v>5549</v>
      </c>
      <c r="BC443" s="3" t="s">
        <v>5550</v>
      </c>
      <c r="BD443" s="3" t="s">
        <v>5551</v>
      </c>
    </row>
    <row r="444" spans="1:56" ht="31.5" customHeight="1" x14ac:dyDescent="0.25">
      <c r="A444" s="7" t="s">
        <v>58</v>
      </c>
      <c r="B444" s="2" t="s">
        <v>5552</v>
      </c>
      <c r="C444" s="2" t="s">
        <v>5553</v>
      </c>
      <c r="D444" s="2" t="s">
        <v>5554</v>
      </c>
      <c r="F444" s="3" t="s">
        <v>58</v>
      </c>
      <c r="G444" s="3" t="s">
        <v>59</v>
      </c>
      <c r="H444" s="3" t="s">
        <v>58</v>
      </c>
      <c r="I444" s="3" t="s">
        <v>58</v>
      </c>
      <c r="J444" s="3" t="s">
        <v>60</v>
      </c>
      <c r="K444" s="2" t="s">
        <v>5555</v>
      </c>
      <c r="L444" s="2" t="s">
        <v>5556</v>
      </c>
      <c r="M444" s="3" t="s">
        <v>3933</v>
      </c>
      <c r="O444" s="3" t="s">
        <v>63</v>
      </c>
      <c r="P444" s="3" t="s">
        <v>64</v>
      </c>
      <c r="Q444" s="2" t="s">
        <v>5557</v>
      </c>
      <c r="R444" s="3" t="s">
        <v>65</v>
      </c>
      <c r="S444" s="4">
        <v>3</v>
      </c>
      <c r="T444" s="4">
        <v>3</v>
      </c>
      <c r="U444" s="5" t="s">
        <v>4084</v>
      </c>
      <c r="V444" s="5" t="s">
        <v>4084</v>
      </c>
      <c r="W444" s="5" t="s">
        <v>4542</v>
      </c>
      <c r="X444" s="5" t="s">
        <v>4542</v>
      </c>
      <c r="Y444" s="4">
        <v>102</v>
      </c>
      <c r="Z444" s="4">
        <v>96</v>
      </c>
      <c r="AA444" s="4">
        <v>148</v>
      </c>
      <c r="AB444" s="4">
        <v>1</v>
      </c>
      <c r="AC444" s="4">
        <v>2</v>
      </c>
      <c r="AD444" s="4">
        <v>3</v>
      </c>
      <c r="AE444" s="4">
        <v>4</v>
      </c>
      <c r="AF444" s="4">
        <v>1</v>
      </c>
      <c r="AG444" s="4">
        <v>1</v>
      </c>
      <c r="AH444" s="4">
        <v>2</v>
      </c>
      <c r="AI444" s="4">
        <v>2</v>
      </c>
      <c r="AJ444" s="4">
        <v>0</v>
      </c>
      <c r="AK444" s="4">
        <v>0</v>
      </c>
      <c r="AL444" s="4">
        <v>0</v>
      </c>
      <c r="AM444" s="4">
        <v>1</v>
      </c>
      <c r="AN444" s="4">
        <v>0</v>
      </c>
      <c r="AO444" s="4">
        <v>0</v>
      </c>
      <c r="AP444" s="3" t="s">
        <v>68</v>
      </c>
      <c r="AQ444" s="3" t="s">
        <v>58</v>
      </c>
      <c r="AR444" s="6" t="str">
        <f>HYPERLINK("http://catalog.hathitrust.org/Record/001991634","HathiTrust Record")</f>
        <v>HathiTrust Record</v>
      </c>
      <c r="AS444" s="6" t="str">
        <f>HYPERLINK("https://creighton-primo.hosted.exlibrisgroup.com/primo-explore/search?tab=default_tab&amp;search_scope=EVERYTHING&amp;vid=01CRU&amp;lang=en_US&amp;offset=0&amp;query=any,contains,991004203799702656","Catalog Record")</f>
        <v>Catalog Record</v>
      </c>
      <c r="AT444" s="6" t="str">
        <f>HYPERLINK("http://www.worldcat.org/oclc/2658757","WorldCat Record")</f>
        <v>WorldCat Record</v>
      </c>
      <c r="AU444" s="3" t="s">
        <v>5558</v>
      </c>
      <c r="AV444" s="3" t="s">
        <v>5559</v>
      </c>
      <c r="AW444" s="3" t="s">
        <v>5560</v>
      </c>
      <c r="AX444" s="3" t="s">
        <v>5560</v>
      </c>
      <c r="AY444" s="3" t="s">
        <v>5561</v>
      </c>
      <c r="AZ444" s="3" t="s">
        <v>73</v>
      </c>
      <c r="BC444" s="3" t="s">
        <v>5562</v>
      </c>
      <c r="BD444" s="3" t="s">
        <v>5563</v>
      </c>
    </row>
    <row r="445" spans="1:56" ht="31.5" customHeight="1" x14ac:dyDescent="0.25">
      <c r="A445" s="7" t="s">
        <v>58</v>
      </c>
      <c r="B445" s="2" t="s">
        <v>5564</v>
      </c>
      <c r="C445" s="2" t="s">
        <v>5565</v>
      </c>
      <c r="D445" s="2" t="s">
        <v>5566</v>
      </c>
      <c r="F445" s="3" t="s">
        <v>58</v>
      </c>
      <c r="G445" s="3" t="s">
        <v>59</v>
      </c>
      <c r="H445" s="3" t="s">
        <v>58</v>
      </c>
      <c r="I445" s="3" t="s">
        <v>58</v>
      </c>
      <c r="J445" s="3" t="s">
        <v>60</v>
      </c>
      <c r="K445" s="2" t="s">
        <v>2518</v>
      </c>
      <c r="L445" s="2" t="s">
        <v>5567</v>
      </c>
      <c r="M445" s="3" t="s">
        <v>230</v>
      </c>
      <c r="O445" s="3" t="s">
        <v>63</v>
      </c>
      <c r="P445" s="3" t="s">
        <v>444</v>
      </c>
      <c r="R445" s="3" t="s">
        <v>65</v>
      </c>
      <c r="S445" s="4">
        <v>4</v>
      </c>
      <c r="T445" s="4">
        <v>4</v>
      </c>
      <c r="U445" s="5" t="s">
        <v>5568</v>
      </c>
      <c r="V445" s="5" t="s">
        <v>5568</v>
      </c>
      <c r="W445" s="5" t="s">
        <v>3853</v>
      </c>
      <c r="X445" s="5" t="s">
        <v>3853</v>
      </c>
      <c r="Y445" s="4">
        <v>737</v>
      </c>
      <c r="Z445" s="4">
        <v>629</v>
      </c>
      <c r="AA445" s="4">
        <v>634</v>
      </c>
      <c r="AB445" s="4">
        <v>5</v>
      </c>
      <c r="AC445" s="4">
        <v>5</v>
      </c>
      <c r="AD445" s="4">
        <v>18</v>
      </c>
      <c r="AE445" s="4">
        <v>18</v>
      </c>
      <c r="AF445" s="4">
        <v>7</v>
      </c>
      <c r="AG445" s="4">
        <v>7</v>
      </c>
      <c r="AH445" s="4">
        <v>5</v>
      </c>
      <c r="AI445" s="4">
        <v>5</v>
      </c>
      <c r="AJ445" s="4">
        <v>10</v>
      </c>
      <c r="AK445" s="4">
        <v>10</v>
      </c>
      <c r="AL445" s="4">
        <v>3</v>
      </c>
      <c r="AM445" s="4">
        <v>3</v>
      </c>
      <c r="AN445" s="4">
        <v>0</v>
      </c>
      <c r="AO445" s="4">
        <v>0</v>
      </c>
      <c r="AP445" s="3" t="s">
        <v>58</v>
      </c>
      <c r="AQ445" s="3" t="s">
        <v>58</v>
      </c>
      <c r="AS445" s="6" t="str">
        <f>HYPERLINK("https://creighton-primo.hosted.exlibrisgroup.com/primo-explore/search?tab=default_tab&amp;search_scope=EVERYTHING&amp;vid=01CRU&amp;lang=en_US&amp;offset=0&amp;query=any,contains,991004555639702656","Catalog Record")</f>
        <v>Catalog Record</v>
      </c>
      <c r="AT445" s="6" t="str">
        <f>HYPERLINK("http://www.worldcat.org/oclc/3966146","WorldCat Record")</f>
        <v>WorldCat Record</v>
      </c>
      <c r="AU445" s="3" t="s">
        <v>5569</v>
      </c>
      <c r="AV445" s="3" t="s">
        <v>5570</v>
      </c>
      <c r="AW445" s="3" t="s">
        <v>5571</v>
      </c>
      <c r="AX445" s="3" t="s">
        <v>5571</v>
      </c>
      <c r="AY445" s="3" t="s">
        <v>5572</v>
      </c>
      <c r="AZ445" s="3" t="s">
        <v>73</v>
      </c>
      <c r="BB445" s="3" t="s">
        <v>5573</v>
      </c>
      <c r="BC445" s="3" t="s">
        <v>5574</v>
      </c>
      <c r="BD445" s="3" t="s">
        <v>5575</v>
      </c>
    </row>
    <row r="446" spans="1:56" ht="31.5" customHeight="1" x14ac:dyDescent="0.25">
      <c r="A446" s="7" t="s">
        <v>58</v>
      </c>
      <c r="B446" s="2" t="s">
        <v>5576</v>
      </c>
      <c r="C446" s="2" t="s">
        <v>5577</v>
      </c>
      <c r="D446" s="2" t="s">
        <v>5578</v>
      </c>
      <c r="F446" s="3" t="s">
        <v>58</v>
      </c>
      <c r="G446" s="3" t="s">
        <v>59</v>
      </c>
      <c r="H446" s="3" t="s">
        <v>58</v>
      </c>
      <c r="I446" s="3" t="s">
        <v>58</v>
      </c>
      <c r="J446" s="3" t="s">
        <v>60</v>
      </c>
      <c r="K446" s="2" t="s">
        <v>5579</v>
      </c>
      <c r="L446" s="2" t="s">
        <v>5580</v>
      </c>
      <c r="M446" s="3" t="s">
        <v>201</v>
      </c>
      <c r="O446" s="3" t="s">
        <v>63</v>
      </c>
      <c r="P446" s="3" t="s">
        <v>5581</v>
      </c>
      <c r="R446" s="3" t="s">
        <v>65</v>
      </c>
      <c r="S446" s="4">
        <v>4</v>
      </c>
      <c r="T446" s="4">
        <v>4</v>
      </c>
      <c r="U446" s="5" t="s">
        <v>4084</v>
      </c>
      <c r="V446" s="5" t="s">
        <v>4084</v>
      </c>
      <c r="W446" s="5" t="s">
        <v>4542</v>
      </c>
      <c r="X446" s="5" t="s">
        <v>4542</v>
      </c>
      <c r="Y446" s="4">
        <v>410</v>
      </c>
      <c r="Z446" s="4">
        <v>370</v>
      </c>
      <c r="AA446" s="4">
        <v>374</v>
      </c>
      <c r="AB446" s="4">
        <v>5</v>
      </c>
      <c r="AC446" s="4">
        <v>5</v>
      </c>
      <c r="AD446" s="4">
        <v>9</v>
      </c>
      <c r="AE446" s="4">
        <v>9</v>
      </c>
      <c r="AF446" s="4">
        <v>2</v>
      </c>
      <c r="AG446" s="4">
        <v>2</v>
      </c>
      <c r="AH446" s="4">
        <v>1</v>
      </c>
      <c r="AI446" s="4">
        <v>1</v>
      </c>
      <c r="AJ446" s="4">
        <v>4</v>
      </c>
      <c r="AK446" s="4">
        <v>4</v>
      </c>
      <c r="AL446" s="4">
        <v>4</v>
      </c>
      <c r="AM446" s="4">
        <v>4</v>
      </c>
      <c r="AN446" s="4">
        <v>0</v>
      </c>
      <c r="AO446" s="4">
        <v>0</v>
      </c>
      <c r="AP446" s="3" t="s">
        <v>58</v>
      </c>
      <c r="AQ446" s="3" t="s">
        <v>58</v>
      </c>
      <c r="AS446" s="6" t="str">
        <f>HYPERLINK("https://creighton-primo.hosted.exlibrisgroup.com/primo-explore/search?tab=default_tab&amp;search_scope=EVERYTHING&amp;vid=01CRU&amp;lang=en_US&amp;offset=0&amp;query=any,contains,991003946119702656","Catalog Record")</f>
        <v>Catalog Record</v>
      </c>
      <c r="AT446" s="6" t="str">
        <f>HYPERLINK("http://www.worldcat.org/oclc/1945428","WorldCat Record")</f>
        <v>WorldCat Record</v>
      </c>
      <c r="AU446" s="3" t="s">
        <v>5582</v>
      </c>
      <c r="AV446" s="3" t="s">
        <v>5583</v>
      </c>
      <c r="AW446" s="3" t="s">
        <v>5584</v>
      </c>
      <c r="AX446" s="3" t="s">
        <v>5584</v>
      </c>
      <c r="AY446" s="3" t="s">
        <v>5585</v>
      </c>
      <c r="AZ446" s="3" t="s">
        <v>73</v>
      </c>
      <c r="BB446" s="3" t="s">
        <v>5586</v>
      </c>
      <c r="BC446" s="3" t="s">
        <v>5587</v>
      </c>
      <c r="BD446" s="3" t="s">
        <v>5588</v>
      </c>
    </row>
    <row r="447" spans="1:56" ht="31.5" customHeight="1" x14ac:dyDescent="0.25">
      <c r="A447" s="7" t="s">
        <v>58</v>
      </c>
      <c r="B447" s="2" t="s">
        <v>5589</v>
      </c>
      <c r="C447" s="2" t="s">
        <v>5590</v>
      </c>
      <c r="D447" s="2" t="s">
        <v>5591</v>
      </c>
      <c r="F447" s="3" t="s">
        <v>58</v>
      </c>
      <c r="G447" s="3" t="s">
        <v>59</v>
      </c>
      <c r="H447" s="3" t="s">
        <v>58</v>
      </c>
      <c r="I447" s="3" t="s">
        <v>58</v>
      </c>
      <c r="J447" s="3" t="s">
        <v>60</v>
      </c>
      <c r="K447" s="2" t="s">
        <v>4552</v>
      </c>
      <c r="L447" s="2" t="s">
        <v>5592</v>
      </c>
      <c r="M447" s="3" t="s">
        <v>185</v>
      </c>
      <c r="O447" s="3" t="s">
        <v>63</v>
      </c>
      <c r="P447" s="3" t="s">
        <v>64</v>
      </c>
      <c r="R447" s="3" t="s">
        <v>65</v>
      </c>
      <c r="S447" s="4">
        <v>7</v>
      </c>
      <c r="T447" s="4">
        <v>7</v>
      </c>
      <c r="U447" s="5" t="s">
        <v>5593</v>
      </c>
      <c r="V447" s="5" t="s">
        <v>5593</v>
      </c>
      <c r="W447" s="5" t="s">
        <v>5594</v>
      </c>
      <c r="X447" s="5" t="s">
        <v>5594</v>
      </c>
      <c r="Y447" s="4">
        <v>439</v>
      </c>
      <c r="Z447" s="4">
        <v>415</v>
      </c>
      <c r="AA447" s="4">
        <v>517</v>
      </c>
      <c r="AB447" s="4">
        <v>1</v>
      </c>
      <c r="AC447" s="4">
        <v>1</v>
      </c>
      <c r="AD447" s="4">
        <v>2</v>
      </c>
      <c r="AE447" s="4">
        <v>8</v>
      </c>
      <c r="AF447" s="4">
        <v>1</v>
      </c>
      <c r="AG447" s="4">
        <v>5</v>
      </c>
      <c r="AH447" s="4">
        <v>2</v>
      </c>
      <c r="AI447" s="4">
        <v>3</v>
      </c>
      <c r="AJ447" s="4">
        <v>0</v>
      </c>
      <c r="AK447" s="4">
        <v>2</v>
      </c>
      <c r="AL447" s="4">
        <v>0</v>
      </c>
      <c r="AM447" s="4">
        <v>0</v>
      </c>
      <c r="AN447" s="4">
        <v>0</v>
      </c>
      <c r="AO447" s="4">
        <v>0</v>
      </c>
      <c r="AP447" s="3" t="s">
        <v>58</v>
      </c>
      <c r="AQ447" s="3" t="s">
        <v>68</v>
      </c>
      <c r="AR447" s="6" t="str">
        <f>HYPERLINK("http://catalog.hathitrust.org/Record/001074582","HathiTrust Record")</f>
        <v>HathiTrust Record</v>
      </c>
      <c r="AS447" s="6" t="str">
        <f>HYPERLINK("https://creighton-primo.hosted.exlibrisgroup.com/primo-explore/search?tab=default_tab&amp;search_scope=EVERYTHING&amp;vid=01CRU&amp;lang=en_US&amp;offset=0&amp;query=any,contains,991001335909702656","Catalog Record")</f>
        <v>Catalog Record</v>
      </c>
      <c r="AT447" s="6" t="str">
        <f>HYPERLINK("http://www.worldcat.org/oclc/18351570","WorldCat Record")</f>
        <v>WorldCat Record</v>
      </c>
      <c r="AU447" s="3" t="s">
        <v>5595</v>
      </c>
      <c r="AV447" s="3" t="s">
        <v>5596</v>
      </c>
      <c r="AW447" s="3" t="s">
        <v>5597</v>
      </c>
      <c r="AX447" s="3" t="s">
        <v>5597</v>
      </c>
      <c r="AY447" s="3" t="s">
        <v>5598</v>
      </c>
      <c r="AZ447" s="3" t="s">
        <v>73</v>
      </c>
      <c r="BB447" s="3" t="s">
        <v>5599</v>
      </c>
      <c r="BC447" s="3" t="s">
        <v>5600</v>
      </c>
      <c r="BD447" s="3" t="s">
        <v>5601</v>
      </c>
    </row>
    <row r="448" spans="1:56" ht="31.5" customHeight="1" x14ac:dyDescent="0.25">
      <c r="A448" s="7" t="s">
        <v>58</v>
      </c>
      <c r="B448" s="2" t="s">
        <v>5602</v>
      </c>
      <c r="C448" s="2" t="s">
        <v>5603</v>
      </c>
      <c r="D448" s="2" t="s">
        <v>5604</v>
      </c>
      <c r="F448" s="3" t="s">
        <v>58</v>
      </c>
      <c r="G448" s="3" t="s">
        <v>59</v>
      </c>
      <c r="H448" s="3" t="s">
        <v>58</v>
      </c>
      <c r="I448" s="3" t="s">
        <v>58</v>
      </c>
      <c r="J448" s="3" t="s">
        <v>60</v>
      </c>
      <c r="K448" s="2" t="s">
        <v>5605</v>
      </c>
      <c r="L448" s="2" t="s">
        <v>1194</v>
      </c>
      <c r="M448" s="3" t="s">
        <v>1195</v>
      </c>
      <c r="O448" s="3" t="s">
        <v>63</v>
      </c>
      <c r="P448" s="3" t="s">
        <v>64</v>
      </c>
      <c r="R448" s="3" t="s">
        <v>65</v>
      </c>
      <c r="S448" s="4">
        <v>11</v>
      </c>
      <c r="T448" s="4">
        <v>11</v>
      </c>
      <c r="U448" s="5" t="s">
        <v>4084</v>
      </c>
      <c r="V448" s="5" t="s">
        <v>4084</v>
      </c>
      <c r="W448" s="5" t="s">
        <v>5606</v>
      </c>
      <c r="X448" s="5" t="s">
        <v>5606</v>
      </c>
      <c r="Y448" s="4">
        <v>1096</v>
      </c>
      <c r="Z448" s="4">
        <v>1009</v>
      </c>
      <c r="AA448" s="4">
        <v>1175</v>
      </c>
      <c r="AB448" s="4">
        <v>7</v>
      </c>
      <c r="AC448" s="4">
        <v>8</v>
      </c>
      <c r="AD448" s="4">
        <v>25</v>
      </c>
      <c r="AE448" s="4">
        <v>28</v>
      </c>
      <c r="AF448" s="4">
        <v>7</v>
      </c>
      <c r="AG448" s="4">
        <v>9</v>
      </c>
      <c r="AH448" s="4">
        <v>4</v>
      </c>
      <c r="AI448" s="4">
        <v>5</v>
      </c>
      <c r="AJ448" s="4">
        <v>13</v>
      </c>
      <c r="AK448" s="4">
        <v>14</v>
      </c>
      <c r="AL448" s="4">
        <v>6</v>
      </c>
      <c r="AM448" s="4">
        <v>7</v>
      </c>
      <c r="AN448" s="4">
        <v>0</v>
      </c>
      <c r="AO448" s="4">
        <v>0</v>
      </c>
      <c r="AP448" s="3" t="s">
        <v>58</v>
      </c>
      <c r="AQ448" s="3" t="s">
        <v>68</v>
      </c>
      <c r="AR448" s="6" t="str">
        <f>HYPERLINK("http://catalog.hathitrust.org/Record/000450593","HathiTrust Record")</f>
        <v>HathiTrust Record</v>
      </c>
      <c r="AS448" s="6" t="str">
        <f>HYPERLINK("https://creighton-primo.hosted.exlibrisgroup.com/primo-explore/search?tab=default_tab&amp;search_scope=EVERYTHING&amp;vid=01CRU&amp;lang=en_US&amp;offset=0&amp;query=any,contains,991003087669702656","Catalog Record")</f>
        <v>Catalog Record</v>
      </c>
      <c r="AT448" s="6" t="str">
        <f>HYPERLINK("http://www.worldcat.org/oclc/637940","WorldCat Record")</f>
        <v>WorldCat Record</v>
      </c>
      <c r="AU448" s="3" t="s">
        <v>5607</v>
      </c>
      <c r="AV448" s="3" t="s">
        <v>5608</v>
      </c>
      <c r="AW448" s="3" t="s">
        <v>5609</v>
      </c>
      <c r="AX448" s="3" t="s">
        <v>5609</v>
      </c>
      <c r="AY448" s="3" t="s">
        <v>5610</v>
      </c>
      <c r="AZ448" s="3" t="s">
        <v>73</v>
      </c>
      <c r="BC448" s="3" t="s">
        <v>5611</v>
      </c>
      <c r="BD448" s="3" t="s">
        <v>5612</v>
      </c>
    </row>
    <row r="449" spans="1:56" ht="31.5" customHeight="1" x14ac:dyDescent="0.25">
      <c r="A449" s="7" t="s">
        <v>58</v>
      </c>
      <c r="B449" s="2" t="s">
        <v>5613</v>
      </c>
      <c r="C449" s="2" t="s">
        <v>5614</v>
      </c>
      <c r="D449" s="2" t="s">
        <v>5615</v>
      </c>
      <c r="F449" s="3" t="s">
        <v>58</v>
      </c>
      <c r="G449" s="3" t="s">
        <v>59</v>
      </c>
      <c r="H449" s="3" t="s">
        <v>58</v>
      </c>
      <c r="I449" s="3" t="s">
        <v>58</v>
      </c>
      <c r="J449" s="3" t="s">
        <v>60</v>
      </c>
      <c r="K449" s="2" t="s">
        <v>5616</v>
      </c>
      <c r="L449" s="2" t="s">
        <v>5160</v>
      </c>
      <c r="M449" s="3" t="s">
        <v>633</v>
      </c>
      <c r="O449" s="3" t="s">
        <v>63</v>
      </c>
      <c r="P449" s="3" t="s">
        <v>186</v>
      </c>
      <c r="R449" s="3" t="s">
        <v>65</v>
      </c>
      <c r="S449" s="4">
        <v>7</v>
      </c>
      <c r="T449" s="4">
        <v>7</v>
      </c>
      <c r="U449" s="5" t="s">
        <v>4463</v>
      </c>
      <c r="V449" s="5" t="s">
        <v>4463</v>
      </c>
      <c r="W449" s="5" t="s">
        <v>5617</v>
      </c>
      <c r="X449" s="5" t="s">
        <v>5617</v>
      </c>
      <c r="Y449" s="4">
        <v>778</v>
      </c>
      <c r="Z449" s="4">
        <v>664</v>
      </c>
      <c r="AA449" s="4">
        <v>669</v>
      </c>
      <c r="AB449" s="4">
        <v>5</v>
      </c>
      <c r="AC449" s="4">
        <v>5</v>
      </c>
      <c r="AD449" s="4">
        <v>16</v>
      </c>
      <c r="AE449" s="4">
        <v>16</v>
      </c>
      <c r="AF449" s="4">
        <v>5</v>
      </c>
      <c r="AG449" s="4">
        <v>5</v>
      </c>
      <c r="AH449" s="4">
        <v>3</v>
      </c>
      <c r="AI449" s="4">
        <v>3</v>
      </c>
      <c r="AJ449" s="4">
        <v>10</v>
      </c>
      <c r="AK449" s="4">
        <v>10</v>
      </c>
      <c r="AL449" s="4">
        <v>2</v>
      </c>
      <c r="AM449" s="4">
        <v>2</v>
      </c>
      <c r="AN449" s="4">
        <v>0</v>
      </c>
      <c r="AO449" s="4">
        <v>0</v>
      </c>
      <c r="AP449" s="3" t="s">
        <v>58</v>
      </c>
      <c r="AQ449" s="3" t="s">
        <v>58</v>
      </c>
      <c r="AS449" s="6" t="str">
        <f>HYPERLINK("https://creighton-primo.hosted.exlibrisgroup.com/primo-explore/search?tab=default_tab&amp;search_scope=EVERYTHING&amp;vid=01CRU&amp;lang=en_US&amp;offset=0&amp;query=any,contains,991002306119702656","Catalog Record")</f>
        <v>Catalog Record</v>
      </c>
      <c r="AT449" s="6" t="str">
        <f>HYPERLINK("http://www.worldcat.org/oclc/29910221","WorldCat Record")</f>
        <v>WorldCat Record</v>
      </c>
      <c r="AU449" s="3" t="s">
        <v>5618</v>
      </c>
      <c r="AV449" s="3" t="s">
        <v>5619</v>
      </c>
      <c r="AW449" s="3" t="s">
        <v>5620</v>
      </c>
      <c r="AX449" s="3" t="s">
        <v>5620</v>
      </c>
      <c r="AY449" s="3" t="s">
        <v>5621</v>
      </c>
      <c r="AZ449" s="3" t="s">
        <v>73</v>
      </c>
      <c r="BB449" s="3" t="s">
        <v>5622</v>
      </c>
      <c r="BC449" s="3" t="s">
        <v>5623</v>
      </c>
      <c r="BD449" s="3" t="s">
        <v>5624</v>
      </c>
    </row>
    <row r="450" spans="1:56" ht="31.5" customHeight="1" x14ac:dyDescent="0.25">
      <c r="A450" s="7" t="s">
        <v>58</v>
      </c>
      <c r="B450" s="2" t="s">
        <v>5625</v>
      </c>
      <c r="C450" s="2" t="s">
        <v>5626</v>
      </c>
      <c r="D450" s="2" t="s">
        <v>5627</v>
      </c>
      <c r="F450" s="3" t="s">
        <v>58</v>
      </c>
      <c r="G450" s="3" t="s">
        <v>59</v>
      </c>
      <c r="H450" s="3" t="s">
        <v>58</v>
      </c>
      <c r="I450" s="3" t="s">
        <v>58</v>
      </c>
      <c r="J450" s="3" t="s">
        <v>60</v>
      </c>
      <c r="K450" s="2" t="s">
        <v>5628</v>
      </c>
      <c r="L450" s="2" t="s">
        <v>5629</v>
      </c>
      <c r="M450" s="3" t="s">
        <v>3999</v>
      </c>
      <c r="O450" s="3" t="s">
        <v>5630</v>
      </c>
      <c r="P450" s="3" t="s">
        <v>98</v>
      </c>
      <c r="R450" s="3" t="s">
        <v>65</v>
      </c>
      <c r="S450" s="4">
        <v>6</v>
      </c>
      <c r="T450" s="4">
        <v>6</v>
      </c>
      <c r="U450" s="5" t="s">
        <v>5631</v>
      </c>
      <c r="V450" s="5" t="s">
        <v>5631</v>
      </c>
      <c r="W450" s="5" t="s">
        <v>5632</v>
      </c>
      <c r="X450" s="5" t="s">
        <v>5632</v>
      </c>
      <c r="Y450" s="4">
        <v>58</v>
      </c>
      <c r="Z450" s="4">
        <v>35</v>
      </c>
      <c r="AA450" s="4">
        <v>122</v>
      </c>
      <c r="AB450" s="4">
        <v>1</v>
      </c>
      <c r="AC450" s="4">
        <v>1</v>
      </c>
      <c r="AD450" s="4">
        <v>2</v>
      </c>
      <c r="AE450" s="4">
        <v>2</v>
      </c>
      <c r="AF450" s="4">
        <v>0</v>
      </c>
      <c r="AG450" s="4">
        <v>0</v>
      </c>
      <c r="AH450" s="4">
        <v>0</v>
      </c>
      <c r="AI450" s="4">
        <v>0</v>
      </c>
      <c r="AJ450" s="4">
        <v>2</v>
      </c>
      <c r="AK450" s="4">
        <v>2</v>
      </c>
      <c r="AL450" s="4">
        <v>0</v>
      </c>
      <c r="AM450" s="4">
        <v>0</v>
      </c>
      <c r="AN450" s="4">
        <v>0</v>
      </c>
      <c r="AO450" s="4">
        <v>0</v>
      </c>
      <c r="AP450" s="3" t="s">
        <v>58</v>
      </c>
      <c r="AQ450" s="3" t="s">
        <v>68</v>
      </c>
      <c r="AR450" s="6" t="str">
        <f>HYPERLINK("http://catalog.hathitrust.org/Record/001477154","HathiTrust Record")</f>
        <v>HathiTrust Record</v>
      </c>
      <c r="AS450" s="6" t="str">
        <f>HYPERLINK("https://creighton-primo.hosted.exlibrisgroup.com/primo-explore/search?tab=default_tab&amp;search_scope=EVERYTHING&amp;vid=01CRU&amp;lang=en_US&amp;offset=0&amp;query=any,contains,991004953469702656","Catalog Record")</f>
        <v>Catalog Record</v>
      </c>
      <c r="AT450" s="6" t="str">
        <f>HYPERLINK("http://www.worldcat.org/oclc/6260261","WorldCat Record")</f>
        <v>WorldCat Record</v>
      </c>
      <c r="AU450" s="3" t="s">
        <v>5633</v>
      </c>
      <c r="AV450" s="3" t="s">
        <v>5634</v>
      </c>
      <c r="AW450" s="3" t="s">
        <v>5635</v>
      </c>
      <c r="AX450" s="3" t="s">
        <v>5635</v>
      </c>
      <c r="AY450" s="3" t="s">
        <v>5636</v>
      </c>
      <c r="AZ450" s="3" t="s">
        <v>73</v>
      </c>
      <c r="BC450" s="3" t="s">
        <v>5637</v>
      </c>
      <c r="BD450" s="3" t="s">
        <v>5638</v>
      </c>
    </row>
    <row r="451" spans="1:56" ht="31.5" customHeight="1" x14ac:dyDescent="0.25">
      <c r="A451" s="7" t="s">
        <v>58</v>
      </c>
      <c r="B451" s="2" t="s">
        <v>5639</v>
      </c>
      <c r="C451" s="2" t="s">
        <v>5640</v>
      </c>
      <c r="D451" s="2" t="s">
        <v>5641</v>
      </c>
      <c r="F451" s="3" t="s">
        <v>58</v>
      </c>
      <c r="G451" s="3" t="s">
        <v>59</v>
      </c>
      <c r="H451" s="3" t="s">
        <v>58</v>
      </c>
      <c r="I451" s="3" t="s">
        <v>58</v>
      </c>
      <c r="J451" s="3" t="s">
        <v>60</v>
      </c>
      <c r="K451" s="2" t="s">
        <v>5642</v>
      </c>
      <c r="L451" s="2" t="s">
        <v>5643</v>
      </c>
      <c r="M451" s="3" t="s">
        <v>443</v>
      </c>
      <c r="O451" s="3" t="s">
        <v>5644</v>
      </c>
      <c r="P451" s="3" t="s">
        <v>973</v>
      </c>
      <c r="Q451" s="2" t="s">
        <v>5645</v>
      </c>
      <c r="R451" s="3" t="s">
        <v>65</v>
      </c>
      <c r="S451" s="4">
        <v>3</v>
      </c>
      <c r="T451" s="4">
        <v>3</v>
      </c>
      <c r="U451" s="5" t="s">
        <v>5646</v>
      </c>
      <c r="V451" s="5" t="s">
        <v>5646</v>
      </c>
      <c r="W451" s="5" t="s">
        <v>331</v>
      </c>
      <c r="X451" s="5" t="s">
        <v>331</v>
      </c>
      <c r="Y451" s="4">
        <v>101</v>
      </c>
      <c r="Z451" s="4">
        <v>49</v>
      </c>
      <c r="AA451" s="4">
        <v>51</v>
      </c>
      <c r="AB451" s="4">
        <v>2</v>
      </c>
      <c r="AC451" s="4">
        <v>2</v>
      </c>
      <c r="AD451" s="4">
        <v>4</v>
      </c>
      <c r="AE451" s="4">
        <v>4</v>
      </c>
      <c r="AF451" s="4">
        <v>0</v>
      </c>
      <c r="AG451" s="4">
        <v>0</v>
      </c>
      <c r="AH451" s="4">
        <v>1</v>
      </c>
      <c r="AI451" s="4">
        <v>1</v>
      </c>
      <c r="AJ451" s="4">
        <v>3</v>
      </c>
      <c r="AK451" s="4">
        <v>3</v>
      </c>
      <c r="AL451" s="4">
        <v>1</v>
      </c>
      <c r="AM451" s="4">
        <v>1</v>
      </c>
      <c r="AN451" s="4">
        <v>0</v>
      </c>
      <c r="AO451" s="4">
        <v>0</v>
      </c>
      <c r="AP451" s="3" t="s">
        <v>58</v>
      </c>
      <c r="AQ451" s="3" t="s">
        <v>68</v>
      </c>
      <c r="AR451" s="6" t="str">
        <f>HYPERLINK("http://catalog.hathitrust.org/Record/006121401","HathiTrust Record")</f>
        <v>HathiTrust Record</v>
      </c>
      <c r="AS451" s="6" t="str">
        <f>HYPERLINK("https://creighton-primo.hosted.exlibrisgroup.com/primo-explore/search?tab=default_tab&amp;search_scope=EVERYTHING&amp;vid=01CRU&amp;lang=en_US&amp;offset=0&amp;query=any,contains,991004644349702656","Catalog Record")</f>
        <v>Catalog Record</v>
      </c>
      <c r="AT451" s="6" t="str">
        <f>HYPERLINK("http://www.worldcat.org/oclc/4489655","WorldCat Record")</f>
        <v>WorldCat Record</v>
      </c>
      <c r="AU451" s="3" t="s">
        <v>5647</v>
      </c>
      <c r="AV451" s="3" t="s">
        <v>5648</v>
      </c>
      <c r="AW451" s="3" t="s">
        <v>5649</v>
      </c>
      <c r="AX451" s="3" t="s">
        <v>5649</v>
      </c>
      <c r="AY451" s="3" t="s">
        <v>5650</v>
      </c>
      <c r="AZ451" s="3" t="s">
        <v>73</v>
      </c>
      <c r="BC451" s="3" t="s">
        <v>5651</v>
      </c>
      <c r="BD451" s="3" t="s">
        <v>5652</v>
      </c>
    </row>
    <row r="452" spans="1:56" ht="31.5" customHeight="1" x14ac:dyDescent="0.25">
      <c r="A452" s="7" t="s">
        <v>58</v>
      </c>
      <c r="B452" s="2" t="s">
        <v>5653</v>
      </c>
      <c r="C452" s="2" t="s">
        <v>5654</v>
      </c>
      <c r="D452" s="2" t="s">
        <v>5655</v>
      </c>
      <c r="F452" s="3" t="s">
        <v>58</v>
      </c>
      <c r="G452" s="3" t="s">
        <v>59</v>
      </c>
      <c r="H452" s="3" t="s">
        <v>58</v>
      </c>
      <c r="I452" s="3" t="s">
        <v>58</v>
      </c>
      <c r="J452" s="3" t="s">
        <v>60</v>
      </c>
      <c r="K452" s="2" t="s">
        <v>5656</v>
      </c>
      <c r="L452" s="2" t="s">
        <v>5657</v>
      </c>
      <c r="M452" s="3" t="s">
        <v>863</v>
      </c>
      <c r="O452" s="3" t="s">
        <v>63</v>
      </c>
      <c r="P452" s="3" t="s">
        <v>796</v>
      </c>
      <c r="R452" s="3" t="s">
        <v>65</v>
      </c>
      <c r="S452" s="4">
        <v>26</v>
      </c>
      <c r="T452" s="4">
        <v>26</v>
      </c>
      <c r="U452" s="5" t="s">
        <v>5658</v>
      </c>
      <c r="V452" s="5" t="s">
        <v>5658</v>
      </c>
      <c r="W452" s="5" t="s">
        <v>5659</v>
      </c>
      <c r="X452" s="5" t="s">
        <v>5659</v>
      </c>
      <c r="Y452" s="4">
        <v>86</v>
      </c>
      <c r="Z452" s="4">
        <v>81</v>
      </c>
      <c r="AA452" s="4">
        <v>539</v>
      </c>
      <c r="AB452" s="4">
        <v>1</v>
      </c>
      <c r="AC452" s="4">
        <v>5</v>
      </c>
      <c r="AD452" s="4">
        <v>2</v>
      </c>
      <c r="AE452" s="4">
        <v>11</v>
      </c>
      <c r="AF452" s="4">
        <v>1</v>
      </c>
      <c r="AG452" s="4">
        <v>4</v>
      </c>
      <c r="AH452" s="4">
        <v>0</v>
      </c>
      <c r="AI452" s="4">
        <v>3</v>
      </c>
      <c r="AJ452" s="4">
        <v>2</v>
      </c>
      <c r="AK452" s="4">
        <v>5</v>
      </c>
      <c r="AL452" s="4">
        <v>0</v>
      </c>
      <c r="AM452" s="4">
        <v>2</v>
      </c>
      <c r="AN452" s="4">
        <v>0</v>
      </c>
      <c r="AO452" s="4">
        <v>0</v>
      </c>
      <c r="AP452" s="3" t="s">
        <v>58</v>
      </c>
      <c r="AQ452" s="3" t="s">
        <v>58</v>
      </c>
      <c r="AS452" s="6" t="str">
        <f>HYPERLINK("https://creighton-primo.hosted.exlibrisgroup.com/primo-explore/search?tab=default_tab&amp;search_scope=EVERYTHING&amp;vid=01CRU&amp;lang=en_US&amp;offset=0&amp;query=any,contains,991003245729702656","Catalog Record")</f>
        <v>Catalog Record</v>
      </c>
      <c r="AT452" s="6" t="str">
        <f>HYPERLINK("http://www.worldcat.org/oclc/769478","WorldCat Record")</f>
        <v>WorldCat Record</v>
      </c>
      <c r="AU452" s="3" t="s">
        <v>5660</v>
      </c>
      <c r="AV452" s="3" t="s">
        <v>5661</v>
      </c>
      <c r="AW452" s="3" t="s">
        <v>5662</v>
      </c>
      <c r="AX452" s="3" t="s">
        <v>5662</v>
      </c>
      <c r="AY452" s="3" t="s">
        <v>5663</v>
      </c>
      <c r="AZ452" s="3" t="s">
        <v>73</v>
      </c>
      <c r="BC452" s="3" t="s">
        <v>5664</v>
      </c>
      <c r="BD452" s="3" t="s">
        <v>5665</v>
      </c>
    </row>
    <row r="453" spans="1:56" ht="31.5" customHeight="1" x14ac:dyDescent="0.25">
      <c r="A453" s="7" t="s">
        <v>58</v>
      </c>
      <c r="B453" s="2" t="s">
        <v>5666</v>
      </c>
      <c r="C453" s="2" t="s">
        <v>5667</v>
      </c>
      <c r="D453" s="2" t="s">
        <v>5668</v>
      </c>
      <c r="F453" s="3" t="s">
        <v>58</v>
      </c>
      <c r="G453" s="3" t="s">
        <v>59</v>
      </c>
      <c r="H453" s="3" t="s">
        <v>58</v>
      </c>
      <c r="I453" s="3" t="s">
        <v>58</v>
      </c>
      <c r="J453" s="3" t="s">
        <v>60</v>
      </c>
      <c r="K453" s="2" t="s">
        <v>5669</v>
      </c>
      <c r="L453" s="2" t="s">
        <v>5670</v>
      </c>
      <c r="M453" s="3" t="s">
        <v>2117</v>
      </c>
      <c r="O453" s="3" t="s">
        <v>63</v>
      </c>
      <c r="P453" s="3" t="s">
        <v>64</v>
      </c>
      <c r="R453" s="3" t="s">
        <v>65</v>
      </c>
      <c r="S453" s="4">
        <v>1</v>
      </c>
      <c r="T453" s="4">
        <v>1</v>
      </c>
      <c r="U453" s="5" t="s">
        <v>1508</v>
      </c>
      <c r="V453" s="5" t="s">
        <v>1508</v>
      </c>
      <c r="W453" s="5" t="s">
        <v>3853</v>
      </c>
      <c r="X453" s="5" t="s">
        <v>3853</v>
      </c>
      <c r="Y453" s="4">
        <v>454</v>
      </c>
      <c r="Z453" s="4">
        <v>434</v>
      </c>
      <c r="AA453" s="4">
        <v>449</v>
      </c>
      <c r="AB453" s="4">
        <v>2</v>
      </c>
      <c r="AC453" s="4">
        <v>2</v>
      </c>
      <c r="AD453" s="4">
        <v>12</v>
      </c>
      <c r="AE453" s="4">
        <v>12</v>
      </c>
      <c r="AF453" s="4">
        <v>4</v>
      </c>
      <c r="AG453" s="4">
        <v>4</v>
      </c>
      <c r="AH453" s="4">
        <v>7</v>
      </c>
      <c r="AI453" s="4">
        <v>7</v>
      </c>
      <c r="AJ453" s="4">
        <v>5</v>
      </c>
      <c r="AK453" s="4">
        <v>5</v>
      </c>
      <c r="AL453" s="4">
        <v>0</v>
      </c>
      <c r="AM453" s="4">
        <v>0</v>
      </c>
      <c r="AN453" s="4">
        <v>0</v>
      </c>
      <c r="AO453" s="4">
        <v>0</v>
      </c>
      <c r="AP453" s="3" t="s">
        <v>58</v>
      </c>
      <c r="AQ453" s="3" t="s">
        <v>58</v>
      </c>
      <c r="AS453" s="6" t="str">
        <f>HYPERLINK("https://creighton-primo.hosted.exlibrisgroup.com/primo-explore/search?tab=default_tab&amp;search_scope=EVERYTHING&amp;vid=01CRU&amp;lang=en_US&amp;offset=0&amp;query=any,contains,991004874819702656","Catalog Record")</f>
        <v>Catalog Record</v>
      </c>
      <c r="AT453" s="6" t="str">
        <f>HYPERLINK("http://www.worldcat.org/oclc/5779975","WorldCat Record")</f>
        <v>WorldCat Record</v>
      </c>
      <c r="AU453" s="3" t="s">
        <v>5671</v>
      </c>
      <c r="AV453" s="3" t="s">
        <v>5672</v>
      </c>
      <c r="AW453" s="3" t="s">
        <v>5673</v>
      </c>
      <c r="AX453" s="3" t="s">
        <v>5673</v>
      </c>
      <c r="AY453" s="3" t="s">
        <v>5674</v>
      </c>
      <c r="AZ453" s="3" t="s">
        <v>73</v>
      </c>
      <c r="BB453" s="3" t="s">
        <v>5675</v>
      </c>
      <c r="BC453" s="3" t="s">
        <v>5676</v>
      </c>
      <c r="BD453" s="3" t="s">
        <v>5677</v>
      </c>
    </row>
    <row r="454" spans="1:56" ht="31.5" customHeight="1" x14ac:dyDescent="0.25">
      <c r="A454" s="7" t="s">
        <v>58</v>
      </c>
      <c r="B454" s="2" t="s">
        <v>5678</v>
      </c>
      <c r="C454" s="2" t="s">
        <v>5679</v>
      </c>
      <c r="D454" s="2" t="s">
        <v>5680</v>
      </c>
      <c r="F454" s="3" t="s">
        <v>58</v>
      </c>
      <c r="G454" s="3" t="s">
        <v>59</v>
      </c>
      <c r="H454" s="3" t="s">
        <v>58</v>
      </c>
      <c r="I454" s="3" t="s">
        <v>58</v>
      </c>
      <c r="J454" s="3" t="s">
        <v>60</v>
      </c>
      <c r="K454" s="2" t="s">
        <v>5681</v>
      </c>
      <c r="L454" s="2" t="s">
        <v>5682</v>
      </c>
      <c r="M454" s="3" t="s">
        <v>62</v>
      </c>
      <c r="O454" s="3" t="s">
        <v>63</v>
      </c>
      <c r="P454" s="3" t="s">
        <v>360</v>
      </c>
      <c r="R454" s="3" t="s">
        <v>65</v>
      </c>
      <c r="S454" s="4">
        <v>2</v>
      </c>
      <c r="T454" s="4">
        <v>2</v>
      </c>
      <c r="U454" s="5" t="s">
        <v>1508</v>
      </c>
      <c r="V454" s="5" t="s">
        <v>1508</v>
      </c>
      <c r="W454" s="5" t="s">
        <v>5683</v>
      </c>
      <c r="X454" s="5" t="s">
        <v>5683</v>
      </c>
      <c r="Y454" s="4">
        <v>1016</v>
      </c>
      <c r="Z454" s="4">
        <v>928</v>
      </c>
      <c r="AA454" s="4">
        <v>1081</v>
      </c>
      <c r="AB454" s="4">
        <v>4</v>
      </c>
      <c r="AC454" s="4">
        <v>4</v>
      </c>
      <c r="AD454" s="4">
        <v>29</v>
      </c>
      <c r="AE454" s="4">
        <v>36</v>
      </c>
      <c r="AF454" s="4">
        <v>13</v>
      </c>
      <c r="AG454" s="4">
        <v>18</v>
      </c>
      <c r="AH454" s="4">
        <v>6</v>
      </c>
      <c r="AI454" s="4">
        <v>9</v>
      </c>
      <c r="AJ454" s="4">
        <v>14</v>
      </c>
      <c r="AK454" s="4">
        <v>17</v>
      </c>
      <c r="AL454" s="4">
        <v>3</v>
      </c>
      <c r="AM454" s="4">
        <v>3</v>
      </c>
      <c r="AN454" s="4">
        <v>0</v>
      </c>
      <c r="AO454" s="4">
        <v>0</v>
      </c>
      <c r="AP454" s="3" t="s">
        <v>58</v>
      </c>
      <c r="AQ454" s="3" t="s">
        <v>58</v>
      </c>
      <c r="AS454" s="6" t="str">
        <f>HYPERLINK("https://creighton-primo.hosted.exlibrisgroup.com/primo-explore/search?tab=default_tab&amp;search_scope=EVERYTHING&amp;vid=01CRU&amp;lang=en_US&amp;offset=0&amp;query=any,contains,991003023729702656","Catalog Record")</f>
        <v>Catalog Record</v>
      </c>
      <c r="AT454" s="6" t="str">
        <f>HYPERLINK("http://www.worldcat.org/oclc/41273124","WorldCat Record")</f>
        <v>WorldCat Record</v>
      </c>
      <c r="AU454" s="3" t="s">
        <v>5684</v>
      </c>
      <c r="AV454" s="3" t="s">
        <v>5685</v>
      </c>
      <c r="AW454" s="3" t="s">
        <v>5686</v>
      </c>
      <c r="AX454" s="3" t="s">
        <v>5686</v>
      </c>
      <c r="AY454" s="3" t="s">
        <v>5687</v>
      </c>
      <c r="AZ454" s="3" t="s">
        <v>73</v>
      </c>
      <c r="BB454" s="3" t="s">
        <v>5688</v>
      </c>
      <c r="BC454" s="3" t="s">
        <v>5689</v>
      </c>
      <c r="BD454" s="3" t="s">
        <v>5690</v>
      </c>
    </row>
    <row r="455" spans="1:56" ht="31.5" customHeight="1" x14ac:dyDescent="0.25">
      <c r="A455" s="7" t="s">
        <v>58</v>
      </c>
      <c r="B455" s="2" t="s">
        <v>5691</v>
      </c>
      <c r="C455" s="2" t="s">
        <v>5692</v>
      </c>
      <c r="D455" s="2" t="s">
        <v>5693</v>
      </c>
      <c r="F455" s="3" t="s">
        <v>58</v>
      </c>
      <c r="G455" s="3" t="s">
        <v>59</v>
      </c>
      <c r="H455" s="3" t="s">
        <v>58</v>
      </c>
      <c r="I455" s="3" t="s">
        <v>58</v>
      </c>
      <c r="J455" s="3" t="s">
        <v>60</v>
      </c>
      <c r="K455" s="2" t="s">
        <v>5694</v>
      </c>
      <c r="L455" s="2" t="s">
        <v>5695</v>
      </c>
      <c r="M455" s="3" t="s">
        <v>2253</v>
      </c>
      <c r="O455" s="3" t="s">
        <v>63</v>
      </c>
      <c r="P455" s="3" t="s">
        <v>186</v>
      </c>
      <c r="R455" s="3" t="s">
        <v>65</v>
      </c>
      <c r="S455" s="4">
        <v>1</v>
      </c>
      <c r="T455" s="4">
        <v>1</v>
      </c>
      <c r="U455" s="5" t="s">
        <v>5696</v>
      </c>
      <c r="V455" s="5" t="s">
        <v>5696</v>
      </c>
      <c r="W455" s="5" t="s">
        <v>3853</v>
      </c>
      <c r="X455" s="5" t="s">
        <v>3853</v>
      </c>
      <c r="Y455" s="4">
        <v>739</v>
      </c>
      <c r="Z455" s="4">
        <v>625</v>
      </c>
      <c r="AA455" s="4">
        <v>642</v>
      </c>
      <c r="AB455" s="4">
        <v>5</v>
      </c>
      <c r="AC455" s="4">
        <v>5</v>
      </c>
      <c r="AD455" s="4">
        <v>27</v>
      </c>
      <c r="AE455" s="4">
        <v>28</v>
      </c>
      <c r="AF455" s="4">
        <v>10</v>
      </c>
      <c r="AG455" s="4">
        <v>11</v>
      </c>
      <c r="AH455" s="4">
        <v>6</v>
      </c>
      <c r="AI455" s="4">
        <v>6</v>
      </c>
      <c r="AJ455" s="4">
        <v>13</v>
      </c>
      <c r="AK455" s="4">
        <v>13</v>
      </c>
      <c r="AL455" s="4">
        <v>4</v>
      </c>
      <c r="AM455" s="4">
        <v>4</v>
      </c>
      <c r="AN455" s="4">
        <v>0</v>
      </c>
      <c r="AO455" s="4">
        <v>0</v>
      </c>
      <c r="AP455" s="3" t="s">
        <v>58</v>
      </c>
      <c r="AQ455" s="3" t="s">
        <v>58</v>
      </c>
      <c r="AS455" s="6" t="str">
        <f>HYPERLINK("https://creighton-primo.hosted.exlibrisgroup.com/primo-explore/search?tab=default_tab&amp;search_scope=EVERYTHING&amp;vid=01CRU&amp;lang=en_US&amp;offset=0&amp;query=any,contains,991000711609702656","Catalog Record")</f>
        <v>Catalog Record</v>
      </c>
      <c r="AT455" s="6" t="str">
        <f>HYPERLINK("http://www.worldcat.org/oclc/12583800","WorldCat Record")</f>
        <v>WorldCat Record</v>
      </c>
      <c r="AU455" s="3" t="s">
        <v>5697</v>
      </c>
      <c r="AV455" s="3" t="s">
        <v>5698</v>
      </c>
      <c r="AW455" s="3" t="s">
        <v>5699</v>
      </c>
      <c r="AX455" s="3" t="s">
        <v>5699</v>
      </c>
      <c r="AY455" s="3" t="s">
        <v>5700</v>
      </c>
      <c r="AZ455" s="3" t="s">
        <v>73</v>
      </c>
      <c r="BB455" s="3" t="s">
        <v>5701</v>
      </c>
      <c r="BC455" s="3" t="s">
        <v>5702</v>
      </c>
      <c r="BD455" s="3" t="s">
        <v>5703</v>
      </c>
    </row>
    <row r="456" spans="1:56" ht="31.5" customHeight="1" x14ac:dyDescent="0.25">
      <c r="A456" s="7" t="s">
        <v>58</v>
      </c>
      <c r="B456" s="2" t="s">
        <v>5704</v>
      </c>
      <c r="C456" s="2" t="s">
        <v>5705</v>
      </c>
      <c r="D456" s="2" t="s">
        <v>5706</v>
      </c>
      <c r="F456" s="3" t="s">
        <v>58</v>
      </c>
      <c r="G456" s="3" t="s">
        <v>59</v>
      </c>
      <c r="H456" s="3" t="s">
        <v>58</v>
      </c>
      <c r="I456" s="3" t="s">
        <v>58</v>
      </c>
      <c r="J456" s="3" t="s">
        <v>60</v>
      </c>
      <c r="K456" s="2" t="s">
        <v>5707</v>
      </c>
      <c r="L456" s="2" t="s">
        <v>5708</v>
      </c>
      <c r="M456" s="3" t="s">
        <v>344</v>
      </c>
      <c r="O456" s="3" t="s">
        <v>63</v>
      </c>
      <c r="P456" s="3" t="s">
        <v>129</v>
      </c>
      <c r="R456" s="3" t="s">
        <v>65</v>
      </c>
      <c r="S456" s="4">
        <v>4</v>
      </c>
      <c r="T456" s="4">
        <v>4</v>
      </c>
      <c r="U456" s="5" t="s">
        <v>5709</v>
      </c>
      <c r="V456" s="5" t="s">
        <v>5709</v>
      </c>
      <c r="W456" s="5" t="s">
        <v>5710</v>
      </c>
      <c r="X456" s="5" t="s">
        <v>5710</v>
      </c>
      <c r="Y456" s="4">
        <v>265</v>
      </c>
      <c r="Z456" s="4">
        <v>225</v>
      </c>
      <c r="AA456" s="4">
        <v>251</v>
      </c>
      <c r="AB456" s="4">
        <v>2</v>
      </c>
      <c r="AC456" s="4">
        <v>2</v>
      </c>
      <c r="AD456" s="4">
        <v>10</v>
      </c>
      <c r="AE456" s="4">
        <v>10</v>
      </c>
      <c r="AF456" s="4">
        <v>3</v>
      </c>
      <c r="AG456" s="4">
        <v>3</v>
      </c>
      <c r="AH456" s="4">
        <v>1</v>
      </c>
      <c r="AI456" s="4">
        <v>1</v>
      </c>
      <c r="AJ456" s="4">
        <v>7</v>
      </c>
      <c r="AK456" s="4">
        <v>7</v>
      </c>
      <c r="AL456" s="4">
        <v>1</v>
      </c>
      <c r="AM456" s="4">
        <v>1</v>
      </c>
      <c r="AN456" s="4">
        <v>0</v>
      </c>
      <c r="AO456" s="4">
        <v>0</v>
      </c>
      <c r="AP456" s="3" t="s">
        <v>58</v>
      </c>
      <c r="AQ456" s="3" t="s">
        <v>58</v>
      </c>
      <c r="AS456" s="6" t="str">
        <f>HYPERLINK("https://creighton-primo.hosted.exlibrisgroup.com/primo-explore/search?tab=default_tab&amp;search_scope=EVERYTHING&amp;vid=01CRU&amp;lang=en_US&amp;offset=0&amp;query=any,contains,991002256749702656","Catalog Record")</f>
        <v>Catalog Record</v>
      </c>
      <c r="AT456" s="6" t="str">
        <f>HYPERLINK("http://www.worldcat.org/oclc/29254332","WorldCat Record")</f>
        <v>WorldCat Record</v>
      </c>
      <c r="AU456" s="3" t="s">
        <v>5711</v>
      </c>
      <c r="AV456" s="3" t="s">
        <v>5712</v>
      </c>
      <c r="AW456" s="3" t="s">
        <v>5713</v>
      </c>
      <c r="AX456" s="3" t="s">
        <v>5713</v>
      </c>
      <c r="AY456" s="3" t="s">
        <v>5714</v>
      </c>
      <c r="AZ456" s="3" t="s">
        <v>73</v>
      </c>
      <c r="BB456" s="3" t="s">
        <v>5715</v>
      </c>
      <c r="BC456" s="3" t="s">
        <v>5716</v>
      </c>
      <c r="BD456" s="3" t="s">
        <v>5717</v>
      </c>
    </row>
    <row r="457" spans="1:56" ht="31.5" customHeight="1" x14ac:dyDescent="0.25">
      <c r="A457" s="7" t="s">
        <v>58</v>
      </c>
      <c r="B457" s="2" t="s">
        <v>5718</v>
      </c>
      <c r="C457" s="2" t="s">
        <v>5719</v>
      </c>
      <c r="D457" s="2" t="s">
        <v>5720</v>
      </c>
      <c r="F457" s="3" t="s">
        <v>58</v>
      </c>
      <c r="G457" s="3" t="s">
        <v>59</v>
      </c>
      <c r="H457" s="3" t="s">
        <v>58</v>
      </c>
      <c r="I457" s="3" t="s">
        <v>58</v>
      </c>
      <c r="J457" s="3" t="s">
        <v>60</v>
      </c>
      <c r="K457" s="2" t="s">
        <v>5721</v>
      </c>
      <c r="L457" s="2" t="s">
        <v>5722</v>
      </c>
      <c r="M457" s="3" t="s">
        <v>159</v>
      </c>
      <c r="O457" s="3" t="s">
        <v>63</v>
      </c>
      <c r="P457" s="3" t="s">
        <v>64</v>
      </c>
      <c r="R457" s="3" t="s">
        <v>65</v>
      </c>
      <c r="S457" s="4">
        <v>4</v>
      </c>
      <c r="T457" s="4">
        <v>4</v>
      </c>
      <c r="U457" s="5" t="s">
        <v>5508</v>
      </c>
      <c r="V457" s="5" t="s">
        <v>5508</v>
      </c>
      <c r="W457" s="5" t="s">
        <v>4583</v>
      </c>
      <c r="X457" s="5" t="s">
        <v>4583</v>
      </c>
      <c r="Y457" s="4">
        <v>1077</v>
      </c>
      <c r="Z457" s="4">
        <v>1009</v>
      </c>
      <c r="AA457" s="4">
        <v>1137</v>
      </c>
      <c r="AB457" s="4">
        <v>5</v>
      </c>
      <c r="AC457" s="4">
        <v>6</v>
      </c>
      <c r="AD457" s="4">
        <v>26</v>
      </c>
      <c r="AE457" s="4">
        <v>30</v>
      </c>
      <c r="AF457" s="4">
        <v>10</v>
      </c>
      <c r="AG457" s="4">
        <v>12</v>
      </c>
      <c r="AH457" s="4">
        <v>4</v>
      </c>
      <c r="AI457" s="4">
        <v>4</v>
      </c>
      <c r="AJ457" s="4">
        <v>14</v>
      </c>
      <c r="AK457" s="4">
        <v>16</v>
      </c>
      <c r="AL457" s="4">
        <v>4</v>
      </c>
      <c r="AM457" s="4">
        <v>5</v>
      </c>
      <c r="AN457" s="4">
        <v>0</v>
      </c>
      <c r="AO457" s="4">
        <v>0</v>
      </c>
      <c r="AP457" s="3" t="s">
        <v>58</v>
      </c>
      <c r="AQ457" s="3" t="s">
        <v>68</v>
      </c>
      <c r="AR457" s="6" t="str">
        <f>HYPERLINK("http://catalog.hathitrust.org/Record/000240042","HathiTrust Record")</f>
        <v>HathiTrust Record</v>
      </c>
      <c r="AS457" s="6" t="str">
        <f>HYPERLINK("https://creighton-primo.hosted.exlibrisgroup.com/primo-explore/search?tab=default_tab&amp;search_scope=EVERYTHING&amp;vid=01CRU&amp;lang=en_US&amp;offset=0&amp;query=any,contains,991000158859702656","Catalog Record")</f>
        <v>Catalog Record</v>
      </c>
      <c r="AT457" s="6" t="str">
        <f>HYPERLINK("http://www.worldcat.org/oclc/9255684","WorldCat Record")</f>
        <v>WorldCat Record</v>
      </c>
      <c r="AU457" s="3" t="s">
        <v>5723</v>
      </c>
      <c r="AV457" s="3" t="s">
        <v>5724</v>
      </c>
      <c r="AW457" s="3" t="s">
        <v>5725</v>
      </c>
      <c r="AX457" s="3" t="s">
        <v>5725</v>
      </c>
      <c r="AY457" s="3" t="s">
        <v>5726</v>
      </c>
      <c r="AZ457" s="3" t="s">
        <v>73</v>
      </c>
      <c r="BB457" s="3" t="s">
        <v>5727</v>
      </c>
      <c r="BC457" s="3" t="s">
        <v>5728</v>
      </c>
      <c r="BD457" s="3" t="s">
        <v>5729</v>
      </c>
    </row>
    <row r="458" spans="1:56" ht="31.5" customHeight="1" x14ac:dyDescent="0.25">
      <c r="A458" s="7" t="s">
        <v>58</v>
      </c>
      <c r="B458" s="2" t="s">
        <v>5730</v>
      </c>
      <c r="C458" s="2" t="s">
        <v>5731</v>
      </c>
      <c r="D458" s="2" t="s">
        <v>5732</v>
      </c>
      <c r="F458" s="3" t="s">
        <v>58</v>
      </c>
      <c r="G458" s="3" t="s">
        <v>59</v>
      </c>
      <c r="H458" s="3" t="s">
        <v>58</v>
      </c>
      <c r="I458" s="3" t="s">
        <v>58</v>
      </c>
      <c r="J458" s="3" t="s">
        <v>60</v>
      </c>
      <c r="K458" s="2" t="s">
        <v>5733</v>
      </c>
      <c r="L458" s="2" t="s">
        <v>5734</v>
      </c>
      <c r="M458" s="3" t="s">
        <v>1939</v>
      </c>
      <c r="O458" s="3" t="s">
        <v>63</v>
      </c>
      <c r="P458" s="3" t="s">
        <v>186</v>
      </c>
      <c r="R458" s="3" t="s">
        <v>65</v>
      </c>
      <c r="S458" s="4">
        <v>2</v>
      </c>
      <c r="T458" s="4">
        <v>2</v>
      </c>
      <c r="U458" s="5" t="s">
        <v>5508</v>
      </c>
      <c r="V458" s="5" t="s">
        <v>5508</v>
      </c>
      <c r="W458" s="5" t="s">
        <v>5735</v>
      </c>
      <c r="X458" s="5" t="s">
        <v>5735</v>
      </c>
      <c r="Y458" s="4">
        <v>516</v>
      </c>
      <c r="Z458" s="4">
        <v>379</v>
      </c>
      <c r="AA458" s="4">
        <v>385</v>
      </c>
      <c r="AB458" s="4">
        <v>3</v>
      </c>
      <c r="AC458" s="4">
        <v>3</v>
      </c>
      <c r="AD458" s="4">
        <v>16</v>
      </c>
      <c r="AE458" s="4">
        <v>16</v>
      </c>
      <c r="AF458" s="4">
        <v>3</v>
      </c>
      <c r="AG458" s="4">
        <v>3</v>
      </c>
      <c r="AH458" s="4">
        <v>5</v>
      </c>
      <c r="AI458" s="4">
        <v>5</v>
      </c>
      <c r="AJ458" s="4">
        <v>10</v>
      </c>
      <c r="AK458" s="4">
        <v>10</v>
      </c>
      <c r="AL458" s="4">
        <v>2</v>
      </c>
      <c r="AM458" s="4">
        <v>2</v>
      </c>
      <c r="AN458" s="4">
        <v>0</v>
      </c>
      <c r="AO458" s="4">
        <v>0</v>
      </c>
      <c r="AP458" s="3" t="s">
        <v>58</v>
      </c>
      <c r="AQ458" s="3" t="s">
        <v>58</v>
      </c>
      <c r="AS458" s="6" t="str">
        <f>HYPERLINK("https://creighton-primo.hosted.exlibrisgroup.com/primo-explore/search?tab=default_tab&amp;search_scope=EVERYTHING&amp;vid=01CRU&amp;lang=en_US&amp;offset=0&amp;query=any,contains,991002495209702656","Catalog Record")</f>
        <v>Catalog Record</v>
      </c>
      <c r="AT458" s="6" t="str">
        <f>HYPERLINK("http://www.worldcat.org/oclc/32467214","WorldCat Record")</f>
        <v>WorldCat Record</v>
      </c>
      <c r="AU458" s="3" t="s">
        <v>5736</v>
      </c>
      <c r="AV458" s="3" t="s">
        <v>5737</v>
      </c>
      <c r="AW458" s="3" t="s">
        <v>5738</v>
      </c>
      <c r="AX458" s="3" t="s">
        <v>5738</v>
      </c>
      <c r="AY458" s="3" t="s">
        <v>5739</v>
      </c>
      <c r="AZ458" s="3" t="s">
        <v>73</v>
      </c>
      <c r="BB458" s="3" t="s">
        <v>5740</v>
      </c>
      <c r="BC458" s="3" t="s">
        <v>5741</v>
      </c>
      <c r="BD458" s="3" t="s">
        <v>5742</v>
      </c>
    </row>
    <row r="459" spans="1:56" ht="31.5" customHeight="1" x14ac:dyDescent="0.25">
      <c r="A459" s="7" t="s">
        <v>58</v>
      </c>
      <c r="B459" s="2" t="s">
        <v>5743</v>
      </c>
      <c r="C459" s="2" t="s">
        <v>5744</v>
      </c>
      <c r="D459" s="2" t="s">
        <v>5745</v>
      </c>
      <c r="F459" s="3" t="s">
        <v>58</v>
      </c>
      <c r="G459" s="3" t="s">
        <v>59</v>
      </c>
      <c r="H459" s="3" t="s">
        <v>58</v>
      </c>
      <c r="I459" s="3" t="s">
        <v>58</v>
      </c>
      <c r="J459" s="3" t="s">
        <v>60</v>
      </c>
      <c r="K459" s="2" t="s">
        <v>5746</v>
      </c>
      <c r="L459" s="2" t="s">
        <v>5747</v>
      </c>
      <c r="M459" s="3" t="s">
        <v>3999</v>
      </c>
      <c r="N459" s="2" t="s">
        <v>4986</v>
      </c>
      <c r="O459" s="3" t="s">
        <v>63</v>
      </c>
      <c r="P459" s="3" t="s">
        <v>186</v>
      </c>
      <c r="Q459" s="2" t="s">
        <v>5748</v>
      </c>
      <c r="R459" s="3" t="s">
        <v>65</v>
      </c>
      <c r="S459" s="4">
        <v>1</v>
      </c>
      <c r="T459" s="4">
        <v>1</v>
      </c>
      <c r="U459" s="5" t="s">
        <v>5749</v>
      </c>
      <c r="V459" s="5" t="s">
        <v>5749</v>
      </c>
      <c r="W459" s="5" t="s">
        <v>2012</v>
      </c>
      <c r="X459" s="5" t="s">
        <v>2012</v>
      </c>
      <c r="Y459" s="4">
        <v>497</v>
      </c>
      <c r="Z459" s="4">
        <v>425</v>
      </c>
      <c r="AA459" s="4">
        <v>611</v>
      </c>
      <c r="AB459" s="4">
        <v>4</v>
      </c>
      <c r="AC459" s="4">
        <v>5</v>
      </c>
      <c r="AD459" s="4">
        <v>14</v>
      </c>
      <c r="AE459" s="4">
        <v>21</v>
      </c>
      <c r="AF459" s="4">
        <v>4</v>
      </c>
      <c r="AG459" s="4">
        <v>6</v>
      </c>
      <c r="AH459" s="4">
        <v>3</v>
      </c>
      <c r="AI459" s="4">
        <v>5</v>
      </c>
      <c r="AJ459" s="4">
        <v>6</v>
      </c>
      <c r="AK459" s="4">
        <v>9</v>
      </c>
      <c r="AL459" s="4">
        <v>3</v>
      </c>
      <c r="AM459" s="4">
        <v>4</v>
      </c>
      <c r="AN459" s="4">
        <v>0</v>
      </c>
      <c r="AO459" s="4">
        <v>0</v>
      </c>
      <c r="AP459" s="3" t="s">
        <v>58</v>
      </c>
      <c r="AQ459" s="3" t="s">
        <v>68</v>
      </c>
      <c r="AR459" s="6" t="str">
        <f>HYPERLINK("http://catalog.hathitrust.org/Record/001477160","HathiTrust Record")</f>
        <v>HathiTrust Record</v>
      </c>
      <c r="AS459" s="6" t="str">
        <f>HYPERLINK("https://creighton-primo.hosted.exlibrisgroup.com/primo-explore/search?tab=default_tab&amp;search_scope=EVERYTHING&amp;vid=01CRU&amp;lang=en_US&amp;offset=0&amp;query=any,contains,991002931219702656","Catalog Record")</f>
        <v>Catalog Record</v>
      </c>
      <c r="AT459" s="6" t="str">
        <f>HYPERLINK("http://www.worldcat.org/oclc/530957","WorldCat Record")</f>
        <v>WorldCat Record</v>
      </c>
      <c r="AU459" s="3" t="s">
        <v>5750</v>
      </c>
      <c r="AV459" s="3" t="s">
        <v>5751</v>
      </c>
      <c r="AW459" s="3" t="s">
        <v>5752</v>
      </c>
      <c r="AX459" s="3" t="s">
        <v>5752</v>
      </c>
      <c r="AY459" s="3" t="s">
        <v>5753</v>
      </c>
      <c r="AZ459" s="3" t="s">
        <v>73</v>
      </c>
      <c r="BC459" s="3" t="s">
        <v>5754</v>
      </c>
      <c r="BD459" s="3" t="s">
        <v>5755</v>
      </c>
    </row>
    <row r="460" spans="1:56" ht="31.5" customHeight="1" x14ac:dyDescent="0.25">
      <c r="A460" s="7" t="s">
        <v>58</v>
      </c>
      <c r="B460" s="2" t="s">
        <v>5756</v>
      </c>
      <c r="C460" s="2" t="s">
        <v>5757</v>
      </c>
      <c r="D460" s="2" t="s">
        <v>5758</v>
      </c>
      <c r="F460" s="3" t="s">
        <v>58</v>
      </c>
      <c r="G460" s="3" t="s">
        <v>59</v>
      </c>
      <c r="H460" s="3" t="s">
        <v>58</v>
      </c>
      <c r="I460" s="3" t="s">
        <v>58</v>
      </c>
      <c r="J460" s="3" t="s">
        <v>60</v>
      </c>
      <c r="K460" s="2" t="s">
        <v>5759</v>
      </c>
      <c r="L460" s="2" t="s">
        <v>5760</v>
      </c>
      <c r="M460" s="3" t="s">
        <v>3999</v>
      </c>
      <c r="O460" s="3" t="s">
        <v>63</v>
      </c>
      <c r="P460" s="3" t="s">
        <v>64</v>
      </c>
      <c r="Q460" s="2" t="s">
        <v>5761</v>
      </c>
      <c r="R460" s="3" t="s">
        <v>65</v>
      </c>
      <c r="S460" s="4">
        <v>4</v>
      </c>
      <c r="T460" s="4">
        <v>4</v>
      </c>
      <c r="U460" s="5" t="s">
        <v>5508</v>
      </c>
      <c r="V460" s="5" t="s">
        <v>5508</v>
      </c>
      <c r="W460" s="5" t="s">
        <v>5606</v>
      </c>
      <c r="X460" s="5" t="s">
        <v>5606</v>
      </c>
      <c r="Y460" s="4">
        <v>643</v>
      </c>
      <c r="Z460" s="4">
        <v>590</v>
      </c>
      <c r="AA460" s="4">
        <v>602</v>
      </c>
      <c r="AB460" s="4">
        <v>3</v>
      </c>
      <c r="AC460" s="4">
        <v>3</v>
      </c>
      <c r="AD460" s="4">
        <v>16</v>
      </c>
      <c r="AE460" s="4">
        <v>16</v>
      </c>
      <c r="AF460" s="4">
        <v>5</v>
      </c>
      <c r="AG460" s="4">
        <v>5</v>
      </c>
      <c r="AH460" s="4">
        <v>5</v>
      </c>
      <c r="AI460" s="4">
        <v>5</v>
      </c>
      <c r="AJ460" s="4">
        <v>7</v>
      </c>
      <c r="AK460" s="4">
        <v>7</v>
      </c>
      <c r="AL460" s="4">
        <v>2</v>
      </c>
      <c r="AM460" s="4">
        <v>2</v>
      </c>
      <c r="AN460" s="4">
        <v>0</v>
      </c>
      <c r="AO460" s="4">
        <v>0</v>
      </c>
      <c r="AP460" s="3" t="s">
        <v>58</v>
      </c>
      <c r="AQ460" s="3" t="s">
        <v>58</v>
      </c>
      <c r="AS460" s="6" t="str">
        <f>HYPERLINK("https://creighton-primo.hosted.exlibrisgroup.com/primo-explore/search?tab=default_tab&amp;search_scope=EVERYTHING&amp;vid=01CRU&amp;lang=en_US&amp;offset=0&amp;query=any,contains,991003363979702656","Catalog Record")</f>
        <v>Catalog Record</v>
      </c>
      <c r="AT460" s="6" t="str">
        <f>HYPERLINK("http://www.worldcat.org/oclc/900472","WorldCat Record")</f>
        <v>WorldCat Record</v>
      </c>
      <c r="AU460" s="3" t="s">
        <v>5762</v>
      </c>
      <c r="AV460" s="3" t="s">
        <v>5763</v>
      </c>
      <c r="AW460" s="3" t="s">
        <v>5764</v>
      </c>
      <c r="AX460" s="3" t="s">
        <v>5764</v>
      </c>
      <c r="AY460" s="3" t="s">
        <v>5765</v>
      </c>
      <c r="AZ460" s="3" t="s">
        <v>73</v>
      </c>
      <c r="BC460" s="3" t="s">
        <v>5766</v>
      </c>
      <c r="BD460" s="3" t="s">
        <v>5767</v>
      </c>
    </row>
    <row r="461" spans="1:56" ht="31.5" customHeight="1" x14ac:dyDescent="0.25">
      <c r="A461" s="7" t="s">
        <v>58</v>
      </c>
      <c r="B461" s="2" t="s">
        <v>5768</v>
      </c>
      <c r="C461" s="2" t="s">
        <v>5769</v>
      </c>
      <c r="D461" s="2" t="s">
        <v>5770</v>
      </c>
      <c r="F461" s="3" t="s">
        <v>58</v>
      </c>
      <c r="G461" s="3" t="s">
        <v>59</v>
      </c>
      <c r="H461" s="3" t="s">
        <v>58</v>
      </c>
      <c r="I461" s="3" t="s">
        <v>58</v>
      </c>
      <c r="J461" s="3" t="s">
        <v>60</v>
      </c>
      <c r="K461" s="2" t="s">
        <v>5771</v>
      </c>
      <c r="L461" s="2" t="s">
        <v>5772</v>
      </c>
      <c r="M461" s="3" t="s">
        <v>230</v>
      </c>
      <c r="N461" s="2" t="s">
        <v>501</v>
      </c>
      <c r="O461" s="3" t="s">
        <v>63</v>
      </c>
      <c r="P461" s="3" t="s">
        <v>186</v>
      </c>
      <c r="Q461" s="2" t="s">
        <v>5773</v>
      </c>
      <c r="R461" s="3" t="s">
        <v>65</v>
      </c>
      <c r="S461" s="4">
        <v>1</v>
      </c>
      <c r="T461" s="4">
        <v>1</v>
      </c>
      <c r="U461" s="5" t="s">
        <v>5508</v>
      </c>
      <c r="V461" s="5" t="s">
        <v>5508</v>
      </c>
      <c r="W461" s="5" t="s">
        <v>3853</v>
      </c>
      <c r="X461" s="5" t="s">
        <v>3853</v>
      </c>
      <c r="Y461" s="4">
        <v>318</v>
      </c>
      <c r="Z461" s="4">
        <v>201</v>
      </c>
      <c r="AA461" s="4">
        <v>236</v>
      </c>
      <c r="AB461" s="4">
        <v>2</v>
      </c>
      <c r="AC461" s="4">
        <v>2</v>
      </c>
      <c r="AD461" s="4">
        <v>4</v>
      </c>
      <c r="AE461" s="4">
        <v>5</v>
      </c>
      <c r="AF461" s="4">
        <v>1</v>
      </c>
      <c r="AG461" s="4">
        <v>1</v>
      </c>
      <c r="AH461" s="4">
        <v>2</v>
      </c>
      <c r="AI461" s="4">
        <v>3</v>
      </c>
      <c r="AJ461" s="4">
        <v>0</v>
      </c>
      <c r="AK461" s="4">
        <v>0</v>
      </c>
      <c r="AL461" s="4">
        <v>1</v>
      </c>
      <c r="AM461" s="4">
        <v>1</v>
      </c>
      <c r="AN461" s="4">
        <v>0</v>
      </c>
      <c r="AO461" s="4">
        <v>0</v>
      </c>
      <c r="AP461" s="3" t="s">
        <v>58</v>
      </c>
      <c r="AQ461" s="3" t="s">
        <v>68</v>
      </c>
      <c r="AR461" s="6" t="str">
        <f>HYPERLINK("http://catalog.hathitrust.org/Record/000257860","HathiTrust Record")</f>
        <v>HathiTrust Record</v>
      </c>
      <c r="AS461" s="6" t="str">
        <f>HYPERLINK("https://creighton-primo.hosted.exlibrisgroup.com/primo-explore/search?tab=default_tab&amp;search_scope=EVERYTHING&amp;vid=01CRU&amp;lang=en_US&amp;offset=0&amp;query=any,contains,991004674989702656","Catalog Record")</f>
        <v>Catalog Record</v>
      </c>
      <c r="AT461" s="6" t="str">
        <f>HYPERLINK("http://www.worldcat.org/oclc/4530401","WorldCat Record")</f>
        <v>WorldCat Record</v>
      </c>
      <c r="AU461" s="3" t="s">
        <v>5774</v>
      </c>
      <c r="AV461" s="3" t="s">
        <v>5775</v>
      </c>
      <c r="AW461" s="3" t="s">
        <v>5776</v>
      </c>
      <c r="AX461" s="3" t="s">
        <v>5776</v>
      </c>
      <c r="AY461" s="3" t="s">
        <v>5777</v>
      </c>
      <c r="AZ461" s="3" t="s">
        <v>73</v>
      </c>
      <c r="BB461" s="3" t="s">
        <v>5778</v>
      </c>
      <c r="BC461" s="3" t="s">
        <v>5779</v>
      </c>
      <c r="BD461" s="3" t="s">
        <v>5780</v>
      </c>
    </row>
    <row r="462" spans="1:56" ht="31.5" customHeight="1" x14ac:dyDescent="0.25">
      <c r="A462" s="7" t="s">
        <v>58</v>
      </c>
      <c r="B462" s="2" t="s">
        <v>5781</v>
      </c>
      <c r="C462" s="2" t="s">
        <v>5782</v>
      </c>
      <c r="D462" s="2" t="s">
        <v>5783</v>
      </c>
      <c r="F462" s="3" t="s">
        <v>58</v>
      </c>
      <c r="G462" s="3" t="s">
        <v>59</v>
      </c>
      <c r="H462" s="3" t="s">
        <v>58</v>
      </c>
      <c r="I462" s="3" t="s">
        <v>58</v>
      </c>
      <c r="J462" s="3" t="s">
        <v>60</v>
      </c>
      <c r="K462" s="2" t="s">
        <v>5784</v>
      </c>
      <c r="L462" s="2" t="s">
        <v>5785</v>
      </c>
      <c r="M462" s="3" t="s">
        <v>1000</v>
      </c>
      <c r="O462" s="3" t="s">
        <v>63</v>
      </c>
      <c r="P462" s="3" t="s">
        <v>360</v>
      </c>
      <c r="R462" s="3" t="s">
        <v>65</v>
      </c>
      <c r="S462" s="4">
        <v>1</v>
      </c>
      <c r="T462" s="4">
        <v>1</v>
      </c>
      <c r="U462" s="5" t="s">
        <v>5786</v>
      </c>
      <c r="V462" s="5" t="s">
        <v>5786</v>
      </c>
      <c r="W462" s="5" t="s">
        <v>5786</v>
      </c>
      <c r="X462" s="5" t="s">
        <v>5786</v>
      </c>
      <c r="Y462" s="4">
        <v>404</v>
      </c>
      <c r="Z462" s="4">
        <v>323</v>
      </c>
      <c r="AA462" s="4">
        <v>388</v>
      </c>
      <c r="AB462" s="4">
        <v>1</v>
      </c>
      <c r="AC462" s="4">
        <v>1</v>
      </c>
      <c r="AD462" s="4">
        <v>17</v>
      </c>
      <c r="AE462" s="4">
        <v>18</v>
      </c>
      <c r="AF462" s="4">
        <v>8</v>
      </c>
      <c r="AG462" s="4">
        <v>9</v>
      </c>
      <c r="AH462" s="4">
        <v>1</v>
      </c>
      <c r="AI462" s="4">
        <v>1</v>
      </c>
      <c r="AJ462" s="4">
        <v>12</v>
      </c>
      <c r="AK462" s="4">
        <v>13</v>
      </c>
      <c r="AL462" s="4">
        <v>0</v>
      </c>
      <c r="AM462" s="4">
        <v>0</v>
      </c>
      <c r="AN462" s="4">
        <v>0</v>
      </c>
      <c r="AO462" s="4">
        <v>0</v>
      </c>
      <c r="AP462" s="3" t="s">
        <v>58</v>
      </c>
      <c r="AQ462" s="3" t="s">
        <v>68</v>
      </c>
      <c r="AR462" s="6" t="str">
        <f>HYPERLINK("http://catalog.hathitrust.org/Record/005118439","HathiTrust Record")</f>
        <v>HathiTrust Record</v>
      </c>
      <c r="AS462" s="6" t="str">
        <f>HYPERLINK("https://creighton-primo.hosted.exlibrisgroup.com/primo-explore/search?tab=default_tab&amp;search_scope=EVERYTHING&amp;vid=01CRU&amp;lang=en_US&amp;offset=0&amp;query=any,contains,991004850899702656","Catalog Record")</f>
        <v>Catalog Record</v>
      </c>
      <c r="AT462" s="6" t="str">
        <f>HYPERLINK("http://www.worldcat.org/oclc/61162273","WorldCat Record")</f>
        <v>WorldCat Record</v>
      </c>
      <c r="AU462" s="3" t="s">
        <v>5787</v>
      </c>
      <c r="AV462" s="3" t="s">
        <v>5788</v>
      </c>
      <c r="AW462" s="3" t="s">
        <v>5789</v>
      </c>
      <c r="AX462" s="3" t="s">
        <v>5789</v>
      </c>
      <c r="AY462" s="3" t="s">
        <v>5790</v>
      </c>
      <c r="AZ462" s="3" t="s">
        <v>73</v>
      </c>
      <c r="BB462" s="3" t="s">
        <v>5791</v>
      </c>
      <c r="BC462" s="3" t="s">
        <v>5792</v>
      </c>
      <c r="BD462" s="3" t="s">
        <v>5793</v>
      </c>
    </row>
    <row r="463" spans="1:56" ht="31.5" customHeight="1" x14ac:dyDescent="0.25">
      <c r="A463" s="7" t="s">
        <v>58</v>
      </c>
      <c r="B463" s="2" t="s">
        <v>5794</v>
      </c>
      <c r="C463" s="2" t="s">
        <v>5795</v>
      </c>
      <c r="D463" s="2" t="s">
        <v>5796</v>
      </c>
      <c r="F463" s="3" t="s">
        <v>58</v>
      </c>
      <c r="G463" s="3" t="s">
        <v>59</v>
      </c>
      <c r="H463" s="3" t="s">
        <v>58</v>
      </c>
      <c r="I463" s="3" t="s">
        <v>58</v>
      </c>
      <c r="J463" s="3" t="s">
        <v>60</v>
      </c>
      <c r="K463" s="2" t="s">
        <v>1600</v>
      </c>
      <c r="L463" s="2" t="s">
        <v>5567</v>
      </c>
      <c r="M463" s="3" t="s">
        <v>230</v>
      </c>
      <c r="O463" s="3" t="s">
        <v>63</v>
      </c>
      <c r="P463" s="3" t="s">
        <v>444</v>
      </c>
      <c r="R463" s="3" t="s">
        <v>65</v>
      </c>
      <c r="S463" s="4">
        <v>5</v>
      </c>
      <c r="T463" s="4">
        <v>5</v>
      </c>
      <c r="U463" s="5" t="s">
        <v>5709</v>
      </c>
      <c r="V463" s="5" t="s">
        <v>5709</v>
      </c>
      <c r="W463" s="5" t="s">
        <v>5797</v>
      </c>
      <c r="X463" s="5" t="s">
        <v>5797</v>
      </c>
      <c r="Y463" s="4">
        <v>787</v>
      </c>
      <c r="Z463" s="4">
        <v>657</v>
      </c>
      <c r="AA463" s="4">
        <v>663</v>
      </c>
      <c r="AB463" s="4">
        <v>4</v>
      </c>
      <c r="AC463" s="4">
        <v>4</v>
      </c>
      <c r="AD463" s="4">
        <v>20</v>
      </c>
      <c r="AE463" s="4">
        <v>20</v>
      </c>
      <c r="AF463" s="4">
        <v>7</v>
      </c>
      <c r="AG463" s="4">
        <v>7</v>
      </c>
      <c r="AH463" s="4">
        <v>6</v>
      </c>
      <c r="AI463" s="4">
        <v>6</v>
      </c>
      <c r="AJ463" s="4">
        <v>8</v>
      </c>
      <c r="AK463" s="4">
        <v>8</v>
      </c>
      <c r="AL463" s="4">
        <v>3</v>
      </c>
      <c r="AM463" s="4">
        <v>3</v>
      </c>
      <c r="AN463" s="4">
        <v>0</v>
      </c>
      <c r="AO463" s="4">
        <v>0</v>
      </c>
      <c r="AP463" s="3" t="s">
        <v>58</v>
      </c>
      <c r="AQ463" s="3" t="s">
        <v>58</v>
      </c>
      <c r="AS463" s="6" t="str">
        <f>HYPERLINK("https://creighton-primo.hosted.exlibrisgroup.com/primo-explore/search?tab=default_tab&amp;search_scope=EVERYTHING&amp;vid=01CRU&amp;lang=en_US&amp;offset=0&amp;query=any,contains,991004407849702656","Catalog Record")</f>
        <v>Catalog Record</v>
      </c>
      <c r="AT463" s="6" t="str">
        <f>HYPERLINK("http://www.worldcat.org/oclc/3327903","WorldCat Record")</f>
        <v>WorldCat Record</v>
      </c>
      <c r="AU463" s="3" t="s">
        <v>5798</v>
      </c>
      <c r="AV463" s="3" t="s">
        <v>5799</v>
      </c>
      <c r="AW463" s="3" t="s">
        <v>5800</v>
      </c>
      <c r="AX463" s="3" t="s">
        <v>5800</v>
      </c>
      <c r="AY463" s="3" t="s">
        <v>5801</v>
      </c>
      <c r="AZ463" s="3" t="s">
        <v>73</v>
      </c>
      <c r="BB463" s="3" t="s">
        <v>5802</v>
      </c>
      <c r="BC463" s="3" t="s">
        <v>5803</v>
      </c>
      <c r="BD463" s="3" t="s">
        <v>5804</v>
      </c>
    </row>
    <row r="464" spans="1:56" ht="31.5" customHeight="1" x14ac:dyDescent="0.25">
      <c r="A464" s="7" t="s">
        <v>58</v>
      </c>
      <c r="B464" s="2" t="s">
        <v>5805</v>
      </c>
      <c r="C464" s="2" t="s">
        <v>5806</v>
      </c>
      <c r="D464" s="2" t="s">
        <v>5807</v>
      </c>
      <c r="F464" s="3" t="s">
        <v>58</v>
      </c>
      <c r="G464" s="3" t="s">
        <v>59</v>
      </c>
      <c r="H464" s="3" t="s">
        <v>58</v>
      </c>
      <c r="I464" s="3" t="s">
        <v>58</v>
      </c>
      <c r="J464" s="3" t="s">
        <v>60</v>
      </c>
      <c r="K464" s="2" t="s">
        <v>2294</v>
      </c>
      <c r="L464" s="2" t="s">
        <v>5808</v>
      </c>
      <c r="M464" s="3" t="s">
        <v>97</v>
      </c>
      <c r="O464" s="3" t="s">
        <v>63</v>
      </c>
      <c r="P464" s="3" t="s">
        <v>1275</v>
      </c>
      <c r="Q464" s="2" t="s">
        <v>5809</v>
      </c>
      <c r="R464" s="3" t="s">
        <v>65</v>
      </c>
      <c r="S464" s="4">
        <v>1</v>
      </c>
      <c r="T464" s="4">
        <v>1</v>
      </c>
      <c r="U464" s="5" t="s">
        <v>2297</v>
      </c>
      <c r="V464" s="5" t="s">
        <v>2297</v>
      </c>
      <c r="W464" s="5" t="s">
        <v>5810</v>
      </c>
      <c r="X464" s="5" t="s">
        <v>5810</v>
      </c>
      <c r="Y464" s="4">
        <v>190</v>
      </c>
      <c r="Z464" s="4">
        <v>152</v>
      </c>
      <c r="AA464" s="4">
        <v>163</v>
      </c>
      <c r="AB464" s="4">
        <v>3</v>
      </c>
      <c r="AC464" s="4">
        <v>3</v>
      </c>
      <c r="AD464" s="4">
        <v>6</v>
      </c>
      <c r="AE464" s="4">
        <v>6</v>
      </c>
      <c r="AF464" s="4">
        <v>0</v>
      </c>
      <c r="AG464" s="4">
        <v>0</v>
      </c>
      <c r="AH464" s="4">
        <v>2</v>
      </c>
      <c r="AI464" s="4">
        <v>2</v>
      </c>
      <c r="AJ464" s="4">
        <v>2</v>
      </c>
      <c r="AK464" s="4">
        <v>2</v>
      </c>
      <c r="AL464" s="4">
        <v>2</v>
      </c>
      <c r="AM464" s="4">
        <v>2</v>
      </c>
      <c r="AN464" s="4">
        <v>0</v>
      </c>
      <c r="AO464" s="4">
        <v>0</v>
      </c>
      <c r="AP464" s="3" t="s">
        <v>58</v>
      </c>
      <c r="AQ464" s="3" t="s">
        <v>58</v>
      </c>
      <c r="AS464" s="6" t="str">
        <f>HYPERLINK("https://creighton-primo.hosted.exlibrisgroup.com/primo-explore/search?tab=default_tab&amp;search_scope=EVERYTHING&amp;vid=01CRU&amp;lang=en_US&amp;offset=0&amp;query=any,contains,991001344229702656","Catalog Record")</f>
        <v>Catalog Record</v>
      </c>
      <c r="AT464" s="6" t="str">
        <f>HYPERLINK("http://www.worldcat.org/oclc/18411670","WorldCat Record")</f>
        <v>WorldCat Record</v>
      </c>
      <c r="AU464" s="3" t="s">
        <v>5811</v>
      </c>
      <c r="AV464" s="3" t="s">
        <v>5812</v>
      </c>
      <c r="AW464" s="3" t="s">
        <v>5813</v>
      </c>
      <c r="AX464" s="3" t="s">
        <v>5813</v>
      </c>
      <c r="AY464" s="3" t="s">
        <v>5814</v>
      </c>
      <c r="AZ464" s="3" t="s">
        <v>73</v>
      </c>
      <c r="BB464" s="3" t="s">
        <v>5815</v>
      </c>
      <c r="BC464" s="3" t="s">
        <v>5816</v>
      </c>
      <c r="BD464" s="3" t="s">
        <v>5817</v>
      </c>
    </row>
    <row r="465" spans="1:56" ht="31.5" customHeight="1" x14ac:dyDescent="0.25">
      <c r="A465" s="7" t="s">
        <v>58</v>
      </c>
      <c r="B465" s="2" t="s">
        <v>5818</v>
      </c>
      <c r="C465" s="2" t="s">
        <v>5819</v>
      </c>
      <c r="D465" s="2" t="s">
        <v>5820</v>
      </c>
      <c r="F465" s="3" t="s">
        <v>58</v>
      </c>
      <c r="G465" s="3" t="s">
        <v>59</v>
      </c>
      <c r="H465" s="3" t="s">
        <v>58</v>
      </c>
      <c r="I465" s="3" t="s">
        <v>58</v>
      </c>
      <c r="J465" s="3" t="s">
        <v>60</v>
      </c>
      <c r="K465" s="2" t="s">
        <v>5821</v>
      </c>
      <c r="L465" s="2" t="s">
        <v>5822</v>
      </c>
      <c r="M465" s="3" t="s">
        <v>344</v>
      </c>
      <c r="N465" s="2" t="s">
        <v>501</v>
      </c>
      <c r="O465" s="3" t="s">
        <v>63</v>
      </c>
      <c r="P465" s="3" t="s">
        <v>64</v>
      </c>
      <c r="Q465" s="2" t="s">
        <v>2367</v>
      </c>
      <c r="R465" s="3" t="s">
        <v>65</v>
      </c>
      <c r="S465" s="4">
        <v>1</v>
      </c>
      <c r="T465" s="4">
        <v>1</v>
      </c>
      <c r="U465" s="5" t="s">
        <v>5508</v>
      </c>
      <c r="V465" s="5" t="s">
        <v>5508</v>
      </c>
      <c r="W465" s="5" t="s">
        <v>4250</v>
      </c>
      <c r="X465" s="5" t="s">
        <v>4250</v>
      </c>
      <c r="Y465" s="4">
        <v>382</v>
      </c>
      <c r="Z465" s="4">
        <v>292</v>
      </c>
      <c r="AA465" s="4">
        <v>390</v>
      </c>
      <c r="AB465" s="4">
        <v>1</v>
      </c>
      <c r="AC465" s="4">
        <v>2</v>
      </c>
      <c r="AD465" s="4">
        <v>17</v>
      </c>
      <c r="AE465" s="4">
        <v>21</v>
      </c>
      <c r="AF465" s="4">
        <v>8</v>
      </c>
      <c r="AG465" s="4">
        <v>10</v>
      </c>
      <c r="AH465" s="4">
        <v>1</v>
      </c>
      <c r="AI465" s="4">
        <v>2</v>
      </c>
      <c r="AJ465" s="4">
        <v>12</v>
      </c>
      <c r="AK465" s="4">
        <v>14</v>
      </c>
      <c r="AL465" s="4">
        <v>0</v>
      </c>
      <c r="AM465" s="4">
        <v>1</v>
      </c>
      <c r="AN465" s="4">
        <v>0</v>
      </c>
      <c r="AO465" s="4">
        <v>0</v>
      </c>
      <c r="AP465" s="3" t="s">
        <v>58</v>
      </c>
      <c r="AQ465" s="3" t="s">
        <v>68</v>
      </c>
      <c r="AR465" s="6" t="str">
        <f>HYPERLINK("http://catalog.hathitrust.org/Record/002932203","HathiTrust Record")</f>
        <v>HathiTrust Record</v>
      </c>
      <c r="AS465" s="6" t="str">
        <f>HYPERLINK("https://creighton-primo.hosted.exlibrisgroup.com/primo-explore/search?tab=default_tab&amp;search_scope=EVERYTHING&amp;vid=01CRU&amp;lang=en_US&amp;offset=0&amp;query=any,contains,991004571859702656","Catalog Record")</f>
        <v>Catalog Record</v>
      </c>
      <c r="AT465" s="6" t="str">
        <f>HYPERLINK("http://www.worldcat.org/oclc/28723614","WorldCat Record")</f>
        <v>WorldCat Record</v>
      </c>
      <c r="AU465" s="3" t="s">
        <v>5823</v>
      </c>
      <c r="AV465" s="3" t="s">
        <v>5824</v>
      </c>
      <c r="AW465" s="3" t="s">
        <v>5825</v>
      </c>
      <c r="AX465" s="3" t="s">
        <v>5825</v>
      </c>
      <c r="AY465" s="3" t="s">
        <v>5826</v>
      </c>
      <c r="AZ465" s="3" t="s">
        <v>73</v>
      </c>
      <c r="BB465" s="3" t="s">
        <v>5827</v>
      </c>
      <c r="BC465" s="3" t="s">
        <v>5828</v>
      </c>
      <c r="BD465" s="3" t="s">
        <v>5829</v>
      </c>
    </row>
    <row r="466" spans="1:56" ht="31.5" customHeight="1" x14ac:dyDescent="0.25">
      <c r="A466" s="7" t="s">
        <v>58</v>
      </c>
      <c r="B466" s="2" t="s">
        <v>5830</v>
      </c>
      <c r="C466" s="2" t="s">
        <v>5831</v>
      </c>
      <c r="D466" s="2" t="s">
        <v>5832</v>
      </c>
      <c r="F466" s="3" t="s">
        <v>58</v>
      </c>
      <c r="G466" s="3" t="s">
        <v>59</v>
      </c>
      <c r="H466" s="3" t="s">
        <v>58</v>
      </c>
      <c r="I466" s="3" t="s">
        <v>58</v>
      </c>
      <c r="J466" s="3" t="s">
        <v>60</v>
      </c>
      <c r="K466" s="2" t="s">
        <v>5721</v>
      </c>
      <c r="L466" s="2" t="s">
        <v>4069</v>
      </c>
      <c r="M466" s="3" t="s">
        <v>944</v>
      </c>
      <c r="O466" s="3" t="s">
        <v>63</v>
      </c>
      <c r="P466" s="3" t="s">
        <v>98</v>
      </c>
      <c r="Q466" s="2" t="s">
        <v>2367</v>
      </c>
      <c r="R466" s="3" t="s">
        <v>65</v>
      </c>
      <c r="S466" s="4">
        <v>4</v>
      </c>
      <c r="T466" s="4">
        <v>4</v>
      </c>
      <c r="U466" s="5" t="s">
        <v>5508</v>
      </c>
      <c r="V466" s="5" t="s">
        <v>5508</v>
      </c>
      <c r="W466" s="5" t="s">
        <v>5833</v>
      </c>
      <c r="X466" s="5" t="s">
        <v>5833</v>
      </c>
      <c r="Y466" s="4">
        <v>325</v>
      </c>
      <c r="Z466" s="4">
        <v>226</v>
      </c>
      <c r="AA466" s="4">
        <v>345</v>
      </c>
      <c r="AB466" s="4">
        <v>2</v>
      </c>
      <c r="AC466" s="4">
        <v>2</v>
      </c>
      <c r="AD466" s="4">
        <v>8</v>
      </c>
      <c r="AE466" s="4">
        <v>15</v>
      </c>
      <c r="AF466" s="4">
        <v>3</v>
      </c>
      <c r="AG466" s="4">
        <v>4</v>
      </c>
      <c r="AH466" s="4">
        <v>2</v>
      </c>
      <c r="AI466" s="4">
        <v>3</v>
      </c>
      <c r="AJ466" s="4">
        <v>4</v>
      </c>
      <c r="AK466" s="4">
        <v>9</v>
      </c>
      <c r="AL466" s="4">
        <v>1</v>
      </c>
      <c r="AM466" s="4">
        <v>1</v>
      </c>
      <c r="AN466" s="4">
        <v>0</v>
      </c>
      <c r="AO466" s="4">
        <v>0</v>
      </c>
      <c r="AP466" s="3" t="s">
        <v>58</v>
      </c>
      <c r="AQ466" s="3" t="s">
        <v>68</v>
      </c>
      <c r="AR466" s="6" t="str">
        <f>HYPERLINK("http://catalog.hathitrust.org/Record/002053694","HathiTrust Record")</f>
        <v>HathiTrust Record</v>
      </c>
      <c r="AS466" s="6" t="str">
        <f>HYPERLINK("https://creighton-primo.hosted.exlibrisgroup.com/primo-explore/search?tab=default_tab&amp;search_scope=EVERYTHING&amp;vid=01CRU&amp;lang=en_US&amp;offset=0&amp;query=any,contains,991001600419702656","Catalog Record")</f>
        <v>Catalog Record</v>
      </c>
      <c r="AT466" s="6" t="str">
        <f>HYPERLINK("http://www.worldcat.org/oclc/20669910","WorldCat Record")</f>
        <v>WorldCat Record</v>
      </c>
      <c r="AU466" s="3" t="s">
        <v>5834</v>
      </c>
      <c r="AV466" s="3" t="s">
        <v>5835</v>
      </c>
      <c r="AW466" s="3" t="s">
        <v>5836</v>
      </c>
      <c r="AX466" s="3" t="s">
        <v>5836</v>
      </c>
      <c r="AY466" s="3" t="s">
        <v>5837</v>
      </c>
      <c r="AZ466" s="3" t="s">
        <v>73</v>
      </c>
      <c r="BB466" s="3" t="s">
        <v>5838</v>
      </c>
      <c r="BC466" s="3" t="s">
        <v>5839</v>
      </c>
      <c r="BD466" s="3" t="s">
        <v>5840</v>
      </c>
    </row>
    <row r="467" spans="1:56" ht="31.5" customHeight="1" x14ac:dyDescent="0.25">
      <c r="A467" s="7" t="s">
        <v>58</v>
      </c>
      <c r="B467" s="2" t="s">
        <v>5841</v>
      </c>
      <c r="C467" s="2" t="s">
        <v>5842</v>
      </c>
      <c r="D467" s="2" t="s">
        <v>5843</v>
      </c>
      <c r="F467" s="3" t="s">
        <v>58</v>
      </c>
      <c r="G467" s="3" t="s">
        <v>59</v>
      </c>
      <c r="H467" s="3" t="s">
        <v>58</v>
      </c>
      <c r="I467" s="3" t="s">
        <v>58</v>
      </c>
      <c r="J467" s="3" t="s">
        <v>60</v>
      </c>
      <c r="K467" s="2" t="s">
        <v>5844</v>
      </c>
      <c r="L467" s="2" t="s">
        <v>5845</v>
      </c>
      <c r="M467" s="3" t="s">
        <v>2546</v>
      </c>
      <c r="O467" s="3" t="s">
        <v>63</v>
      </c>
      <c r="P467" s="3" t="s">
        <v>64</v>
      </c>
      <c r="R467" s="3" t="s">
        <v>65</v>
      </c>
      <c r="S467" s="4">
        <v>1</v>
      </c>
      <c r="T467" s="4">
        <v>1</v>
      </c>
      <c r="U467" s="5" t="s">
        <v>5113</v>
      </c>
      <c r="V467" s="5" t="s">
        <v>5113</v>
      </c>
      <c r="W467" s="5" t="s">
        <v>5113</v>
      </c>
      <c r="X467" s="5" t="s">
        <v>5113</v>
      </c>
      <c r="Y467" s="4">
        <v>719</v>
      </c>
      <c r="Z467" s="4">
        <v>641</v>
      </c>
      <c r="AA467" s="4">
        <v>772</v>
      </c>
      <c r="AB467" s="4">
        <v>8</v>
      </c>
      <c r="AC467" s="4">
        <v>10</v>
      </c>
      <c r="AD467" s="4">
        <v>30</v>
      </c>
      <c r="AE467" s="4">
        <v>35</v>
      </c>
      <c r="AF467" s="4">
        <v>10</v>
      </c>
      <c r="AG467" s="4">
        <v>11</v>
      </c>
      <c r="AH467" s="4">
        <v>6</v>
      </c>
      <c r="AI467" s="4">
        <v>8</v>
      </c>
      <c r="AJ467" s="4">
        <v>16</v>
      </c>
      <c r="AK467" s="4">
        <v>18</v>
      </c>
      <c r="AL467" s="4">
        <v>7</v>
      </c>
      <c r="AM467" s="4">
        <v>8</v>
      </c>
      <c r="AN467" s="4">
        <v>0</v>
      </c>
      <c r="AO467" s="4">
        <v>0</v>
      </c>
      <c r="AP467" s="3" t="s">
        <v>58</v>
      </c>
      <c r="AQ467" s="3" t="s">
        <v>58</v>
      </c>
      <c r="AS467" s="6" t="str">
        <f>HYPERLINK("https://creighton-primo.hosted.exlibrisgroup.com/primo-explore/search?tab=default_tab&amp;search_scope=EVERYTHING&amp;vid=01CRU&amp;lang=en_US&amp;offset=0&amp;query=any,contains,991003617119702656","Catalog Record")</f>
        <v>Catalog Record</v>
      </c>
      <c r="AT467" s="6" t="str">
        <f>HYPERLINK("http://www.worldcat.org/oclc/45583430","WorldCat Record")</f>
        <v>WorldCat Record</v>
      </c>
      <c r="AU467" s="3" t="s">
        <v>5846</v>
      </c>
      <c r="AV467" s="3" t="s">
        <v>5847</v>
      </c>
      <c r="AW467" s="3" t="s">
        <v>5848</v>
      </c>
      <c r="AX467" s="3" t="s">
        <v>5848</v>
      </c>
      <c r="AY467" s="3" t="s">
        <v>5849</v>
      </c>
      <c r="AZ467" s="3" t="s">
        <v>73</v>
      </c>
      <c r="BB467" s="3" t="s">
        <v>5850</v>
      </c>
      <c r="BC467" s="3" t="s">
        <v>5851</v>
      </c>
      <c r="BD467" s="3" t="s">
        <v>5852</v>
      </c>
    </row>
    <row r="468" spans="1:56" ht="31.5" customHeight="1" x14ac:dyDescent="0.25">
      <c r="A468" s="7" t="s">
        <v>58</v>
      </c>
      <c r="B468" s="2" t="s">
        <v>5853</v>
      </c>
      <c r="C468" s="2" t="s">
        <v>5854</v>
      </c>
      <c r="D468" s="2" t="s">
        <v>5855</v>
      </c>
      <c r="F468" s="3" t="s">
        <v>58</v>
      </c>
      <c r="G468" s="3" t="s">
        <v>59</v>
      </c>
      <c r="H468" s="3" t="s">
        <v>58</v>
      </c>
      <c r="I468" s="3" t="s">
        <v>58</v>
      </c>
      <c r="J468" s="3" t="s">
        <v>60</v>
      </c>
      <c r="K468" s="2" t="s">
        <v>5856</v>
      </c>
      <c r="L468" s="2" t="s">
        <v>5857</v>
      </c>
      <c r="M468" s="3" t="s">
        <v>835</v>
      </c>
      <c r="O468" s="3" t="s">
        <v>63</v>
      </c>
      <c r="P468" s="3" t="s">
        <v>64</v>
      </c>
      <c r="R468" s="3" t="s">
        <v>65</v>
      </c>
      <c r="S468" s="4">
        <v>4</v>
      </c>
      <c r="T468" s="4">
        <v>4</v>
      </c>
      <c r="U468" s="5" t="s">
        <v>5858</v>
      </c>
      <c r="V468" s="5" t="s">
        <v>5858</v>
      </c>
      <c r="W468" s="5" t="s">
        <v>5859</v>
      </c>
      <c r="X468" s="5" t="s">
        <v>5859</v>
      </c>
      <c r="Y468" s="4">
        <v>715</v>
      </c>
      <c r="Z468" s="4">
        <v>620</v>
      </c>
      <c r="AA468" s="4">
        <v>631</v>
      </c>
      <c r="AB468" s="4">
        <v>4</v>
      </c>
      <c r="AC468" s="4">
        <v>4</v>
      </c>
      <c r="AD468" s="4">
        <v>17</v>
      </c>
      <c r="AE468" s="4">
        <v>17</v>
      </c>
      <c r="AF468" s="4">
        <v>5</v>
      </c>
      <c r="AG468" s="4">
        <v>5</v>
      </c>
      <c r="AH468" s="4">
        <v>3</v>
      </c>
      <c r="AI468" s="4">
        <v>3</v>
      </c>
      <c r="AJ468" s="4">
        <v>11</v>
      </c>
      <c r="AK468" s="4">
        <v>11</v>
      </c>
      <c r="AL468" s="4">
        <v>3</v>
      </c>
      <c r="AM468" s="4">
        <v>3</v>
      </c>
      <c r="AN468" s="4">
        <v>0</v>
      </c>
      <c r="AO468" s="4">
        <v>0</v>
      </c>
      <c r="AP468" s="3" t="s">
        <v>58</v>
      </c>
      <c r="AQ468" s="3" t="s">
        <v>68</v>
      </c>
      <c r="AR468" s="6" t="str">
        <f>HYPERLINK("http://catalog.hathitrust.org/Record/003996243","HathiTrust Record")</f>
        <v>HathiTrust Record</v>
      </c>
      <c r="AS468" s="6" t="str">
        <f>HYPERLINK("https://creighton-primo.hosted.exlibrisgroup.com/primo-explore/search?tab=default_tab&amp;search_scope=EVERYTHING&amp;vid=01CRU&amp;lang=en_US&amp;offset=0&amp;query=any,contains,991002890679702656","Catalog Record")</f>
        <v>Catalog Record</v>
      </c>
      <c r="AT468" s="6" t="str">
        <f>HYPERLINK("http://www.worldcat.org/oclc/38081886","WorldCat Record")</f>
        <v>WorldCat Record</v>
      </c>
      <c r="AU468" s="3" t="s">
        <v>5860</v>
      </c>
      <c r="AV468" s="3" t="s">
        <v>5861</v>
      </c>
      <c r="AW468" s="3" t="s">
        <v>5862</v>
      </c>
      <c r="AX468" s="3" t="s">
        <v>5862</v>
      </c>
      <c r="AY468" s="3" t="s">
        <v>5863</v>
      </c>
      <c r="AZ468" s="3" t="s">
        <v>73</v>
      </c>
      <c r="BB468" s="3" t="s">
        <v>5864</v>
      </c>
      <c r="BC468" s="3" t="s">
        <v>5865</v>
      </c>
      <c r="BD468" s="3" t="s">
        <v>5866</v>
      </c>
    </row>
    <row r="469" spans="1:56" ht="31.5" customHeight="1" x14ac:dyDescent="0.25">
      <c r="A469" s="7" t="s">
        <v>58</v>
      </c>
      <c r="B469" s="2" t="s">
        <v>5867</v>
      </c>
      <c r="C469" s="2" t="s">
        <v>5868</v>
      </c>
      <c r="D469" s="2" t="s">
        <v>5869</v>
      </c>
      <c r="F469" s="3" t="s">
        <v>58</v>
      </c>
      <c r="G469" s="3" t="s">
        <v>59</v>
      </c>
      <c r="H469" s="3" t="s">
        <v>58</v>
      </c>
      <c r="I469" s="3" t="s">
        <v>58</v>
      </c>
      <c r="J469" s="3" t="s">
        <v>60</v>
      </c>
      <c r="K469" s="2" t="s">
        <v>5870</v>
      </c>
      <c r="L469" s="2" t="s">
        <v>5871</v>
      </c>
      <c r="M469" s="3" t="s">
        <v>82</v>
      </c>
      <c r="O469" s="3" t="s">
        <v>63</v>
      </c>
      <c r="P469" s="3" t="s">
        <v>64</v>
      </c>
      <c r="R469" s="3" t="s">
        <v>65</v>
      </c>
      <c r="S469" s="4">
        <v>1</v>
      </c>
      <c r="T469" s="4">
        <v>1</v>
      </c>
      <c r="U469" s="5" t="s">
        <v>5872</v>
      </c>
      <c r="V469" s="5" t="s">
        <v>5872</v>
      </c>
      <c r="W469" s="5" t="s">
        <v>5873</v>
      </c>
      <c r="X469" s="5" t="s">
        <v>5873</v>
      </c>
      <c r="Y469" s="4">
        <v>674</v>
      </c>
      <c r="Z469" s="4">
        <v>609</v>
      </c>
      <c r="AA469" s="4">
        <v>637</v>
      </c>
      <c r="AB469" s="4">
        <v>5</v>
      </c>
      <c r="AC469" s="4">
        <v>5</v>
      </c>
      <c r="AD469" s="4">
        <v>23</v>
      </c>
      <c r="AE469" s="4">
        <v>25</v>
      </c>
      <c r="AF469" s="4">
        <v>10</v>
      </c>
      <c r="AG469" s="4">
        <v>11</v>
      </c>
      <c r="AH469" s="4">
        <v>5</v>
      </c>
      <c r="AI469" s="4">
        <v>6</v>
      </c>
      <c r="AJ469" s="4">
        <v>11</v>
      </c>
      <c r="AK469" s="4">
        <v>12</v>
      </c>
      <c r="AL469" s="4">
        <v>4</v>
      </c>
      <c r="AM469" s="4">
        <v>4</v>
      </c>
      <c r="AN469" s="4">
        <v>0</v>
      </c>
      <c r="AO469" s="4">
        <v>0</v>
      </c>
      <c r="AP469" s="3" t="s">
        <v>58</v>
      </c>
      <c r="AQ469" s="3" t="s">
        <v>58</v>
      </c>
      <c r="AS469" s="6" t="str">
        <f>HYPERLINK("https://creighton-primo.hosted.exlibrisgroup.com/primo-explore/search?tab=default_tab&amp;search_scope=EVERYTHING&amp;vid=01CRU&amp;lang=en_US&amp;offset=0&amp;query=any,contains,991003821679702656","Catalog Record")</f>
        <v>Catalog Record</v>
      </c>
      <c r="AT469" s="6" t="str">
        <f>HYPERLINK("http://www.worldcat.org/oclc/47666987","WorldCat Record")</f>
        <v>WorldCat Record</v>
      </c>
      <c r="AU469" s="3" t="s">
        <v>5874</v>
      </c>
      <c r="AV469" s="3" t="s">
        <v>5875</v>
      </c>
      <c r="AW469" s="3" t="s">
        <v>5876</v>
      </c>
      <c r="AX469" s="3" t="s">
        <v>5876</v>
      </c>
      <c r="AY469" s="3" t="s">
        <v>5877</v>
      </c>
      <c r="AZ469" s="3" t="s">
        <v>73</v>
      </c>
      <c r="BB469" s="3" t="s">
        <v>5878</v>
      </c>
      <c r="BC469" s="3" t="s">
        <v>5879</v>
      </c>
      <c r="BD469" s="3" t="s">
        <v>5880</v>
      </c>
    </row>
    <row r="470" spans="1:56" ht="31.5" customHeight="1" x14ac:dyDescent="0.25">
      <c r="A470" s="7" t="s">
        <v>58</v>
      </c>
      <c r="B470" s="2" t="s">
        <v>5881</v>
      </c>
      <c r="C470" s="2" t="s">
        <v>5882</v>
      </c>
      <c r="D470" s="2" t="s">
        <v>5883</v>
      </c>
      <c r="F470" s="3" t="s">
        <v>58</v>
      </c>
      <c r="G470" s="3" t="s">
        <v>59</v>
      </c>
      <c r="H470" s="3" t="s">
        <v>58</v>
      </c>
      <c r="I470" s="3" t="s">
        <v>58</v>
      </c>
      <c r="J470" s="3" t="s">
        <v>60</v>
      </c>
      <c r="K470" s="2" t="s">
        <v>5884</v>
      </c>
      <c r="L470" s="2" t="s">
        <v>5885</v>
      </c>
      <c r="M470" s="3" t="s">
        <v>113</v>
      </c>
      <c r="O470" s="3" t="s">
        <v>63</v>
      </c>
      <c r="P470" s="3" t="s">
        <v>186</v>
      </c>
      <c r="R470" s="3" t="s">
        <v>65</v>
      </c>
      <c r="S470" s="4">
        <v>1</v>
      </c>
      <c r="T470" s="4">
        <v>1</v>
      </c>
      <c r="U470" s="5" t="s">
        <v>5886</v>
      </c>
      <c r="V470" s="5" t="s">
        <v>5886</v>
      </c>
      <c r="W470" s="5" t="s">
        <v>5886</v>
      </c>
      <c r="X470" s="5" t="s">
        <v>5886</v>
      </c>
      <c r="Y470" s="4">
        <v>570</v>
      </c>
      <c r="Z470" s="4">
        <v>487</v>
      </c>
      <c r="AA470" s="4">
        <v>503</v>
      </c>
      <c r="AB470" s="4">
        <v>4</v>
      </c>
      <c r="AC470" s="4">
        <v>4</v>
      </c>
      <c r="AD470" s="4">
        <v>17</v>
      </c>
      <c r="AE470" s="4">
        <v>17</v>
      </c>
      <c r="AF470" s="4">
        <v>8</v>
      </c>
      <c r="AG470" s="4">
        <v>8</v>
      </c>
      <c r="AH470" s="4">
        <v>4</v>
      </c>
      <c r="AI470" s="4">
        <v>4</v>
      </c>
      <c r="AJ470" s="4">
        <v>8</v>
      </c>
      <c r="AK470" s="4">
        <v>8</v>
      </c>
      <c r="AL470" s="4">
        <v>3</v>
      </c>
      <c r="AM470" s="4">
        <v>3</v>
      </c>
      <c r="AN470" s="4">
        <v>0</v>
      </c>
      <c r="AO470" s="4">
        <v>0</v>
      </c>
      <c r="AP470" s="3" t="s">
        <v>58</v>
      </c>
      <c r="AQ470" s="3" t="s">
        <v>58</v>
      </c>
      <c r="AS470" s="6" t="str">
        <f>HYPERLINK("https://creighton-primo.hosted.exlibrisgroup.com/primo-explore/search?tab=default_tab&amp;search_scope=EVERYTHING&amp;vid=01CRU&amp;lang=en_US&amp;offset=0&amp;query=any,contains,991004540409702656","Catalog Record")</f>
        <v>Catalog Record</v>
      </c>
      <c r="AT470" s="6" t="str">
        <f>HYPERLINK("http://www.worldcat.org/oclc/51518497","WorldCat Record")</f>
        <v>WorldCat Record</v>
      </c>
      <c r="AU470" s="3" t="s">
        <v>5887</v>
      </c>
      <c r="AV470" s="3" t="s">
        <v>5888</v>
      </c>
      <c r="AW470" s="3" t="s">
        <v>5889</v>
      </c>
      <c r="AX470" s="3" t="s">
        <v>5889</v>
      </c>
      <c r="AY470" s="3" t="s">
        <v>5890</v>
      </c>
      <c r="AZ470" s="3" t="s">
        <v>73</v>
      </c>
      <c r="BB470" s="3" t="s">
        <v>5891</v>
      </c>
      <c r="BC470" s="3" t="s">
        <v>5892</v>
      </c>
      <c r="BD470" s="3" t="s">
        <v>5893</v>
      </c>
    </row>
    <row r="471" spans="1:56" ht="31.5" customHeight="1" x14ac:dyDescent="0.25">
      <c r="A471" s="7" t="s">
        <v>58</v>
      </c>
      <c r="B471" s="2" t="s">
        <v>5894</v>
      </c>
      <c r="C471" s="2" t="s">
        <v>5895</v>
      </c>
      <c r="D471" s="2" t="s">
        <v>5896</v>
      </c>
      <c r="F471" s="3" t="s">
        <v>58</v>
      </c>
      <c r="G471" s="3" t="s">
        <v>59</v>
      </c>
      <c r="H471" s="3" t="s">
        <v>58</v>
      </c>
      <c r="I471" s="3" t="s">
        <v>58</v>
      </c>
      <c r="J471" s="3" t="s">
        <v>60</v>
      </c>
      <c r="K471" s="2" t="s">
        <v>5897</v>
      </c>
      <c r="L471" s="2" t="s">
        <v>5898</v>
      </c>
      <c r="M471" s="3" t="s">
        <v>877</v>
      </c>
      <c r="O471" s="3" t="s">
        <v>63</v>
      </c>
      <c r="P471" s="3" t="s">
        <v>98</v>
      </c>
      <c r="R471" s="3" t="s">
        <v>65</v>
      </c>
      <c r="S471" s="4">
        <v>2</v>
      </c>
      <c r="T471" s="4">
        <v>2</v>
      </c>
      <c r="U471" s="5" t="s">
        <v>5899</v>
      </c>
      <c r="V471" s="5" t="s">
        <v>5899</v>
      </c>
      <c r="W471" s="5" t="s">
        <v>3853</v>
      </c>
      <c r="X471" s="5" t="s">
        <v>3853</v>
      </c>
      <c r="Y471" s="4">
        <v>247</v>
      </c>
      <c r="Z471" s="4">
        <v>183</v>
      </c>
      <c r="AA471" s="4">
        <v>186</v>
      </c>
      <c r="AB471" s="4">
        <v>2</v>
      </c>
      <c r="AC471" s="4">
        <v>2</v>
      </c>
      <c r="AD471" s="4">
        <v>7</v>
      </c>
      <c r="AE471" s="4">
        <v>7</v>
      </c>
      <c r="AF471" s="4">
        <v>3</v>
      </c>
      <c r="AG471" s="4">
        <v>3</v>
      </c>
      <c r="AH471" s="4">
        <v>3</v>
      </c>
      <c r="AI471" s="4">
        <v>3</v>
      </c>
      <c r="AJ471" s="4">
        <v>3</v>
      </c>
      <c r="AK471" s="4">
        <v>3</v>
      </c>
      <c r="AL471" s="4">
        <v>1</v>
      </c>
      <c r="AM471" s="4">
        <v>1</v>
      </c>
      <c r="AN471" s="4">
        <v>0</v>
      </c>
      <c r="AO471" s="4">
        <v>0</v>
      </c>
      <c r="AP471" s="3" t="s">
        <v>58</v>
      </c>
      <c r="AQ471" s="3" t="s">
        <v>68</v>
      </c>
      <c r="AR471" s="6" t="str">
        <f>HYPERLINK("http://catalog.hathitrust.org/Record/000577496","HathiTrust Record")</f>
        <v>HathiTrust Record</v>
      </c>
      <c r="AS471" s="6" t="str">
        <f>HYPERLINK("https://creighton-primo.hosted.exlibrisgroup.com/primo-explore/search?tab=default_tab&amp;search_scope=EVERYTHING&amp;vid=01CRU&amp;lang=en_US&amp;offset=0&amp;query=any,contains,991000610899702656","Catalog Record")</f>
        <v>Catalog Record</v>
      </c>
      <c r="AT471" s="6" t="str">
        <f>HYPERLINK("http://www.worldcat.org/oclc/11915378","WorldCat Record")</f>
        <v>WorldCat Record</v>
      </c>
      <c r="AU471" s="3" t="s">
        <v>5900</v>
      </c>
      <c r="AV471" s="3" t="s">
        <v>5901</v>
      </c>
      <c r="AW471" s="3" t="s">
        <v>5902</v>
      </c>
      <c r="AX471" s="3" t="s">
        <v>5902</v>
      </c>
      <c r="AY471" s="3" t="s">
        <v>5903</v>
      </c>
      <c r="AZ471" s="3" t="s">
        <v>73</v>
      </c>
      <c r="BB471" s="3" t="s">
        <v>5904</v>
      </c>
      <c r="BC471" s="3" t="s">
        <v>5905</v>
      </c>
      <c r="BD471" s="3" t="s">
        <v>5906</v>
      </c>
    </row>
    <row r="472" spans="1:56" ht="31.5" customHeight="1" x14ac:dyDescent="0.25">
      <c r="A472" s="7" t="s">
        <v>58</v>
      </c>
      <c r="B472" s="2" t="s">
        <v>5907</v>
      </c>
      <c r="C472" s="2" t="s">
        <v>5908</v>
      </c>
      <c r="D472" s="2" t="s">
        <v>5909</v>
      </c>
      <c r="F472" s="3" t="s">
        <v>58</v>
      </c>
      <c r="G472" s="3" t="s">
        <v>59</v>
      </c>
      <c r="H472" s="3" t="s">
        <v>58</v>
      </c>
      <c r="I472" s="3" t="s">
        <v>58</v>
      </c>
      <c r="J472" s="3" t="s">
        <v>60</v>
      </c>
      <c r="K472" s="2" t="s">
        <v>5910</v>
      </c>
      <c r="L472" s="2" t="s">
        <v>5911</v>
      </c>
      <c r="M472" s="3" t="s">
        <v>1235</v>
      </c>
      <c r="O472" s="3" t="s">
        <v>63</v>
      </c>
      <c r="P472" s="3" t="s">
        <v>186</v>
      </c>
      <c r="R472" s="3" t="s">
        <v>65</v>
      </c>
      <c r="S472" s="4">
        <v>2</v>
      </c>
      <c r="T472" s="4">
        <v>2</v>
      </c>
      <c r="U472" s="5" t="s">
        <v>5899</v>
      </c>
      <c r="V472" s="5" t="s">
        <v>5899</v>
      </c>
      <c r="W472" s="5" t="s">
        <v>5912</v>
      </c>
      <c r="X472" s="5" t="s">
        <v>5912</v>
      </c>
      <c r="Y472" s="4">
        <v>325</v>
      </c>
      <c r="Z472" s="4">
        <v>284</v>
      </c>
      <c r="AA472" s="4">
        <v>290</v>
      </c>
      <c r="AB472" s="4">
        <v>4</v>
      </c>
      <c r="AC472" s="4">
        <v>4</v>
      </c>
      <c r="AD472" s="4">
        <v>12</v>
      </c>
      <c r="AE472" s="4">
        <v>12</v>
      </c>
      <c r="AF472" s="4">
        <v>3</v>
      </c>
      <c r="AG472" s="4">
        <v>3</v>
      </c>
      <c r="AH472" s="4">
        <v>4</v>
      </c>
      <c r="AI472" s="4">
        <v>4</v>
      </c>
      <c r="AJ472" s="4">
        <v>5</v>
      </c>
      <c r="AK472" s="4">
        <v>5</v>
      </c>
      <c r="AL472" s="4">
        <v>3</v>
      </c>
      <c r="AM472" s="4">
        <v>3</v>
      </c>
      <c r="AN472" s="4">
        <v>0</v>
      </c>
      <c r="AO472" s="4">
        <v>0</v>
      </c>
      <c r="AP472" s="3" t="s">
        <v>58</v>
      </c>
      <c r="AQ472" s="3" t="s">
        <v>58</v>
      </c>
      <c r="AS472" s="6" t="str">
        <f>HYPERLINK("https://creighton-primo.hosted.exlibrisgroup.com/primo-explore/search?tab=default_tab&amp;search_scope=EVERYTHING&amp;vid=01CRU&amp;lang=en_US&amp;offset=0&amp;query=any,contains,991004653359702656","Catalog Record")</f>
        <v>Catalog Record</v>
      </c>
      <c r="AT472" s="6" t="str">
        <f>HYPERLINK("http://www.worldcat.org/oclc/61161343","WorldCat Record")</f>
        <v>WorldCat Record</v>
      </c>
      <c r="AU472" s="3" t="s">
        <v>5913</v>
      </c>
      <c r="AV472" s="3" t="s">
        <v>5914</v>
      </c>
      <c r="AW472" s="3" t="s">
        <v>5915</v>
      </c>
      <c r="AX472" s="3" t="s">
        <v>5915</v>
      </c>
      <c r="AY472" s="3" t="s">
        <v>5916</v>
      </c>
      <c r="AZ472" s="3" t="s">
        <v>73</v>
      </c>
      <c r="BB472" s="3" t="s">
        <v>5917</v>
      </c>
      <c r="BC472" s="3" t="s">
        <v>5918</v>
      </c>
      <c r="BD472" s="3" t="s">
        <v>5919</v>
      </c>
    </row>
    <row r="473" spans="1:56" ht="31.5" customHeight="1" x14ac:dyDescent="0.25">
      <c r="A473" s="7" t="s">
        <v>58</v>
      </c>
      <c r="B473" s="2" t="s">
        <v>5920</v>
      </c>
      <c r="C473" s="2" t="s">
        <v>5921</v>
      </c>
      <c r="D473" s="2" t="s">
        <v>5922</v>
      </c>
      <c r="F473" s="3" t="s">
        <v>58</v>
      </c>
      <c r="G473" s="3" t="s">
        <v>59</v>
      </c>
      <c r="H473" s="3" t="s">
        <v>58</v>
      </c>
      <c r="I473" s="3" t="s">
        <v>58</v>
      </c>
      <c r="J473" s="3" t="s">
        <v>60</v>
      </c>
      <c r="K473" s="2" t="s">
        <v>5923</v>
      </c>
      <c r="L473" s="2" t="s">
        <v>5924</v>
      </c>
      <c r="M473" s="3" t="s">
        <v>2253</v>
      </c>
      <c r="O473" s="3" t="s">
        <v>63</v>
      </c>
      <c r="P473" s="3" t="s">
        <v>186</v>
      </c>
      <c r="R473" s="3" t="s">
        <v>65</v>
      </c>
      <c r="S473" s="4">
        <v>2</v>
      </c>
      <c r="T473" s="4">
        <v>2</v>
      </c>
      <c r="U473" s="5" t="s">
        <v>5899</v>
      </c>
      <c r="V473" s="5" t="s">
        <v>5899</v>
      </c>
      <c r="W473" s="5" t="s">
        <v>3853</v>
      </c>
      <c r="X473" s="5" t="s">
        <v>3853</v>
      </c>
      <c r="Y473" s="4">
        <v>319</v>
      </c>
      <c r="Z473" s="4">
        <v>257</v>
      </c>
      <c r="AA473" s="4">
        <v>263</v>
      </c>
      <c r="AB473" s="4">
        <v>3</v>
      </c>
      <c r="AC473" s="4">
        <v>3</v>
      </c>
      <c r="AD473" s="4">
        <v>8</v>
      </c>
      <c r="AE473" s="4">
        <v>8</v>
      </c>
      <c r="AF473" s="4">
        <v>1</v>
      </c>
      <c r="AG473" s="4">
        <v>1</v>
      </c>
      <c r="AH473" s="4">
        <v>2</v>
      </c>
      <c r="AI473" s="4">
        <v>2</v>
      </c>
      <c r="AJ473" s="4">
        <v>3</v>
      </c>
      <c r="AK473" s="4">
        <v>3</v>
      </c>
      <c r="AL473" s="4">
        <v>2</v>
      </c>
      <c r="AM473" s="4">
        <v>2</v>
      </c>
      <c r="AN473" s="4">
        <v>0</v>
      </c>
      <c r="AO473" s="4">
        <v>0</v>
      </c>
      <c r="AP473" s="3" t="s">
        <v>58</v>
      </c>
      <c r="AQ473" s="3" t="s">
        <v>68</v>
      </c>
      <c r="AR473" s="6" t="str">
        <f>HYPERLINK("http://catalog.hathitrust.org/Record/000812862","HathiTrust Record")</f>
        <v>HathiTrust Record</v>
      </c>
      <c r="AS473" s="6" t="str">
        <f>HYPERLINK("https://creighton-primo.hosted.exlibrisgroup.com/primo-explore/search?tab=default_tab&amp;search_scope=EVERYTHING&amp;vid=01CRU&amp;lang=en_US&amp;offset=0&amp;query=any,contains,991000800299702656","Catalog Record")</f>
        <v>Catalog Record</v>
      </c>
      <c r="AT473" s="6" t="str">
        <f>HYPERLINK("http://www.worldcat.org/oclc/13218697","WorldCat Record")</f>
        <v>WorldCat Record</v>
      </c>
      <c r="AU473" s="3" t="s">
        <v>5925</v>
      </c>
      <c r="AV473" s="3" t="s">
        <v>5926</v>
      </c>
      <c r="AW473" s="3" t="s">
        <v>5927</v>
      </c>
      <c r="AX473" s="3" t="s">
        <v>5927</v>
      </c>
      <c r="AY473" s="3" t="s">
        <v>5928</v>
      </c>
      <c r="AZ473" s="3" t="s">
        <v>73</v>
      </c>
      <c r="BB473" s="3" t="s">
        <v>5929</v>
      </c>
      <c r="BC473" s="3" t="s">
        <v>5930</v>
      </c>
      <c r="BD473" s="3" t="s">
        <v>5931</v>
      </c>
    </row>
    <row r="474" spans="1:56" ht="31.5" customHeight="1" x14ac:dyDescent="0.25">
      <c r="A474" s="7" t="s">
        <v>58</v>
      </c>
      <c r="B474" s="2" t="s">
        <v>5932</v>
      </c>
      <c r="C474" s="2" t="s">
        <v>5933</v>
      </c>
      <c r="D474" s="2" t="s">
        <v>5934</v>
      </c>
      <c r="F474" s="3" t="s">
        <v>58</v>
      </c>
      <c r="G474" s="3" t="s">
        <v>59</v>
      </c>
      <c r="H474" s="3" t="s">
        <v>58</v>
      </c>
      <c r="I474" s="3" t="s">
        <v>58</v>
      </c>
      <c r="J474" s="3" t="s">
        <v>60</v>
      </c>
      <c r="K474" s="2" t="s">
        <v>5935</v>
      </c>
      <c r="L474" s="2" t="s">
        <v>5936</v>
      </c>
      <c r="M474" s="3" t="s">
        <v>185</v>
      </c>
      <c r="O474" s="3" t="s">
        <v>63</v>
      </c>
      <c r="P474" s="3" t="s">
        <v>64</v>
      </c>
      <c r="R474" s="3" t="s">
        <v>65</v>
      </c>
      <c r="S474" s="4">
        <v>3</v>
      </c>
      <c r="T474" s="4">
        <v>3</v>
      </c>
      <c r="U474" s="5" t="s">
        <v>5937</v>
      </c>
      <c r="V474" s="5" t="s">
        <v>5937</v>
      </c>
      <c r="W474" s="5" t="s">
        <v>3853</v>
      </c>
      <c r="X474" s="5" t="s">
        <v>3853</v>
      </c>
      <c r="Y474" s="4">
        <v>1001</v>
      </c>
      <c r="Z474" s="4">
        <v>897</v>
      </c>
      <c r="AA474" s="4">
        <v>1005</v>
      </c>
      <c r="AB474" s="4">
        <v>5</v>
      </c>
      <c r="AC474" s="4">
        <v>6</v>
      </c>
      <c r="AD474" s="4">
        <v>26</v>
      </c>
      <c r="AE474" s="4">
        <v>29</v>
      </c>
      <c r="AF474" s="4">
        <v>10</v>
      </c>
      <c r="AG474" s="4">
        <v>12</v>
      </c>
      <c r="AH474" s="4">
        <v>8</v>
      </c>
      <c r="AI474" s="4">
        <v>8</v>
      </c>
      <c r="AJ474" s="4">
        <v>10</v>
      </c>
      <c r="AK474" s="4">
        <v>11</v>
      </c>
      <c r="AL474" s="4">
        <v>3</v>
      </c>
      <c r="AM474" s="4">
        <v>4</v>
      </c>
      <c r="AN474" s="4">
        <v>0</v>
      </c>
      <c r="AO474" s="4">
        <v>0</v>
      </c>
      <c r="AP474" s="3" t="s">
        <v>58</v>
      </c>
      <c r="AQ474" s="3" t="s">
        <v>68</v>
      </c>
      <c r="AR474" s="6" t="str">
        <f>HYPERLINK("http://catalog.hathitrust.org/Record/000929073","HathiTrust Record")</f>
        <v>HathiTrust Record</v>
      </c>
      <c r="AS474" s="6" t="str">
        <f>HYPERLINK("https://creighton-primo.hosted.exlibrisgroup.com/primo-explore/search?tab=default_tab&amp;search_scope=EVERYTHING&amp;vid=01CRU&amp;lang=en_US&amp;offset=0&amp;query=any,contains,991001303309702656","Catalog Record")</f>
        <v>Catalog Record</v>
      </c>
      <c r="AT474" s="6" t="str">
        <f>HYPERLINK("http://www.worldcat.org/oclc/18072371","WorldCat Record")</f>
        <v>WorldCat Record</v>
      </c>
      <c r="AU474" s="3" t="s">
        <v>5938</v>
      </c>
      <c r="AV474" s="3" t="s">
        <v>5939</v>
      </c>
      <c r="AW474" s="3" t="s">
        <v>5940</v>
      </c>
      <c r="AX474" s="3" t="s">
        <v>5940</v>
      </c>
      <c r="AY474" s="3" t="s">
        <v>5941</v>
      </c>
      <c r="AZ474" s="3" t="s">
        <v>73</v>
      </c>
      <c r="BB474" s="3" t="s">
        <v>5942</v>
      </c>
      <c r="BC474" s="3" t="s">
        <v>5943</v>
      </c>
      <c r="BD474" s="3" t="s">
        <v>5944</v>
      </c>
    </row>
    <row r="475" spans="1:56" ht="31.5" customHeight="1" x14ac:dyDescent="0.25">
      <c r="A475" s="7" t="s">
        <v>58</v>
      </c>
      <c r="B475" s="2" t="s">
        <v>5945</v>
      </c>
      <c r="C475" s="2" t="s">
        <v>5946</v>
      </c>
      <c r="D475" s="2" t="s">
        <v>5947</v>
      </c>
      <c r="F475" s="3" t="s">
        <v>58</v>
      </c>
      <c r="G475" s="3" t="s">
        <v>59</v>
      </c>
      <c r="H475" s="3" t="s">
        <v>58</v>
      </c>
      <c r="I475" s="3" t="s">
        <v>58</v>
      </c>
      <c r="J475" s="3" t="s">
        <v>60</v>
      </c>
      <c r="K475" s="2" t="s">
        <v>3105</v>
      </c>
      <c r="L475" s="2" t="s">
        <v>5948</v>
      </c>
      <c r="M475" s="3" t="s">
        <v>443</v>
      </c>
      <c r="O475" s="3" t="s">
        <v>63</v>
      </c>
      <c r="P475" s="3" t="s">
        <v>64</v>
      </c>
      <c r="R475" s="3" t="s">
        <v>65</v>
      </c>
      <c r="S475" s="4">
        <v>3</v>
      </c>
      <c r="T475" s="4">
        <v>3</v>
      </c>
      <c r="U475" s="5" t="s">
        <v>5949</v>
      </c>
      <c r="V475" s="5" t="s">
        <v>5949</v>
      </c>
      <c r="W475" s="5" t="s">
        <v>5950</v>
      </c>
      <c r="X475" s="5" t="s">
        <v>5950</v>
      </c>
      <c r="Y475" s="4">
        <v>1547</v>
      </c>
      <c r="Z475" s="4">
        <v>1457</v>
      </c>
      <c r="AA475" s="4">
        <v>1559</v>
      </c>
      <c r="AB475" s="4">
        <v>15</v>
      </c>
      <c r="AC475" s="4">
        <v>16</v>
      </c>
      <c r="AD475" s="4">
        <v>34</v>
      </c>
      <c r="AE475" s="4">
        <v>34</v>
      </c>
      <c r="AF475" s="4">
        <v>13</v>
      </c>
      <c r="AG475" s="4">
        <v>13</v>
      </c>
      <c r="AH475" s="4">
        <v>7</v>
      </c>
      <c r="AI475" s="4">
        <v>7</v>
      </c>
      <c r="AJ475" s="4">
        <v>13</v>
      </c>
      <c r="AK475" s="4">
        <v>13</v>
      </c>
      <c r="AL475" s="4">
        <v>9</v>
      </c>
      <c r="AM475" s="4">
        <v>9</v>
      </c>
      <c r="AN475" s="4">
        <v>0</v>
      </c>
      <c r="AO475" s="4">
        <v>0</v>
      </c>
      <c r="AP475" s="3" t="s">
        <v>58</v>
      </c>
      <c r="AQ475" s="3" t="s">
        <v>68</v>
      </c>
      <c r="AR475" s="6" t="str">
        <f>HYPERLINK("http://catalog.hathitrust.org/Record/102010356","HathiTrust Record")</f>
        <v>HathiTrust Record</v>
      </c>
      <c r="AS475" s="6" t="str">
        <f>HYPERLINK("https://creighton-primo.hosted.exlibrisgroup.com/primo-explore/search?tab=default_tab&amp;search_scope=EVERYTHING&amp;vid=01CRU&amp;lang=en_US&amp;offset=0&amp;query=any,contains,991004273929702656","Catalog Record")</f>
        <v>Catalog Record</v>
      </c>
      <c r="AT475" s="6" t="str">
        <f>HYPERLINK("http://www.worldcat.org/oclc/2887731","WorldCat Record")</f>
        <v>WorldCat Record</v>
      </c>
      <c r="AU475" s="3" t="s">
        <v>5951</v>
      </c>
      <c r="AV475" s="3" t="s">
        <v>5952</v>
      </c>
      <c r="AW475" s="3" t="s">
        <v>5953</v>
      </c>
      <c r="AX475" s="3" t="s">
        <v>5953</v>
      </c>
      <c r="AY475" s="3" t="s">
        <v>5954</v>
      </c>
      <c r="AZ475" s="3" t="s">
        <v>73</v>
      </c>
      <c r="BB475" s="3" t="s">
        <v>5955</v>
      </c>
      <c r="BC475" s="3" t="s">
        <v>5956</v>
      </c>
      <c r="BD475" s="3" t="s">
        <v>5957</v>
      </c>
    </row>
    <row r="476" spans="1:56" ht="31.5" customHeight="1" x14ac:dyDescent="0.25">
      <c r="A476" s="7" t="s">
        <v>58</v>
      </c>
      <c r="B476" s="2" t="s">
        <v>5958</v>
      </c>
      <c r="C476" s="2" t="s">
        <v>5959</v>
      </c>
      <c r="D476" s="2" t="s">
        <v>5960</v>
      </c>
      <c r="F476" s="3" t="s">
        <v>58</v>
      </c>
      <c r="G476" s="3" t="s">
        <v>59</v>
      </c>
      <c r="H476" s="3" t="s">
        <v>58</v>
      </c>
      <c r="I476" s="3" t="s">
        <v>58</v>
      </c>
      <c r="J476" s="3" t="s">
        <v>60</v>
      </c>
      <c r="L476" s="2" t="s">
        <v>5961</v>
      </c>
      <c r="M476" s="3" t="s">
        <v>607</v>
      </c>
      <c r="O476" s="3" t="s">
        <v>63</v>
      </c>
      <c r="P476" s="3" t="s">
        <v>64</v>
      </c>
      <c r="R476" s="3" t="s">
        <v>65</v>
      </c>
      <c r="S476" s="4">
        <v>2</v>
      </c>
      <c r="T476" s="4">
        <v>2</v>
      </c>
      <c r="U476" s="5" t="s">
        <v>5962</v>
      </c>
      <c r="V476" s="5" t="s">
        <v>5962</v>
      </c>
      <c r="W476" s="5" t="s">
        <v>5963</v>
      </c>
      <c r="X476" s="5" t="s">
        <v>5963</v>
      </c>
      <c r="Y476" s="4">
        <v>303</v>
      </c>
      <c r="Z476" s="4">
        <v>238</v>
      </c>
      <c r="AA476" s="4">
        <v>246</v>
      </c>
      <c r="AB476" s="4">
        <v>2</v>
      </c>
      <c r="AC476" s="4">
        <v>2</v>
      </c>
      <c r="AD476" s="4">
        <v>7</v>
      </c>
      <c r="AE476" s="4">
        <v>7</v>
      </c>
      <c r="AF476" s="4">
        <v>2</v>
      </c>
      <c r="AG476" s="4">
        <v>2</v>
      </c>
      <c r="AH476" s="4">
        <v>3</v>
      </c>
      <c r="AI476" s="4">
        <v>3</v>
      </c>
      <c r="AJ476" s="4">
        <v>1</v>
      </c>
      <c r="AK476" s="4">
        <v>1</v>
      </c>
      <c r="AL476" s="4">
        <v>1</v>
      </c>
      <c r="AM476" s="4">
        <v>1</v>
      </c>
      <c r="AN476" s="4">
        <v>0</v>
      </c>
      <c r="AO476" s="4">
        <v>0</v>
      </c>
      <c r="AP476" s="3" t="s">
        <v>58</v>
      </c>
      <c r="AQ476" s="3" t="s">
        <v>58</v>
      </c>
      <c r="AS476" s="6" t="str">
        <f>HYPERLINK("https://creighton-primo.hosted.exlibrisgroup.com/primo-explore/search?tab=default_tab&amp;search_scope=EVERYTHING&amp;vid=01CRU&amp;lang=en_US&amp;offset=0&amp;query=any,contains,991003168419702656","Catalog Record")</f>
        <v>Catalog Record</v>
      </c>
      <c r="AT476" s="6" t="str">
        <f>HYPERLINK("http://www.worldcat.org/oclc/705479","WorldCat Record")</f>
        <v>WorldCat Record</v>
      </c>
      <c r="AU476" s="3" t="s">
        <v>5964</v>
      </c>
      <c r="AV476" s="3" t="s">
        <v>5965</v>
      </c>
      <c r="AW476" s="3" t="s">
        <v>5966</v>
      </c>
      <c r="AX476" s="3" t="s">
        <v>5966</v>
      </c>
      <c r="AY476" s="3" t="s">
        <v>5967</v>
      </c>
      <c r="AZ476" s="3" t="s">
        <v>73</v>
      </c>
      <c r="BB476" s="3" t="s">
        <v>5968</v>
      </c>
      <c r="BC476" s="3" t="s">
        <v>5969</v>
      </c>
      <c r="BD476" s="3" t="s">
        <v>5970</v>
      </c>
    </row>
    <row r="477" spans="1:56" ht="31.5" customHeight="1" x14ac:dyDescent="0.25">
      <c r="A477" s="7" t="s">
        <v>58</v>
      </c>
      <c r="B477" s="2" t="s">
        <v>5971</v>
      </c>
      <c r="C477" s="2" t="s">
        <v>5972</v>
      </c>
      <c r="D477" s="2" t="s">
        <v>5973</v>
      </c>
      <c r="F477" s="3" t="s">
        <v>58</v>
      </c>
      <c r="G477" s="3" t="s">
        <v>59</v>
      </c>
      <c r="H477" s="3" t="s">
        <v>58</v>
      </c>
      <c r="I477" s="3" t="s">
        <v>58</v>
      </c>
      <c r="J477" s="3" t="s">
        <v>60</v>
      </c>
      <c r="L477" s="2" t="s">
        <v>5974</v>
      </c>
      <c r="M477" s="3" t="s">
        <v>1912</v>
      </c>
      <c r="O477" s="3" t="s">
        <v>63</v>
      </c>
      <c r="P477" s="3" t="s">
        <v>580</v>
      </c>
      <c r="R477" s="3" t="s">
        <v>65</v>
      </c>
      <c r="S477" s="4">
        <v>4</v>
      </c>
      <c r="T477" s="4">
        <v>4</v>
      </c>
      <c r="U477" s="5" t="s">
        <v>5975</v>
      </c>
      <c r="V477" s="5" t="s">
        <v>5975</v>
      </c>
      <c r="W477" s="5" t="s">
        <v>5318</v>
      </c>
      <c r="X477" s="5" t="s">
        <v>5318</v>
      </c>
      <c r="Y477" s="4">
        <v>513</v>
      </c>
      <c r="Z477" s="4">
        <v>386</v>
      </c>
      <c r="AA477" s="4">
        <v>387</v>
      </c>
      <c r="AB477" s="4">
        <v>3</v>
      </c>
      <c r="AC477" s="4">
        <v>3</v>
      </c>
      <c r="AD477" s="4">
        <v>16</v>
      </c>
      <c r="AE477" s="4">
        <v>16</v>
      </c>
      <c r="AF477" s="4">
        <v>5</v>
      </c>
      <c r="AG477" s="4">
        <v>5</v>
      </c>
      <c r="AH477" s="4">
        <v>4</v>
      </c>
      <c r="AI477" s="4">
        <v>4</v>
      </c>
      <c r="AJ477" s="4">
        <v>9</v>
      </c>
      <c r="AK477" s="4">
        <v>9</v>
      </c>
      <c r="AL477" s="4">
        <v>2</v>
      </c>
      <c r="AM477" s="4">
        <v>2</v>
      </c>
      <c r="AN477" s="4">
        <v>0</v>
      </c>
      <c r="AO477" s="4">
        <v>0</v>
      </c>
      <c r="AP477" s="3" t="s">
        <v>58</v>
      </c>
      <c r="AQ477" s="3" t="s">
        <v>58</v>
      </c>
      <c r="AS477" s="6" t="str">
        <f>HYPERLINK("https://creighton-primo.hosted.exlibrisgroup.com/primo-explore/search?tab=default_tab&amp;search_scope=EVERYTHING&amp;vid=01CRU&amp;lang=en_US&amp;offset=0&amp;query=any,contains,991000866839702656","Catalog Record")</f>
        <v>Catalog Record</v>
      </c>
      <c r="AT477" s="6" t="str">
        <f>HYPERLINK("http://www.worldcat.org/oclc/13759977","WorldCat Record")</f>
        <v>WorldCat Record</v>
      </c>
      <c r="AU477" s="3" t="s">
        <v>5976</v>
      </c>
      <c r="AV477" s="3" t="s">
        <v>5977</v>
      </c>
      <c r="AW477" s="3" t="s">
        <v>5978</v>
      </c>
      <c r="AX477" s="3" t="s">
        <v>5978</v>
      </c>
      <c r="AY477" s="3" t="s">
        <v>5979</v>
      </c>
      <c r="AZ477" s="3" t="s">
        <v>73</v>
      </c>
      <c r="BB477" s="3" t="s">
        <v>5980</v>
      </c>
      <c r="BC477" s="3" t="s">
        <v>5981</v>
      </c>
      <c r="BD477" s="3" t="s">
        <v>5982</v>
      </c>
    </row>
    <row r="478" spans="1:56" ht="31.5" customHeight="1" x14ac:dyDescent="0.25">
      <c r="A478" s="7" t="s">
        <v>58</v>
      </c>
      <c r="B478" s="2" t="s">
        <v>5983</v>
      </c>
      <c r="C478" s="2" t="s">
        <v>5984</v>
      </c>
      <c r="D478" s="2" t="s">
        <v>5985</v>
      </c>
      <c r="F478" s="3" t="s">
        <v>58</v>
      </c>
      <c r="G478" s="3" t="s">
        <v>59</v>
      </c>
      <c r="H478" s="3" t="s">
        <v>58</v>
      </c>
      <c r="I478" s="3" t="s">
        <v>58</v>
      </c>
      <c r="J478" s="3" t="s">
        <v>60</v>
      </c>
      <c r="K478" s="2" t="s">
        <v>5986</v>
      </c>
      <c r="L478" s="2" t="s">
        <v>5987</v>
      </c>
      <c r="M478" s="3" t="s">
        <v>1912</v>
      </c>
      <c r="N478" s="2" t="s">
        <v>501</v>
      </c>
      <c r="O478" s="3" t="s">
        <v>63</v>
      </c>
      <c r="P478" s="3" t="s">
        <v>64</v>
      </c>
      <c r="Q478" s="2" t="s">
        <v>5988</v>
      </c>
      <c r="R478" s="3" t="s">
        <v>65</v>
      </c>
      <c r="S478" s="4">
        <v>19</v>
      </c>
      <c r="T478" s="4">
        <v>19</v>
      </c>
      <c r="U478" s="5" t="s">
        <v>2254</v>
      </c>
      <c r="V478" s="5" t="s">
        <v>2254</v>
      </c>
      <c r="W478" s="5" t="s">
        <v>5989</v>
      </c>
      <c r="X478" s="5" t="s">
        <v>5989</v>
      </c>
      <c r="Y478" s="4">
        <v>538</v>
      </c>
      <c r="Z478" s="4">
        <v>515</v>
      </c>
      <c r="AA478" s="4">
        <v>555</v>
      </c>
      <c r="AB478" s="4">
        <v>6</v>
      </c>
      <c r="AC478" s="4">
        <v>6</v>
      </c>
      <c r="AD478" s="4">
        <v>1</v>
      </c>
      <c r="AE478" s="4">
        <v>2</v>
      </c>
      <c r="AF478" s="4">
        <v>0</v>
      </c>
      <c r="AG478" s="4">
        <v>0</v>
      </c>
      <c r="AH478" s="4">
        <v>1</v>
      </c>
      <c r="AI478" s="4">
        <v>2</v>
      </c>
      <c r="AJ478" s="4">
        <v>1</v>
      </c>
      <c r="AK478" s="4">
        <v>1</v>
      </c>
      <c r="AL478" s="4">
        <v>0</v>
      </c>
      <c r="AM478" s="4">
        <v>0</v>
      </c>
      <c r="AN478" s="4">
        <v>0</v>
      </c>
      <c r="AO478" s="4">
        <v>0</v>
      </c>
      <c r="AP478" s="3" t="s">
        <v>58</v>
      </c>
      <c r="AQ478" s="3" t="s">
        <v>58</v>
      </c>
      <c r="AS478" s="6" t="str">
        <f>HYPERLINK("https://creighton-primo.hosted.exlibrisgroup.com/primo-explore/search?tab=default_tab&amp;search_scope=EVERYTHING&amp;vid=01CRU&amp;lang=en_US&amp;offset=0&amp;query=any,contains,991004445689702656","Catalog Record")</f>
        <v>Catalog Record</v>
      </c>
      <c r="AT478" s="6" t="str">
        <f>HYPERLINK("http://www.worldcat.org/oclc/13125837","WorldCat Record")</f>
        <v>WorldCat Record</v>
      </c>
      <c r="AU478" s="3" t="s">
        <v>5990</v>
      </c>
      <c r="AV478" s="3" t="s">
        <v>5991</v>
      </c>
      <c r="AW478" s="3" t="s">
        <v>5992</v>
      </c>
      <c r="AX478" s="3" t="s">
        <v>5992</v>
      </c>
      <c r="AY478" s="3" t="s">
        <v>5993</v>
      </c>
      <c r="AZ478" s="3" t="s">
        <v>73</v>
      </c>
      <c r="BB478" s="3" t="s">
        <v>5994</v>
      </c>
      <c r="BC478" s="3" t="s">
        <v>5995</v>
      </c>
      <c r="BD478" s="3" t="s">
        <v>5996</v>
      </c>
    </row>
    <row r="479" spans="1:56" ht="31.5" customHeight="1" x14ac:dyDescent="0.25">
      <c r="A479" s="7" t="s">
        <v>58</v>
      </c>
      <c r="B479" s="2" t="s">
        <v>5997</v>
      </c>
      <c r="C479" s="2" t="s">
        <v>5998</v>
      </c>
      <c r="D479" s="2" t="s">
        <v>5999</v>
      </c>
      <c r="F479" s="3" t="s">
        <v>58</v>
      </c>
      <c r="G479" s="3" t="s">
        <v>59</v>
      </c>
      <c r="H479" s="3" t="s">
        <v>58</v>
      </c>
      <c r="I479" s="3" t="s">
        <v>58</v>
      </c>
      <c r="J479" s="3" t="s">
        <v>60</v>
      </c>
      <c r="K479" s="2" t="s">
        <v>2294</v>
      </c>
      <c r="L479" s="2" t="s">
        <v>6000</v>
      </c>
      <c r="M479" s="3" t="s">
        <v>159</v>
      </c>
      <c r="O479" s="3" t="s">
        <v>63</v>
      </c>
      <c r="P479" s="3" t="s">
        <v>186</v>
      </c>
      <c r="Q479" s="2" t="s">
        <v>6001</v>
      </c>
      <c r="R479" s="3" t="s">
        <v>65</v>
      </c>
      <c r="S479" s="4">
        <v>9</v>
      </c>
      <c r="T479" s="4">
        <v>9</v>
      </c>
      <c r="U479" s="5" t="s">
        <v>6002</v>
      </c>
      <c r="V479" s="5" t="s">
        <v>6002</v>
      </c>
      <c r="W479" s="5" t="s">
        <v>6003</v>
      </c>
      <c r="X479" s="5" t="s">
        <v>6003</v>
      </c>
      <c r="Y479" s="4">
        <v>517</v>
      </c>
      <c r="Z479" s="4">
        <v>356</v>
      </c>
      <c r="AA479" s="4">
        <v>433</v>
      </c>
      <c r="AB479" s="4">
        <v>3</v>
      </c>
      <c r="AC479" s="4">
        <v>3</v>
      </c>
      <c r="AD479" s="4">
        <v>13</v>
      </c>
      <c r="AE479" s="4">
        <v>20</v>
      </c>
      <c r="AF479" s="4">
        <v>2</v>
      </c>
      <c r="AG479" s="4">
        <v>7</v>
      </c>
      <c r="AH479" s="4">
        <v>5</v>
      </c>
      <c r="AI479" s="4">
        <v>6</v>
      </c>
      <c r="AJ479" s="4">
        <v>6</v>
      </c>
      <c r="AK479" s="4">
        <v>8</v>
      </c>
      <c r="AL479" s="4">
        <v>2</v>
      </c>
      <c r="AM479" s="4">
        <v>2</v>
      </c>
      <c r="AN479" s="4">
        <v>0</v>
      </c>
      <c r="AO479" s="4">
        <v>0</v>
      </c>
      <c r="AP479" s="3" t="s">
        <v>58</v>
      </c>
      <c r="AQ479" s="3" t="s">
        <v>68</v>
      </c>
      <c r="AR479" s="6" t="str">
        <f>HYPERLINK("http://catalog.hathitrust.org/Record/000238368","HathiTrust Record")</f>
        <v>HathiTrust Record</v>
      </c>
      <c r="AS479" s="6" t="str">
        <f>HYPERLINK("https://creighton-primo.hosted.exlibrisgroup.com/primo-explore/search?tab=default_tab&amp;search_scope=EVERYTHING&amp;vid=01CRU&amp;lang=en_US&amp;offset=0&amp;query=any,contains,991005245209702656","Catalog Record")</f>
        <v>Catalog Record</v>
      </c>
      <c r="AT479" s="6" t="str">
        <f>HYPERLINK("http://www.worldcat.org/oclc/8451905","WorldCat Record")</f>
        <v>WorldCat Record</v>
      </c>
      <c r="AU479" s="3" t="s">
        <v>6004</v>
      </c>
      <c r="AV479" s="3" t="s">
        <v>6005</v>
      </c>
      <c r="AW479" s="3" t="s">
        <v>6006</v>
      </c>
      <c r="AX479" s="3" t="s">
        <v>6006</v>
      </c>
      <c r="AY479" s="3" t="s">
        <v>6007</v>
      </c>
      <c r="AZ479" s="3" t="s">
        <v>73</v>
      </c>
      <c r="BB479" s="3" t="s">
        <v>6008</v>
      </c>
      <c r="BC479" s="3" t="s">
        <v>6009</v>
      </c>
      <c r="BD479" s="3" t="s">
        <v>6010</v>
      </c>
    </row>
    <row r="480" spans="1:56" ht="31.5" customHeight="1" x14ac:dyDescent="0.25">
      <c r="A480" s="7" t="s">
        <v>58</v>
      </c>
      <c r="B480" s="2" t="s">
        <v>6011</v>
      </c>
      <c r="C480" s="2" t="s">
        <v>6012</v>
      </c>
      <c r="D480" s="2" t="s">
        <v>6013</v>
      </c>
      <c r="F480" s="3" t="s">
        <v>58</v>
      </c>
      <c r="G480" s="3" t="s">
        <v>59</v>
      </c>
      <c r="H480" s="3" t="s">
        <v>58</v>
      </c>
      <c r="I480" s="3" t="s">
        <v>58</v>
      </c>
      <c r="J480" s="3" t="s">
        <v>60</v>
      </c>
      <c r="K480" s="2" t="s">
        <v>2294</v>
      </c>
      <c r="L480" s="2" t="s">
        <v>1274</v>
      </c>
      <c r="M480" s="3" t="s">
        <v>537</v>
      </c>
      <c r="O480" s="3" t="s">
        <v>63</v>
      </c>
      <c r="P480" s="3" t="s">
        <v>1275</v>
      </c>
      <c r="Q480" s="2" t="s">
        <v>6014</v>
      </c>
      <c r="R480" s="3" t="s">
        <v>65</v>
      </c>
      <c r="S480" s="4">
        <v>5</v>
      </c>
      <c r="T480" s="4">
        <v>5</v>
      </c>
      <c r="U480" s="5" t="s">
        <v>6015</v>
      </c>
      <c r="V480" s="5" t="s">
        <v>6015</v>
      </c>
      <c r="W480" s="5" t="s">
        <v>6016</v>
      </c>
      <c r="X480" s="5" t="s">
        <v>6016</v>
      </c>
      <c r="Y480" s="4">
        <v>183</v>
      </c>
      <c r="Z480" s="4">
        <v>144</v>
      </c>
      <c r="AA480" s="4">
        <v>144</v>
      </c>
      <c r="AB480" s="4">
        <v>2</v>
      </c>
      <c r="AC480" s="4">
        <v>2</v>
      </c>
      <c r="AD480" s="4">
        <v>5</v>
      </c>
      <c r="AE480" s="4">
        <v>5</v>
      </c>
      <c r="AF480" s="4">
        <v>0</v>
      </c>
      <c r="AG480" s="4">
        <v>0</v>
      </c>
      <c r="AH480" s="4">
        <v>1</v>
      </c>
      <c r="AI480" s="4">
        <v>1</v>
      </c>
      <c r="AJ480" s="4">
        <v>3</v>
      </c>
      <c r="AK480" s="4">
        <v>3</v>
      </c>
      <c r="AL480" s="4">
        <v>1</v>
      </c>
      <c r="AM480" s="4">
        <v>1</v>
      </c>
      <c r="AN480" s="4">
        <v>0</v>
      </c>
      <c r="AO480" s="4">
        <v>0</v>
      </c>
      <c r="AP480" s="3" t="s">
        <v>58</v>
      </c>
      <c r="AQ480" s="3" t="s">
        <v>58</v>
      </c>
      <c r="AS480" s="6" t="str">
        <f>HYPERLINK("https://creighton-primo.hosted.exlibrisgroup.com/primo-explore/search?tab=default_tab&amp;search_scope=EVERYTHING&amp;vid=01CRU&amp;lang=en_US&amp;offset=0&amp;query=any,contains,991001732329702656","Catalog Record")</f>
        <v>Catalog Record</v>
      </c>
      <c r="AT480" s="6" t="str">
        <f>HYPERLINK("http://www.worldcat.org/oclc/21948830","WorldCat Record")</f>
        <v>WorldCat Record</v>
      </c>
      <c r="AU480" s="3" t="s">
        <v>6017</v>
      </c>
      <c r="AV480" s="3" t="s">
        <v>6018</v>
      </c>
      <c r="AW480" s="3" t="s">
        <v>6019</v>
      </c>
      <c r="AX480" s="3" t="s">
        <v>6019</v>
      </c>
      <c r="AY480" s="3" t="s">
        <v>6020</v>
      </c>
      <c r="AZ480" s="3" t="s">
        <v>73</v>
      </c>
      <c r="BB480" s="3" t="s">
        <v>6021</v>
      </c>
      <c r="BC480" s="3" t="s">
        <v>6022</v>
      </c>
      <c r="BD480" s="3" t="s">
        <v>6023</v>
      </c>
    </row>
    <row r="481" spans="1:56" ht="31.5" customHeight="1" x14ac:dyDescent="0.25">
      <c r="A481" s="7" t="s">
        <v>58</v>
      </c>
      <c r="B481" s="2" t="s">
        <v>6024</v>
      </c>
      <c r="C481" s="2" t="s">
        <v>6025</v>
      </c>
      <c r="D481" s="2" t="s">
        <v>6026</v>
      </c>
      <c r="F481" s="3" t="s">
        <v>58</v>
      </c>
      <c r="G481" s="3" t="s">
        <v>59</v>
      </c>
      <c r="H481" s="3" t="s">
        <v>58</v>
      </c>
      <c r="I481" s="3" t="s">
        <v>58</v>
      </c>
      <c r="J481" s="3" t="s">
        <v>60</v>
      </c>
      <c r="K481" s="2" t="s">
        <v>6027</v>
      </c>
      <c r="L481" s="2" t="s">
        <v>6028</v>
      </c>
      <c r="M481" s="3" t="s">
        <v>877</v>
      </c>
      <c r="O481" s="3" t="s">
        <v>63</v>
      </c>
      <c r="P481" s="3" t="s">
        <v>360</v>
      </c>
      <c r="R481" s="3" t="s">
        <v>65</v>
      </c>
      <c r="S481" s="4">
        <v>4</v>
      </c>
      <c r="T481" s="4">
        <v>4</v>
      </c>
      <c r="U481" s="5" t="s">
        <v>6029</v>
      </c>
      <c r="V481" s="5" t="s">
        <v>6029</v>
      </c>
      <c r="W481" s="5" t="s">
        <v>6030</v>
      </c>
      <c r="X481" s="5" t="s">
        <v>6030</v>
      </c>
      <c r="Y481" s="4">
        <v>277</v>
      </c>
      <c r="Z481" s="4">
        <v>238</v>
      </c>
      <c r="AA481" s="4">
        <v>245</v>
      </c>
      <c r="AB481" s="4">
        <v>3</v>
      </c>
      <c r="AC481" s="4">
        <v>3</v>
      </c>
      <c r="AD481" s="4">
        <v>7</v>
      </c>
      <c r="AE481" s="4">
        <v>7</v>
      </c>
      <c r="AF481" s="4">
        <v>1</v>
      </c>
      <c r="AG481" s="4">
        <v>1</v>
      </c>
      <c r="AH481" s="4">
        <v>3</v>
      </c>
      <c r="AI481" s="4">
        <v>3</v>
      </c>
      <c r="AJ481" s="4">
        <v>2</v>
      </c>
      <c r="AK481" s="4">
        <v>2</v>
      </c>
      <c r="AL481" s="4">
        <v>2</v>
      </c>
      <c r="AM481" s="4">
        <v>2</v>
      </c>
      <c r="AN481" s="4">
        <v>0</v>
      </c>
      <c r="AO481" s="4">
        <v>0</v>
      </c>
      <c r="AP481" s="3" t="s">
        <v>58</v>
      </c>
      <c r="AQ481" s="3" t="s">
        <v>68</v>
      </c>
      <c r="AR481" s="6" t="str">
        <f>HYPERLINK("http://catalog.hathitrust.org/Record/000664576","HathiTrust Record")</f>
        <v>HathiTrust Record</v>
      </c>
      <c r="AS481" s="6" t="str">
        <f>HYPERLINK("https://creighton-primo.hosted.exlibrisgroup.com/primo-explore/search?tab=default_tab&amp;search_scope=EVERYTHING&amp;vid=01CRU&amp;lang=en_US&amp;offset=0&amp;query=any,contains,991000666749702656","Catalog Record")</f>
        <v>Catalog Record</v>
      </c>
      <c r="AT481" s="6" t="str">
        <f>HYPERLINK("http://www.worldcat.org/oclc/12285728","WorldCat Record")</f>
        <v>WorldCat Record</v>
      </c>
      <c r="AU481" s="3" t="s">
        <v>6031</v>
      </c>
      <c r="AV481" s="3" t="s">
        <v>6032</v>
      </c>
      <c r="AW481" s="3" t="s">
        <v>6033</v>
      </c>
      <c r="AX481" s="3" t="s">
        <v>6033</v>
      </c>
      <c r="AY481" s="3" t="s">
        <v>6034</v>
      </c>
      <c r="AZ481" s="3" t="s">
        <v>73</v>
      </c>
      <c r="BB481" s="3" t="s">
        <v>6035</v>
      </c>
      <c r="BC481" s="3" t="s">
        <v>6036</v>
      </c>
      <c r="BD481" s="3" t="s">
        <v>6037</v>
      </c>
    </row>
    <row r="482" spans="1:56" ht="31.5" customHeight="1" x14ac:dyDescent="0.25">
      <c r="A482" s="7" t="s">
        <v>58</v>
      </c>
      <c r="B482" s="2" t="s">
        <v>6038</v>
      </c>
      <c r="C482" s="2" t="s">
        <v>6039</v>
      </c>
      <c r="D482" s="2" t="s">
        <v>6040</v>
      </c>
      <c r="F482" s="3" t="s">
        <v>58</v>
      </c>
      <c r="G482" s="3" t="s">
        <v>59</v>
      </c>
      <c r="H482" s="3" t="s">
        <v>58</v>
      </c>
      <c r="I482" s="3" t="s">
        <v>58</v>
      </c>
      <c r="J482" s="3" t="s">
        <v>60</v>
      </c>
      <c r="K482" s="2" t="s">
        <v>1207</v>
      </c>
      <c r="L482" s="2" t="s">
        <v>2856</v>
      </c>
      <c r="M482" s="3" t="s">
        <v>1939</v>
      </c>
      <c r="O482" s="3" t="s">
        <v>63</v>
      </c>
      <c r="P482" s="3" t="s">
        <v>186</v>
      </c>
      <c r="R482" s="3" t="s">
        <v>65</v>
      </c>
      <c r="S482" s="4">
        <v>5</v>
      </c>
      <c r="T482" s="4">
        <v>5</v>
      </c>
      <c r="U482" s="5" t="s">
        <v>6041</v>
      </c>
      <c r="V482" s="5" t="s">
        <v>6041</v>
      </c>
      <c r="W482" s="5" t="s">
        <v>6042</v>
      </c>
      <c r="X482" s="5" t="s">
        <v>6042</v>
      </c>
      <c r="Y482" s="4">
        <v>955</v>
      </c>
      <c r="Z482" s="4">
        <v>823</v>
      </c>
      <c r="AA482" s="4">
        <v>839</v>
      </c>
      <c r="AB482" s="4">
        <v>7</v>
      </c>
      <c r="AC482" s="4">
        <v>7</v>
      </c>
      <c r="AD482" s="4">
        <v>27</v>
      </c>
      <c r="AE482" s="4">
        <v>27</v>
      </c>
      <c r="AF482" s="4">
        <v>9</v>
      </c>
      <c r="AG482" s="4">
        <v>9</v>
      </c>
      <c r="AH482" s="4">
        <v>8</v>
      </c>
      <c r="AI482" s="4">
        <v>8</v>
      </c>
      <c r="AJ482" s="4">
        <v>14</v>
      </c>
      <c r="AK482" s="4">
        <v>14</v>
      </c>
      <c r="AL482" s="4">
        <v>4</v>
      </c>
      <c r="AM482" s="4">
        <v>4</v>
      </c>
      <c r="AN482" s="4">
        <v>0</v>
      </c>
      <c r="AO482" s="4">
        <v>0</v>
      </c>
      <c r="AP482" s="3" t="s">
        <v>58</v>
      </c>
      <c r="AQ482" s="3" t="s">
        <v>58</v>
      </c>
      <c r="AS482" s="6" t="str">
        <f>HYPERLINK("https://creighton-primo.hosted.exlibrisgroup.com/primo-explore/search?tab=default_tab&amp;search_scope=EVERYTHING&amp;vid=01CRU&amp;lang=en_US&amp;offset=0&amp;query=any,contains,991002624079702656","Catalog Record")</f>
        <v>Catalog Record</v>
      </c>
      <c r="AT482" s="6" t="str">
        <f>HYPERLINK("http://www.worldcat.org/oclc/34409731","WorldCat Record")</f>
        <v>WorldCat Record</v>
      </c>
      <c r="AU482" s="3" t="s">
        <v>6043</v>
      </c>
      <c r="AV482" s="3" t="s">
        <v>6044</v>
      </c>
      <c r="AW482" s="3" t="s">
        <v>6045</v>
      </c>
      <c r="AX482" s="3" t="s">
        <v>6045</v>
      </c>
      <c r="AY482" s="3" t="s">
        <v>6046</v>
      </c>
      <c r="AZ482" s="3" t="s">
        <v>73</v>
      </c>
      <c r="BB482" s="3" t="s">
        <v>6047</v>
      </c>
      <c r="BC482" s="3" t="s">
        <v>6048</v>
      </c>
      <c r="BD482" s="3" t="s">
        <v>6049</v>
      </c>
    </row>
    <row r="483" spans="1:56" ht="31.5" customHeight="1" x14ac:dyDescent="0.25">
      <c r="A483" s="7" t="s">
        <v>58</v>
      </c>
      <c r="B483" s="2" t="s">
        <v>6050</v>
      </c>
      <c r="C483" s="2" t="s">
        <v>6051</v>
      </c>
      <c r="D483" s="2" t="s">
        <v>6052</v>
      </c>
      <c r="F483" s="3" t="s">
        <v>58</v>
      </c>
      <c r="G483" s="3" t="s">
        <v>59</v>
      </c>
      <c r="H483" s="3" t="s">
        <v>58</v>
      </c>
      <c r="I483" s="3" t="s">
        <v>58</v>
      </c>
      <c r="J483" s="3" t="s">
        <v>60</v>
      </c>
      <c r="K483" s="2" t="s">
        <v>2102</v>
      </c>
      <c r="L483" s="2" t="s">
        <v>6053</v>
      </c>
      <c r="M483" s="3" t="s">
        <v>301</v>
      </c>
      <c r="N483" s="2" t="s">
        <v>501</v>
      </c>
      <c r="O483" s="3" t="s">
        <v>63</v>
      </c>
      <c r="P483" s="3" t="s">
        <v>64</v>
      </c>
      <c r="R483" s="3" t="s">
        <v>65</v>
      </c>
      <c r="S483" s="4">
        <v>4</v>
      </c>
      <c r="T483" s="4">
        <v>4</v>
      </c>
      <c r="U483" s="5" t="s">
        <v>6054</v>
      </c>
      <c r="V483" s="5" t="s">
        <v>6054</v>
      </c>
      <c r="W483" s="5" t="s">
        <v>6055</v>
      </c>
      <c r="X483" s="5" t="s">
        <v>6055</v>
      </c>
      <c r="Y483" s="4">
        <v>766</v>
      </c>
      <c r="Z483" s="4">
        <v>714</v>
      </c>
      <c r="AA483" s="4">
        <v>841</v>
      </c>
      <c r="AB483" s="4">
        <v>4</v>
      </c>
      <c r="AC483" s="4">
        <v>5</v>
      </c>
      <c r="AD483" s="4">
        <v>20</v>
      </c>
      <c r="AE483" s="4">
        <v>25</v>
      </c>
      <c r="AF483" s="4">
        <v>7</v>
      </c>
      <c r="AG483" s="4">
        <v>8</v>
      </c>
      <c r="AH483" s="4">
        <v>7</v>
      </c>
      <c r="AI483" s="4">
        <v>7</v>
      </c>
      <c r="AJ483" s="4">
        <v>10</v>
      </c>
      <c r="AK483" s="4">
        <v>14</v>
      </c>
      <c r="AL483" s="4">
        <v>1</v>
      </c>
      <c r="AM483" s="4">
        <v>2</v>
      </c>
      <c r="AN483" s="4">
        <v>0</v>
      </c>
      <c r="AO483" s="4">
        <v>0</v>
      </c>
      <c r="AP483" s="3" t="s">
        <v>58</v>
      </c>
      <c r="AQ483" s="3" t="s">
        <v>68</v>
      </c>
      <c r="AR483" s="6" t="str">
        <f>HYPERLINK("http://catalog.hathitrust.org/Record/002643175","HathiTrust Record")</f>
        <v>HathiTrust Record</v>
      </c>
      <c r="AS483" s="6" t="str">
        <f>HYPERLINK("https://creighton-primo.hosted.exlibrisgroup.com/primo-explore/search?tab=default_tab&amp;search_scope=EVERYTHING&amp;vid=01CRU&amp;lang=en_US&amp;offset=0&amp;query=any,contains,991002008529702656","Catalog Record")</f>
        <v>Catalog Record</v>
      </c>
      <c r="AT483" s="6" t="str">
        <f>HYPERLINK("http://www.worldcat.org/oclc/25546174","WorldCat Record")</f>
        <v>WorldCat Record</v>
      </c>
      <c r="AU483" s="3" t="s">
        <v>6056</v>
      </c>
      <c r="AV483" s="3" t="s">
        <v>6057</v>
      </c>
      <c r="AW483" s="3" t="s">
        <v>6058</v>
      </c>
      <c r="AX483" s="3" t="s">
        <v>6058</v>
      </c>
      <c r="AY483" s="3" t="s">
        <v>6059</v>
      </c>
      <c r="AZ483" s="3" t="s">
        <v>73</v>
      </c>
      <c r="BB483" s="3" t="s">
        <v>6060</v>
      </c>
      <c r="BC483" s="3" t="s">
        <v>6061</v>
      </c>
      <c r="BD483" s="3" t="s">
        <v>6062</v>
      </c>
    </row>
    <row r="484" spans="1:56" ht="31.5" customHeight="1" x14ac:dyDescent="0.25">
      <c r="A484" s="7" t="s">
        <v>58</v>
      </c>
      <c r="B484" s="2" t="s">
        <v>6063</v>
      </c>
      <c r="C484" s="2" t="s">
        <v>6064</v>
      </c>
      <c r="D484" s="2" t="s">
        <v>6065</v>
      </c>
      <c r="F484" s="3" t="s">
        <v>58</v>
      </c>
      <c r="G484" s="3" t="s">
        <v>59</v>
      </c>
      <c r="H484" s="3" t="s">
        <v>58</v>
      </c>
      <c r="I484" s="3" t="s">
        <v>58</v>
      </c>
      <c r="J484" s="3" t="s">
        <v>60</v>
      </c>
      <c r="K484" s="2" t="s">
        <v>2518</v>
      </c>
      <c r="L484" s="2" t="s">
        <v>6066</v>
      </c>
      <c r="M484" s="3" t="s">
        <v>2117</v>
      </c>
      <c r="O484" s="3" t="s">
        <v>63</v>
      </c>
      <c r="P484" s="3" t="s">
        <v>444</v>
      </c>
      <c r="R484" s="3" t="s">
        <v>65</v>
      </c>
      <c r="S484" s="4">
        <v>16</v>
      </c>
      <c r="T484" s="4">
        <v>16</v>
      </c>
      <c r="U484" s="5" t="s">
        <v>6029</v>
      </c>
      <c r="V484" s="5" t="s">
        <v>6029</v>
      </c>
      <c r="W484" s="5" t="s">
        <v>6067</v>
      </c>
      <c r="X484" s="5" t="s">
        <v>6067</v>
      </c>
      <c r="Y484" s="4">
        <v>1078</v>
      </c>
      <c r="Z484" s="4">
        <v>917</v>
      </c>
      <c r="AA484" s="4">
        <v>943</v>
      </c>
      <c r="AB484" s="4">
        <v>7</v>
      </c>
      <c r="AC484" s="4">
        <v>7</v>
      </c>
      <c r="AD484" s="4">
        <v>30</v>
      </c>
      <c r="AE484" s="4">
        <v>30</v>
      </c>
      <c r="AF484" s="4">
        <v>15</v>
      </c>
      <c r="AG484" s="4">
        <v>15</v>
      </c>
      <c r="AH484" s="4">
        <v>6</v>
      </c>
      <c r="AI484" s="4">
        <v>6</v>
      </c>
      <c r="AJ484" s="4">
        <v>15</v>
      </c>
      <c r="AK484" s="4">
        <v>15</v>
      </c>
      <c r="AL484" s="4">
        <v>4</v>
      </c>
      <c r="AM484" s="4">
        <v>4</v>
      </c>
      <c r="AN484" s="4">
        <v>0</v>
      </c>
      <c r="AO484" s="4">
        <v>0</v>
      </c>
      <c r="AP484" s="3" t="s">
        <v>58</v>
      </c>
      <c r="AQ484" s="3" t="s">
        <v>58</v>
      </c>
      <c r="AS484" s="6" t="str">
        <f>HYPERLINK("https://creighton-primo.hosted.exlibrisgroup.com/primo-explore/search?tab=default_tab&amp;search_scope=EVERYTHING&amp;vid=01CRU&amp;lang=en_US&amp;offset=0&amp;query=any,contains,991004804709702656","Catalog Record")</f>
        <v>Catalog Record</v>
      </c>
      <c r="AT484" s="6" t="str">
        <f>HYPERLINK("http://www.worldcat.org/oclc/5239621","WorldCat Record")</f>
        <v>WorldCat Record</v>
      </c>
      <c r="AU484" s="3" t="s">
        <v>6068</v>
      </c>
      <c r="AV484" s="3" t="s">
        <v>6069</v>
      </c>
      <c r="AW484" s="3" t="s">
        <v>6070</v>
      </c>
      <c r="AX484" s="3" t="s">
        <v>6070</v>
      </c>
      <c r="AY484" s="3" t="s">
        <v>6071</v>
      </c>
      <c r="AZ484" s="3" t="s">
        <v>73</v>
      </c>
      <c r="BB484" s="3" t="s">
        <v>6072</v>
      </c>
      <c r="BC484" s="3" t="s">
        <v>6073</v>
      </c>
      <c r="BD484" s="3" t="s">
        <v>6074</v>
      </c>
    </row>
    <row r="485" spans="1:56" ht="31.5" customHeight="1" x14ac:dyDescent="0.25">
      <c r="A485" s="7" t="s">
        <v>58</v>
      </c>
      <c r="B485" s="2" t="s">
        <v>6075</v>
      </c>
      <c r="C485" s="2" t="s">
        <v>6076</v>
      </c>
      <c r="D485" s="2" t="s">
        <v>6077</v>
      </c>
      <c r="F485" s="3" t="s">
        <v>58</v>
      </c>
      <c r="G485" s="3" t="s">
        <v>59</v>
      </c>
      <c r="H485" s="3" t="s">
        <v>58</v>
      </c>
      <c r="I485" s="3" t="s">
        <v>58</v>
      </c>
      <c r="J485" s="3" t="s">
        <v>60</v>
      </c>
      <c r="K485" s="2" t="s">
        <v>6078</v>
      </c>
      <c r="L485" s="2" t="s">
        <v>6079</v>
      </c>
      <c r="M485" s="3" t="s">
        <v>113</v>
      </c>
      <c r="O485" s="3" t="s">
        <v>63</v>
      </c>
      <c r="P485" s="3" t="s">
        <v>360</v>
      </c>
      <c r="R485" s="3" t="s">
        <v>65</v>
      </c>
      <c r="S485" s="4">
        <v>6</v>
      </c>
      <c r="T485" s="4">
        <v>6</v>
      </c>
      <c r="U485" s="5" t="s">
        <v>6080</v>
      </c>
      <c r="V485" s="5" t="s">
        <v>6080</v>
      </c>
      <c r="W485" s="5" t="s">
        <v>6081</v>
      </c>
      <c r="X485" s="5" t="s">
        <v>6081</v>
      </c>
      <c r="Y485" s="4">
        <v>1096</v>
      </c>
      <c r="Z485" s="4">
        <v>1002</v>
      </c>
      <c r="AA485" s="4">
        <v>1155</v>
      </c>
      <c r="AB485" s="4">
        <v>8</v>
      </c>
      <c r="AC485" s="4">
        <v>9</v>
      </c>
      <c r="AD485" s="4">
        <v>32</v>
      </c>
      <c r="AE485" s="4">
        <v>40</v>
      </c>
      <c r="AF485" s="4">
        <v>14</v>
      </c>
      <c r="AG485" s="4">
        <v>18</v>
      </c>
      <c r="AH485" s="4">
        <v>5</v>
      </c>
      <c r="AI485" s="4">
        <v>8</v>
      </c>
      <c r="AJ485" s="4">
        <v>14</v>
      </c>
      <c r="AK485" s="4">
        <v>18</v>
      </c>
      <c r="AL485" s="4">
        <v>6</v>
      </c>
      <c r="AM485" s="4">
        <v>7</v>
      </c>
      <c r="AN485" s="4">
        <v>0</v>
      </c>
      <c r="AO485" s="4">
        <v>0</v>
      </c>
      <c r="AP485" s="3" t="s">
        <v>58</v>
      </c>
      <c r="AQ485" s="3" t="s">
        <v>58</v>
      </c>
      <c r="AS485" s="6" t="str">
        <f>HYPERLINK("https://creighton-primo.hosted.exlibrisgroup.com/primo-explore/search?tab=default_tab&amp;search_scope=EVERYTHING&amp;vid=01CRU&amp;lang=en_US&amp;offset=0&amp;query=any,contains,991004090389702656","Catalog Record")</f>
        <v>Catalog Record</v>
      </c>
      <c r="AT485" s="6" t="str">
        <f>HYPERLINK("http://www.worldcat.org/oclc/50510945","WorldCat Record")</f>
        <v>WorldCat Record</v>
      </c>
      <c r="AU485" s="3" t="s">
        <v>6082</v>
      </c>
      <c r="AV485" s="3" t="s">
        <v>6083</v>
      </c>
      <c r="AW485" s="3" t="s">
        <v>6084</v>
      </c>
      <c r="AX485" s="3" t="s">
        <v>6084</v>
      </c>
      <c r="AY485" s="3" t="s">
        <v>6085</v>
      </c>
      <c r="AZ485" s="3" t="s">
        <v>73</v>
      </c>
      <c r="BB485" s="3" t="s">
        <v>6086</v>
      </c>
      <c r="BC485" s="3" t="s">
        <v>6087</v>
      </c>
      <c r="BD485" s="3" t="s">
        <v>6088</v>
      </c>
    </row>
    <row r="486" spans="1:56" ht="31.5" customHeight="1" x14ac:dyDescent="0.25">
      <c r="A486" s="7" t="s">
        <v>58</v>
      </c>
      <c r="B486" s="2" t="s">
        <v>6089</v>
      </c>
      <c r="C486" s="2" t="s">
        <v>6090</v>
      </c>
      <c r="D486" s="2" t="s">
        <v>6091</v>
      </c>
      <c r="F486" s="3" t="s">
        <v>58</v>
      </c>
      <c r="G486" s="3" t="s">
        <v>59</v>
      </c>
      <c r="H486" s="3" t="s">
        <v>58</v>
      </c>
      <c r="I486" s="3" t="s">
        <v>58</v>
      </c>
      <c r="J486" s="3" t="s">
        <v>60</v>
      </c>
      <c r="K486" s="2" t="s">
        <v>314</v>
      </c>
      <c r="L486" s="2" t="s">
        <v>6092</v>
      </c>
      <c r="M486" s="3" t="s">
        <v>201</v>
      </c>
      <c r="N486" s="2" t="s">
        <v>345</v>
      </c>
      <c r="O486" s="3" t="s">
        <v>63</v>
      </c>
      <c r="P486" s="3" t="s">
        <v>64</v>
      </c>
      <c r="R486" s="3" t="s">
        <v>65</v>
      </c>
      <c r="S486" s="4">
        <v>3</v>
      </c>
      <c r="T486" s="4">
        <v>3</v>
      </c>
      <c r="U486" s="5" t="s">
        <v>6093</v>
      </c>
      <c r="V486" s="5" t="s">
        <v>6093</v>
      </c>
      <c r="W486" s="5" t="s">
        <v>4225</v>
      </c>
      <c r="X486" s="5" t="s">
        <v>4225</v>
      </c>
      <c r="Y486" s="4">
        <v>648</v>
      </c>
      <c r="Z486" s="4">
        <v>614</v>
      </c>
      <c r="AA486" s="4">
        <v>646</v>
      </c>
      <c r="AB486" s="4">
        <v>5</v>
      </c>
      <c r="AC486" s="4">
        <v>6</v>
      </c>
      <c r="AD486" s="4">
        <v>15</v>
      </c>
      <c r="AE486" s="4">
        <v>17</v>
      </c>
      <c r="AF486" s="4">
        <v>6</v>
      </c>
      <c r="AG486" s="4">
        <v>6</v>
      </c>
      <c r="AH486" s="4">
        <v>5</v>
      </c>
      <c r="AI486" s="4">
        <v>6</v>
      </c>
      <c r="AJ486" s="4">
        <v>6</v>
      </c>
      <c r="AK486" s="4">
        <v>6</v>
      </c>
      <c r="AL486" s="4">
        <v>2</v>
      </c>
      <c r="AM486" s="4">
        <v>3</v>
      </c>
      <c r="AN486" s="4">
        <v>0</v>
      </c>
      <c r="AO486" s="4">
        <v>0</v>
      </c>
      <c r="AP486" s="3" t="s">
        <v>58</v>
      </c>
      <c r="AQ486" s="3" t="s">
        <v>58</v>
      </c>
      <c r="AS486" s="6" t="str">
        <f>HYPERLINK("https://creighton-primo.hosted.exlibrisgroup.com/primo-explore/search?tab=default_tab&amp;search_scope=EVERYTHING&amp;vid=01CRU&amp;lang=en_US&amp;offset=0&amp;query=any,contains,991003746659702656","Catalog Record")</f>
        <v>Catalog Record</v>
      </c>
      <c r="AT486" s="6" t="str">
        <f>HYPERLINK("http://www.worldcat.org/oclc/1418769","WorldCat Record")</f>
        <v>WorldCat Record</v>
      </c>
      <c r="AU486" s="3" t="s">
        <v>6094</v>
      </c>
      <c r="AV486" s="3" t="s">
        <v>6095</v>
      </c>
      <c r="AW486" s="3" t="s">
        <v>6096</v>
      </c>
      <c r="AX486" s="3" t="s">
        <v>6096</v>
      </c>
      <c r="AY486" s="3" t="s">
        <v>6097</v>
      </c>
      <c r="AZ486" s="3" t="s">
        <v>73</v>
      </c>
      <c r="BB486" s="3" t="s">
        <v>6098</v>
      </c>
      <c r="BC486" s="3" t="s">
        <v>6099</v>
      </c>
      <c r="BD486" s="3" t="s">
        <v>6100</v>
      </c>
    </row>
    <row r="487" spans="1:56" ht="31.5" customHeight="1" x14ac:dyDescent="0.25">
      <c r="A487" s="7" t="s">
        <v>58</v>
      </c>
      <c r="B487" s="2" t="s">
        <v>6101</v>
      </c>
      <c r="C487" s="2" t="s">
        <v>6102</v>
      </c>
      <c r="D487" s="2" t="s">
        <v>6103</v>
      </c>
      <c r="F487" s="3" t="s">
        <v>58</v>
      </c>
      <c r="G487" s="3" t="s">
        <v>59</v>
      </c>
      <c r="H487" s="3" t="s">
        <v>58</v>
      </c>
      <c r="I487" s="3" t="s">
        <v>58</v>
      </c>
      <c r="J487" s="3" t="s">
        <v>60</v>
      </c>
      <c r="K487" s="2" t="s">
        <v>6104</v>
      </c>
      <c r="L487" s="2" t="s">
        <v>1249</v>
      </c>
      <c r="M487" s="3" t="s">
        <v>944</v>
      </c>
      <c r="O487" s="3" t="s">
        <v>63</v>
      </c>
      <c r="P487" s="3" t="s">
        <v>186</v>
      </c>
      <c r="R487" s="3" t="s">
        <v>65</v>
      </c>
      <c r="S487" s="4">
        <v>12</v>
      </c>
      <c r="T487" s="4">
        <v>12</v>
      </c>
      <c r="U487" s="5" t="s">
        <v>6041</v>
      </c>
      <c r="V487" s="5" t="s">
        <v>6041</v>
      </c>
      <c r="W487" s="5" t="s">
        <v>6105</v>
      </c>
      <c r="X487" s="5" t="s">
        <v>6105</v>
      </c>
      <c r="Y487" s="4">
        <v>565</v>
      </c>
      <c r="Z487" s="4">
        <v>408</v>
      </c>
      <c r="AA487" s="4">
        <v>467</v>
      </c>
      <c r="AB487" s="4">
        <v>1</v>
      </c>
      <c r="AC487" s="4">
        <v>1</v>
      </c>
      <c r="AD487" s="4">
        <v>12</v>
      </c>
      <c r="AE487" s="4">
        <v>14</v>
      </c>
      <c r="AF487" s="4">
        <v>5</v>
      </c>
      <c r="AG487" s="4">
        <v>5</v>
      </c>
      <c r="AH487" s="4">
        <v>3</v>
      </c>
      <c r="AI487" s="4">
        <v>3</v>
      </c>
      <c r="AJ487" s="4">
        <v>8</v>
      </c>
      <c r="AK487" s="4">
        <v>10</v>
      </c>
      <c r="AL487" s="4">
        <v>0</v>
      </c>
      <c r="AM487" s="4">
        <v>0</v>
      </c>
      <c r="AN487" s="4">
        <v>0</v>
      </c>
      <c r="AO487" s="4">
        <v>0</v>
      </c>
      <c r="AP487" s="3" t="s">
        <v>58</v>
      </c>
      <c r="AQ487" s="3" t="s">
        <v>58</v>
      </c>
      <c r="AS487" s="6" t="str">
        <f>HYPERLINK("https://creighton-primo.hosted.exlibrisgroup.com/primo-explore/search?tab=default_tab&amp;search_scope=EVERYTHING&amp;vid=01CRU&amp;lang=en_US&amp;offset=0&amp;query=any,contains,991001550599702656","Catalog Record")</f>
        <v>Catalog Record</v>
      </c>
      <c r="AT487" s="6" t="str">
        <f>HYPERLINK("http://www.worldcat.org/oclc/20219581","WorldCat Record")</f>
        <v>WorldCat Record</v>
      </c>
      <c r="AU487" s="3" t="s">
        <v>6106</v>
      </c>
      <c r="AV487" s="3" t="s">
        <v>6107</v>
      </c>
      <c r="AW487" s="3" t="s">
        <v>6108</v>
      </c>
      <c r="AX487" s="3" t="s">
        <v>6108</v>
      </c>
      <c r="AY487" s="3" t="s">
        <v>6109</v>
      </c>
      <c r="AZ487" s="3" t="s">
        <v>73</v>
      </c>
      <c r="BB487" s="3" t="s">
        <v>6110</v>
      </c>
      <c r="BC487" s="3" t="s">
        <v>6111</v>
      </c>
      <c r="BD487" s="3" t="s">
        <v>6112</v>
      </c>
    </row>
    <row r="488" spans="1:56" ht="31.5" customHeight="1" x14ac:dyDescent="0.25">
      <c r="A488" s="7" t="s">
        <v>58</v>
      </c>
      <c r="B488" s="2" t="s">
        <v>6113</v>
      </c>
      <c r="C488" s="2" t="s">
        <v>6114</v>
      </c>
      <c r="D488" s="2" t="s">
        <v>6115</v>
      </c>
      <c r="F488" s="3" t="s">
        <v>58</v>
      </c>
      <c r="G488" s="3" t="s">
        <v>59</v>
      </c>
      <c r="H488" s="3" t="s">
        <v>58</v>
      </c>
      <c r="I488" s="3" t="s">
        <v>58</v>
      </c>
      <c r="J488" s="3" t="s">
        <v>60</v>
      </c>
      <c r="K488" s="2" t="s">
        <v>3798</v>
      </c>
      <c r="L488" s="2" t="s">
        <v>6116</v>
      </c>
      <c r="M488" s="3" t="s">
        <v>1939</v>
      </c>
      <c r="O488" s="3" t="s">
        <v>63</v>
      </c>
      <c r="P488" s="3" t="s">
        <v>64</v>
      </c>
      <c r="R488" s="3" t="s">
        <v>65</v>
      </c>
      <c r="S488" s="4">
        <v>13</v>
      </c>
      <c r="T488" s="4">
        <v>13</v>
      </c>
      <c r="U488" s="5" t="s">
        <v>6080</v>
      </c>
      <c r="V488" s="5" t="s">
        <v>6080</v>
      </c>
      <c r="W488" s="5" t="s">
        <v>5735</v>
      </c>
      <c r="X488" s="5" t="s">
        <v>5735</v>
      </c>
      <c r="Y488" s="4">
        <v>846</v>
      </c>
      <c r="Z488" s="4">
        <v>738</v>
      </c>
      <c r="AA488" s="4">
        <v>755</v>
      </c>
      <c r="AB488" s="4">
        <v>6</v>
      </c>
      <c r="AC488" s="4">
        <v>6</v>
      </c>
      <c r="AD488" s="4">
        <v>16</v>
      </c>
      <c r="AE488" s="4">
        <v>16</v>
      </c>
      <c r="AF488" s="4">
        <v>2</v>
      </c>
      <c r="AG488" s="4">
        <v>2</v>
      </c>
      <c r="AH488" s="4">
        <v>4</v>
      </c>
      <c r="AI488" s="4">
        <v>4</v>
      </c>
      <c r="AJ488" s="4">
        <v>10</v>
      </c>
      <c r="AK488" s="4">
        <v>10</v>
      </c>
      <c r="AL488" s="4">
        <v>3</v>
      </c>
      <c r="AM488" s="4">
        <v>3</v>
      </c>
      <c r="AN488" s="4">
        <v>0</v>
      </c>
      <c r="AO488" s="4">
        <v>0</v>
      </c>
      <c r="AP488" s="3" t="s">
        <v>58</v>
      </c>
      <c r="AQ488" s="3" t="s">
        <v>68</v>
      </c>
      <c r="AR488" s="6" t="str">
        <f>HYPERLINK("http://catalog.hathitrust.org/Record/003057040","HathiTrust Record")</f>
        <v>HathiTrust Record</v>
      </c>
      <c r="AS488" s="6" t="str">
        <f>HYPERLINK("https://creighton-primo.hosted.exlibrisgroup.com/primo-explore/search?tab=default_tab&amp;search_scope=EVERYTHING&amp;vid=01CRU&amp;lang=en_US&amp;offset=0&amp;query=any,contains,991002550499702656","Catalog Record")</f>
        <v>Catalog Record</v>
      </c>
      <c r="AT488" s="6" t="str">
        <f>HYPERLINK("http://www.worldcat.org/oclc/33132610","WorldCat Record")</f>
        <v>WorldCat Record</v>
      </c>
      <c r="AU488" s="3" t="s">
        <v>6117</v>
      </c>
      <c r="AV488" s="3" t="s">
        <v>6118</v>
      </c>
      <c r="AW488" s="3" t="s">
        <v>6119</v>
      </c>
      <c r="AX488" s="3" t="s">
        <v>6119</v>
      </c>
      <c r="AY488" s="3" t="s">
        <v>6120</v>
      </c>
      <c r="AZ488" s="3" t="s">
        <v>73</v>
      </c>
      <c r="BB488" s="3" t="s">
        <v>6121</v>
      </c>
      <c r="BC488" s="3" t="s">
        <v>6122</v>
      </c>
      <c r="BD488" s="3" t="s">
        <v>6123</v>
      </c>
    </row>
    <row r="489" spans="1:56" ht="31.5" customHeight="1" x14ac:dyDescent="0.25">
      <c r="A489" s="7" t="s">
        <v>58</v>
      </c>
      <c r="B489" s="2" t="s">
        <v>6124</v>
      </c>
      <c r="C489" s="2" t="s">
        <v>6125</v>
      </c>
      <c r="D489" s="2" t="s">
        <v>6126</v>
      </c>
      <c r="F489" s="3" t="s">
        <v>58</v>
      </c>
      <c r="G489" s="3" t="s">
        <v>59</v>
      </c>
      <c r="H489" s="3" t="s">
        <v>58</v>
      </c>
      <c r="I489" s="3" t="s">
        <v>58</v>
      </c>
      <c r="J489" s="3" t="s">
        <v>60</v>
      </c>
      <c r="K489" s="2" t="s">
        <v>6127</v>
      </c>
      <c r="L489" s="2" t="s">
        <v>6128</v>
      </c>
      <c r="M489" s="3" t="s">
        <v>159</v>
      </c>
      <c r="O489" s="3" t="s">
        <v>63</v>
      </c>
      <c r="P489" s="3" t="s">
        <v>64</v>
      </c>
      <c r="R489" s="3" t="s">
        <v>65</v>
      </c>
      <c r="S489" s="4">
        <v>18</v>
      </c>
      <c r="T489" s="4">
        <v>18</v>
      </c>
      <c r="U489" s="5" t="s">
        <v>6129</v>
      </c>
      <c r="V489" s="5" t="s">
        <v>6129</v>
      </c>
      <c r="W489" s="5" t="s">
        <v>6130</v>
      </c>
      <c r="X489" s="5" t="s">
        <v>6130</v>
      </c>
      <c r="Y489" s="4">
        <v>807</v>
      </c>
      <c r="Z489" s="4">
        <v>632</v>
      </c>
      <c r="AA489" s="4">
        <v>688</v>
      </c>
      <c r="AB489" s="4">
        <v>2</v>
      </c>
      <c r="AC489" s="4">
        <v>2</v>
      </c>
      <c r="AD489" s="4">
        <v>23</v>
      </c>
      <c r="AE489" s="4">
        <v>23</v>
      </c>
      <c r="AF489" s="4">
        <v>10</v>
      </c>
      <c r="AG489" s="4">
        <v>10</v>
      </c>
      <c r="AH489" s="4">
        <v>7</v>
      </c>
      <c r="AI489" s="4">
        <v>7</v>
      </c>
      <c r="AJ489" s="4">
        <v>11</v>
      </c>
      <c r="AK489" s="4">
        <v>11</v>
      </c>
      <c r="AL489" s="4">
        <v>1</v>
      </c>
      <c r="AM489" s="4">
        <v>1</v>
      </c>
      <c r="AN489" s="4">
        <v>0</v>
      </c>
      <c r="AO489" s="4">
        <v>0</v>
      </c>
      <c r="AP489" s="3" t="s">
        <v>58</v>
      </c>
      <c r="AQ489" s="3" t="s">
        <v>68</v>
      </c>
      <c r="AR489" s="6" t="str">
        <f>HYPERLINK("http://catalog.hathitrust.org/Record/000238294","HathiTrust Record")</f>
        <v>HathiTrust Record</v>
      </c>
      <c r="AS489" s="6" t="str">
        <f>HYPERLINK("https://creighton-primo.hosted.exlibrisgroup.com/primo-explore/search?tab=default_tab&amp;search_scope=EVERYTHING&amp;vid=01CRU&amp;lang=en_US&amp;offset=0&amp;query=any,contains,991000101309702656","Catalog Record")</f>
        <v>Catalog Record</v>
      </c>
      <c r="AT489" s="6" t="str">
        <f>HYPERLINK("http://www.worldcat.org/oclc/8953728","WorldCat Record")</f>
        <v>WorldCat Record</v>
      </c>
      <c r="AU489" s="3" t="s">
        <v>6131</v>
      </c>
      <c r="AV489" s="3" t="s">
        <v>6132</v>
      </c>
      <c r="AW489" s="3" t="s">
        <v>6133</v>
      </c>
      <c r="AX489" s="3" t="s">
        <v>6133</v>
      </c>
      <c r="AY489" s="3" t="s">
        <v>6134</v>
      </c>
      <c r="AZ489" s="3" t="s">
        <v>73</v>
      </c>
      <c r="BB489" s="3" t="s">
        <v>6135</v>
      </c>
      <c r="BC489" s="3" t="s">
        <v>6136</v>
      </c>
      <c r="BD489" s="3" t="s">
        <v>6137</v>
      </c>
    </row>
    <row r="490" spans="1:56" ht="31.5" customHeight="1" x14ac:dyDescent="0.25">
      <c r="A490" s="7" t="s">
        <v>58</v>
      </c>
      <c r="B490" s="2" t="s">
        <v>6138</v>
      </c>
      <c r="C490" s="2" t="s">
        <v>6139</v>
      </c>
      <c r="D490" s="2" t="s">
        <v>6140</v>
      </c>
      <c r="F490" s="3" t="s">
        <v>58</v>
      </c>
      <c r="G490" s="3" t="s">
        <v>59</v>
      </c>
      <c r="H490" s="3" t="s">
        <v>58</v>
      </c>
      <c r="I490" s="3" t="s">
        <v>58</v>
      </c>
      <c r="J490" s="3" t="s">
        <v>60</v>
      </c>
      <c r="K490" s="2" t="s">
        <v>6141</v>
      </c>
      <c r="L490" s="2" t="s">
        <v>6142</v>
      </c>
      <c r="M490" s="3" t="s">
        <v>565</v>
      </c>
      <c r="N490" s="2" t="s">
        <v>566</v>
      </c>
      <c r="O490" s="3" t="s">
        <v>63</v>
      </c>
      <c r="P490" s="3" t="s">
        <v>129</v>
      </c>
      <c r="R490" s="3" t="s">
        <v>65</v>
      </c>
      <c r="S490" s="4">
        <v>9</v>
      </c>
      <c r="T490" s="4">
        <v>9</v>
      </c>
      <c r="U490" s="5" t="s">
        <v>6143</v>
      </c>
      <c r="V490" s="5" t="s">
        <v>6143</v>
      </c>
      <c r="W490" s="5" t="s">
        <v>6130</v>
      </c>
      <c r="X490" s="5" t="s">
        <v>6130</v>
      </c>
      <c r="Y490" s="4">
        <v>490</v>
      </c>
      <c r="Z490" s="4">
        <v>425</v>
      </c>
      <c r="AA490" s="4">
        <v>1154</v>
      </c>
      <c r="AB490" s="4">
        <v>5</v>
      </c>
      <c r="AC490" s="4">
        <v>10</v>
      </c>
      <c r="AD490" s="4">
        <v>14</v>
      </c>
      <c r="AE490" s="4">
        <v>40</v>
      </c>
      <c r="AF490" s="4">
        <v>6</v>
      </c>
      <c r="AG490" s="4">
        <v>18</v>
      </c>
      <c r="AH490" s="4">
        <v>3</v>
      </c>
      <c r="AI490" s="4">
        <v>8</v>
      </c>
      <c r="AJ490" s="4">
        <v>4</v>
      </c>
      <c r="AK490" s="4">
        <v>14</v>
      </c>
      <c r="AL490" s="4">
        <v>4</v>
      </c>
      <c r="AM490" s="4">
        <v>8</v>
      </c>
      <c r="AN490" s="4">
        <v>0</v>
      </c>
      <c r="AO490" s="4">
        <v>0</v>
      </c>
      <c r="AP490" s="3" t="s">
        <v>58</v>
      </c>
      <c r="AQ490" s="3" t="s">
        <v>58</v>
      </c>
      <c r="AS490" s="6" t="str">
        <f>HYPERLINK("https://creighton-primo.hosted.exlibrisgroup.com/primo-explore/search?tab=default_tab&amp;search_scope=EVERYTHING&amp;vid=01CRU&amp;lang=en_US&amp;offset=0&amp;query=any,contains,991005036049702656","Catalog Record")</f>
        <v>Catalog Record</v>
      </c>
      <c r="AT490" s="6" t="str">
        <f>HYPERLINK("http://www.worldcat.org/oclc/6761479","WorldCat Record")</f>
        <v>WorldCat Record</v>
      </c>
      <c r="AU490" s="3" t="s">
        <v>6144</v>
      </c>
      <c r="AV490" s="3" t="s">
        <v>6145</v>
      </c>
      <c r="AW490" s="3" t="s">
        <v>6146</v>
      </c>
      <c r="AX490" s="3" t="s">
        <v>6146</v>
      </c>
      <c r="AY490" s="3" t="s">
        <v>6147</v>
      </c>
      <c r="AZ490" s="3" t="s">
        <v>73</v>
      </c>
      <c r="BB490" s="3" t="s">
        <v>6148</v>
      </c>
      <c r="BC490" s="3" t="s">
        <v>6149</v>
      </c>
      <c r="BD490" s="3" t="s">
        <v>6150</v>
      </c>
    </row>
    <row r="491" spans="1:56" ht="31.5" customHeight="1" x14ac:dyDescent="0.25">
      <c r="A491" s="7" t="s">
        <v>58</v>
      </c>
      <c r="B491" s="2" t="s">
        <v>6151</v>
      </c>
      <c r="C491" s="2" t="s">
        <v>6152</v>
      </c>
      <c r="D491" s="2" t="s">
        <v>6153</v>
      </c>
      <c r="F491" s="3" t="s">
        <v>58</v>
      </c>
      <c r="G491" s="3" t="s">
        <v>59</v>
      </c>
      <c r="H491" s="3" t="s">
        <v>58</v>
      </c>
      <c r="I491" s="3" t="s">
        <v>58</v>
      </c>
      <c r="J491" s="3" t="s">
        <v>60</v>
      </c>
      <c r="K491" s="2" t="s">
        <v>3875</v>
      </c>
      <c r="L491" s="2" t="s">
        <v>6154</v>
      </c>
      <c r="M491" s="3" t="s">
        <v>2117</v>
      </c>
      <c r="N491" s="2" t="s">
        <v>501</v>
      </c>
      <c r="O491" s="3" t="s">
        <v>63</v>
      </c>
      <c r="P491" s="3" t="s">
        <v>64</v>
      </c>
      <c r="R491" s="3" t="s">
        <v>65</v>
      </c>
      <c r="S491" s="4">
        <v>4</v>
      </c>
      <c r="T491" s="4">
        <v>4</v>
      </c>
      <c r="U491" s="5" t="s">
        <v>6029</v>
      </c>
      <c r="V491" s="5" t="s">
        <v>6029</v>
      </c>
      <c r="W491" s="5" t="s">
        <v>5318</v>
      </c>
      <c r="X491" s="5" t="s">
        <v>5318</v>
      </c>
      <c r="Y491" s="4">
        <v>1190</v>
      </c>
      <c r="Z491" s="4">
        <v>1118</v>
      </c>
      <c r="AA491" s="4">
        <v>1167</v>
      </c>
      <c r="AB491" s="4">
        <v>7</v>
      </c>
      <c r="AC491" s="4">
        <v>7</v>
      </c>
      <c r="AD491" s="4">
        <v>17</v>
      </c>
      <c r="AE491" s="4">
        <v>17</v>
      </c>
      <c r="AF491" s="4">
        <v>9</v>
      </c>
      <c r="AG491" s="4">
        <v>9</v>
      </c>
      <c r="AH491" s="4">
        <v>1</v>
      </c>
      <c r="AI491" s="4">
        <v>1</v>
      </c>
      <c r="AJ491" s="4">
        <v>10</v>
      </c>
      <c r="AK491" s="4">
        <v>10</v>
      </c>
      <c r="AL491" s="4">
        <v>3</v>
      </c>
      <c r="AM491" s="4">
        <v>3</v>
      </c>
      <c r="AN491" s="4">
        <v>0</v>
      </c>
      <c r="AO491" s="4">
        <v>0</v>
      </c>
      <c r="AP491" s="3" t="s">
        <v>58</v>
      </c>
      <c r="AQ491" s="3" t="s">
        <v>58</v>
      </c>
      <c r="AS491" s="6" t="str">
        <f>HYPERLINK("https://creighton-primo.hosted.exlibrisgroup.com/primo-explore/search?tab=default_tab&amp;search_scope=EVERYTHING&amp;vid=01CRU&amp;lang=en_US&amp;offset=0&amp;query=any,contains,991004696309702656","Catalog Record")</f>
        <v>Catalog Record</v>
      </c>
      <c r="AT491" s="6" t="str">
        <f>HYPERLINK("http://www.worldcat.org/oclc/4641934","WorldCat Record")</f>
        <v>WorldCat Record</v>
      </c>
      <c r="AU491" s="3" t="s">
        <v>6155</v>
      </c>
      <c r="AV491" s="3" t="s">
        <v>6156</v>
      </c>
      <c r="AW491" s="3" t="s">
        <v>6157</v>
      </c>
      <c r="AX491" s="3" t="s">
        <v>6157</v>
      </c>
      <c r="AY491" s="3" t="s">
        <v>6158</v>
      </c>
      <c r="AZ491" s="3" t="s">
        <v>73</v>
      </c>
      <c r="BB491" s="3" t="s">
        <v>6159</v>
      </c>
      <c r="BC491" s="3" t="s">
        <v>6160</v>
      </c>
      <c r="BD491" s="3" t="s">
        <v>6161</v>
      </c>
    </row>
    <row r="492" spans="1:56" ht="31.5" customHeight="1" x14ac:dyDescent="0.25">
      <c r="A492" s="7" t="s">
        <v>58</v>
      </c>
      <c r="B492" s="2" t="s">
        <v>6162</v>
      </c>
      <c r="C492" s="2" t="s">
        <v>6163</v>
      </c>
      <c r="D492" s="2" t="s">
        <v>6164</v>
      </c>
      <c r="F492" s="3" t="s">
        <v>58</v>
      </c>
      <c r="G492" s="3" t="s">
        <v>59</v>
      </c>
      <c r="H492" s="3" t="s">
        <v>58</v>
      </c>
      <c r="I492" s="3" t="s">
        <v>58</v>
      </c>
      <c r="J492" s="3" t="s">
        <v>60</v>
      </c>
      <c r="K492" s="2" t="s">
        <v>6165</v>
      </c>
      <c r="L492" s="2" t="s">
        <v>6166</v>
      </c>
      <c r="M492" s="3" t="s">
        <v>430</v>
      </c>
      <c r="N492" s="2" t="s">
        <v>6167</v>
      </c>
      <c r="O492" s="3" t="s">
        <v>63</v>
      </c>
      <c r="P492" s="3" t="s">
        <v>64</v>
      </c>
      <c r="R492" s="3" t="s">
        <v>65</v>
      </c>
      <c r="S492" s="4">
        <v>5</v>
      </c>
      <c r="T492" s="4">
        <v>5</v>
      </c>
      <c r="U492" s="5" t="s">
        <v>6015</v>
      </c>
      <c r="V492" s="5" t="s">
        <v>6015</v>
      </c>
      <c r="W492" s="5" t="s">
        <v>975</v>
      </c>
      <c r="X492" s="5" t="s">
        <v>975</v>
      </c>
      <c r="Y492" s="4">
        <v>402</v>
      </c>
      <c r="Z492" s="4">
        <v>388</v>
      </c>
      <c r="AA492" s="4">
        <v>549</v>
      </c>
      <c r="AB492" s="4">
        <v>5</v>
      </c>
      <c r="AC492" s="4">
        <v>5</v>
      </c>
      <c r="AD492" s="4">
        <v>12</v>
      </c>
      <c r="AE492" s="4">
        <v>17</v>
      </c>
      <c r="AF492" s="4">
        <v>1</v>
      </c>
      <c r="AG492" s="4">
        <v>6</v>
      </c>
      <c r="AH492" s="4">
        <v>5</v>
      </c>
      <c r="AI492" s="4">
        <v>5</v>
      </c>
      <c r="AJ492" s="4">
        <v>5</v>
      </c>
      <c r="AK492" s="4">
        <v>7</v>
      </c>
      <c r="AL492" s="4">
        <v>3</v>
      </c>
      <c r="AM492" s="4">
        <v>3</v>
      </c>
      <c r="AN492" s="4">
        <v>0</v>
      </c>
      <c r="AO492" s="4">
        <v>0</v>
      </c>
      <c r="AP492" s="3" t="s">
        <v>58</v>
      </c>
      <c r="AQ492" s="3" t="s">
        <v>58</v>
      </c>
      <c r="AS492" s="6" t="str">
        <f>HYPERLINK("https://creighton-primo.hosted.exlibrisgroup.com/primo-explore/search?tab=default_tab&amp;search_scope=EVERYTHING&amp;vid=01CRU&amp;lang=en_US&amp;offset=0&amp;query=any,contains,991003282829702656","Catalog Record")</f>
        <v>Catalog Record</v>
      </c>
      <c r="AT492" s="6" t="str">
        <f>HYPERLINK("http://www.worldcat.org/oclc/805008","WorldCat Record")</f>
        <v>WorldCat Record</v>
      </c>
      <c r="AU492" s="3" t="s">
        <v>6168</v>
      </c>
      <c r="AV492" s="3" t="s">
        <v>6169</v>
      </c>
      <c r="AW492" s="3" t="s">
        <v>6170</v>
      </c>
      <c r="AX492" s="3" t="s">
        <v>6170</v>
      </c>
      <c r="AY492" s="3" t="s">
        <v>6171</v>
      </c>
      <c r="AZ492" s="3" t="s">
        <v>73</v>
      </c>
      <c r="BB492" s="3" t="s">
        <v>6172</v>
      </c>
      <c r="BC492" s="3" t="s">
        <v>6173</v>
      </c>
      <c r="BD492" s="3" t="s">
        <v>6174</v>
      </c>
    </row>
    <row r="493" spans="1:56" ht="31.5" customHeight="1" x14ac:dyDescent="0.25">
      <c r="A493" s="7" t="s">
        <v>58</v>
      </c>
      <c r="B493" s="2" t="s">
        <v>6175</v>
      </c>
      <c r="C493" s="2" t="s">
        <v>6176</v>
      </c>
      <c r="D493" s="2" t="s">
        <v>6177</v>
      </c>
      <c r="F493" s="3" t="s">
        <v>58</v>
      </c>
      <c r="G493" s="3" t="s">
        <v>59</v>
      </c>
      <c r="H493" s="3" t="s">
        <v>58</v>
      </c>
      <c r="I493" s="3" t="s">
        <v>58</v>
      </c>
      <c r="J493" s="3" t="s">
        <v>60</v>
      </c>
      <c r="K493" s="2" t="s">
        <v>6178</v>
      </c>
      <c r="L493" s="2" t="s">
        <v>6179</v>
      </c>
      <c r="M493" s="3" t="s">
        <v>230</v>
      </c>
      <c r="O493" s="3" t="s">
        <v>63</v>
      </c>
      <c r="P493" s="3" t="s">
        <v>796</v>
      </c>
      <c r="Q493" s="2" t="s">
        <v>6180</v>
      </c>
      <c r="R493" s="3" t="s">
        <v>65</v>
      </c>
      <c r="S493" s="4">
        <v>3</v>
      </c>
      <c r="T493" s="4">
        <v>3</v>
      </c>
      <c r="U493" s="5" t="s">
        <v>6181</v>
      </c>
      <c r="V493" s="5" t="s">
        <v>6181</v>
      </c>
      <c r="W493" s="5" t="s">
        <v>6182</v>
      </c>
      <c r="X493" s="5" t="s">
        <v>6182</v>
      </c>
      <c r="Y493" s="4">
        <v>354</v>
      </c>
      <c r="Z493" s="4">
        <v>229</v>
      </c>
      <c r="AA493" s="4">
        <v>230</v>
      </c>
      <c r="AB493" s="4">
        <v>3</v>
      </c>
      <c r="AC493" s="4">
        <v>3</v>
      </c>
      <c r="AD493" s="4">
        <v>14</v>
      </c>
      <c r="AE493" s="4">
        <v>14</v>
      </c>
      <c r="AF493" s="4">
        <v>1</v>
      </c>
      <c r="AG493" s="4">
        <v>1</v>
      </c>
      <c r="AH493" s="4">
        <v>5</v>
      </c>
      <c r="AI493" s="4">
        <v>5</v>
      </c>
      <c r="AJ493" s="4">
        <v>8</v>
      </c>
      <c r="AK493" s="4">
        <v>8</v>
      </c>
      <c r="AL493" s="4">
        <v>2</v>
      </c>
      <c r="AM493" s="4">
        <v>2</v>
      </c>
      <c r="AN493" s="4">
        <v>0</v>
      </c>
      <c r="AO493" s="4">
        <v>0</v>
      </c>
      <c r="AP493" s="3" t="s">
        <v>58</v>
      </c>
      <c r="AQ493" s="3" t="s">
        <v>68</v>
      </c>
      <c r="AR493" s="6" t="str">
        <f>HYPERLINK("http://catalog.hathitrust.org/Record/000257986","HathiTrust Record")</f>
        <v>HathiTrust Record</v>
      </c>
      <c r="AS493" s="6" t="str">
        <f>HYPERLINK("https://creighton-primo.hosted.exlibrisgroup.com/primo-explore/search?tab=default_tab&amp;search_scope=EVERYTHING&amp;vid=01CRU&amp;lang=en_US&amp;offset=0&amp;query=any,contains,991004675429702656","Catalog Record")</f>
        <v>Catalog Record</v>
      </c>
      <c r="AT493" s="6" t="str">
        <f>HYPERLINK("http://www.worldcat.org/oclc/4536728","WorldCat Record")</f>
        <v>WorldCat Record</v>
      </c>
      <c r="AU493" s="3" t="s">
        <v>6183</v>
      </c>
      <c r="AV493" s="3" t="s">
        <v>6184</v>
      </c>
      <c r="AW493" s="3" t="s">
        <v>6185</v>
      </c>
      <c r="AX493" s="3" t="s">
        <v>6185</v>
      </c>
      <c r="AY493" s="3" t="s">
        <v>6186</v>
      </c>
      <c r="AZ493" s="3" t="s">
        <v>73</v>
      </c>
      <c r="BB493" s="3" t="s">
        <v>6187</v>
      </c>
      <c r="BC493" s="3" t="s">
        <v>6188</v>
      </c>
      <c r="BD493" s="3" t="s">
        <v>6189</v>
      </c>
    </row>
    <row r="494" spans="1:56" ht="31.5" customHeight="1" x14ac:dyDescent="0.25">
      <c r="A494" s="7" t="s">
        <v>58</v>
      </c>
      <c r="B494" s="2" t="s">
        <v>6190</v>
      </c>
      <c r="C494" s="2" t="s">
        <v>6191</v>
      </c>
      <c r="D494" s="2" t="s">
        <v>6192</v>
      </c>
      <c r="F494" s="3" t="s">
        <v>58</v>
      </c>
      <c r="G494" s="3" t="s">
        <v>59</v>
      </c>
      <c r="H494" s="3" t="s">
        <v>58</v>
      </c>
      <c r="I494" s="3" t="s">
        <v>58</v>
      </c>
      <c r="J494" s="3" t="s">
        <v>60</v>
      </c>
      <c r="L494" s="2" t="s">
        <v>6193</v>
      </c>
      <c r="M494" s="3" t="s">
        <v>1370</v>
      </c>
      <c r="O494" s="3" t="s">
        <v>63</v>
      </c>
      <c r="P494" s="3" t="s">
        <v>459</v>
      </c>
      <c r="Q494" s="2" t="s">
        <v>6194</v>
      </c>
      <c r="R494" s="3" t="s">
        <v>65</v>
      </c>
      <c r="S494" s="4">
        <v>3</v>
      </c>
      <c r="T494" s="4">
        <v>3</v>
      </c>
      <c r="U494" s="5" t="s">
        <v>6195</v>
      </c>
      <c r="V494" s="5" t="s">
        <v>6195</v>
      </c>
      <c r="W494" s="5" t="s">
        <v>4002</v>
      </c>
      <c r="X494" s="5" t="s">
        <v>4002</v>
      </c>
      <c r="Y494" s="4">
        <v>309</v>
      </c>
      <c r="Z494" s="4">
        <v>192</v>
      </c>
      <c r="AA494" s="4">
        <v>197</v>
      </c>
      <c r="AB494" s="4">
        <v>4</v>
      </c>
      <c r="AC494" s="4">
        <v>4</v>
      </c>
      <c r="AD494" s="4">
        <v>9</v>
      </c>
      <c r="AE494" s="4">
        <v>9</v>
      </c>
      <c r="AF494" s="4">
        <v>3</v>
      </c>
      <c r="AG494" s="4">
        <v>3</v>
      </c>
      <c r="AH494" s="4">
        <v>2</v>
      </c>
      <c r="AI494" s="4">
        <v>2</v>
      </c>
      <c r="AJ494" s="4">
        <v>4</v>
      </c>
      <c r="AK494" s="4">
        <v>4</v>
      </c>
      <c r="AL494" s="4">
        <v>2</v>
      </c>
      <c r="AM494" s="4">
        <v>2</v>
      </c>
      <c r="AN494" s="4">
        <v>0</v>
      </c>
      <c r="AO494" s="4">
        <v>0</v>
      </c>
      <c r="AP494" s="3" t="s">
        <v>58</v>
      </c>
      <c r="AQ494" s="3" t="s">
        <v>68</v>
      </c>
      <c r="AR494" s="6" t="str">
        <f>HYPERLINK("http://catalog.hathitrust.org/Record/000017788","HathiTrust Record")</f>
        <v>HathiTrust Record</v>
      </c>
      <c r="AS494" s="6" t="str">
        <f>HYPERLINK("https://creighton-primo.hosted.exlibrisgroup.com/primo-explore/search?tab=default_tab&amp;search_scope=EVERYTHING&amp;vid=01CRU&amp;lang=en_US&amp;offset=0&amp;query=any,contains,991003719749702656","Catalog Record")</f>
        <v>Catalog Record</v>
      </c>
      <c r="AT494" s="6" t="str">
        <f>HYPERLINK("http://www.worldcat.org/oclc/1365268","WorldCat Record")</f>
        <v>WorldCat Record</v>
      </c>
      <c r="AU494" s="3" t="s">
        <v>6196</v>
      </c>
      <c r="AV494" s="3" t="s">
        <v>6197</v>
      </c>
      <c r="AW494" s="3" t="s">
        <v>6198</v>
      </c>
      <c r="AX494" s="3" t="s">
        <v>6198</v>
      </c>
      <c r="AY494" s="3" t="s">
        <v>6199</v>
      </c>
      <c r="AZ494" s="3" t="s">
        <v>73</v>
      </c>
      <c r="BB494" s="3" t="s">
        <v>6200</v>
      </c>
      <c r="BC494" s="3" t="s">
        <v>6201</v>
      </c>
      <c r="BD494" s="3" t="s">
        <v>6202</v>
      </c>
    </row>
    <row r="495" spans="1:56" ht="31.5" customHeight="1" x14ac:dyDescent="0.25">
      <c r="A495" s="7" t="s">
        <v>58</v>
      </c>
      <c r="B495" s="2" t="s">
        <v>6203</v>
      </c>
      <c r="C495" s="2" t="s">
        <v>6204</v>
      </c>
      <c r="D495" s="2" t="s">
        <v>6205</v>
      </c>
      <c r="F495" s="3" t="s">
        <v>58</v>
      </c>
      <c r="G495" s="3" t="s">
        <v>59</v>
      </c>
      <c r="H495" s="3" t="s">
        <v>58</v>
      </c>
      <c r="I495" s="3" t="s">
        <v>58</v>
      </c>
      <c r="J495" s="3" t="s">
        <v>60</v>
      </c>
      <c r="K495" s="2" t="s">
        <v>6206</v>
      </c>
      <c r="L495" s="2" t="s">
        <v>6207</v>
      </c>
      <c r="M495" s="3" t="s">
        <v>230</v>
      </c>
      <c r="O495" s="3" t="s">
        <v>63</v>
      </c>
      <c r="P495" s="3" t="s">
        <v>459</v>
      </c>
      <c r="Q495" s="2" t="s">
        <v>6208</v>
      </c>
      <c r="R495" s="3" t="s">
        <v>65</v>
      </c>
      <c r="S495" s="4">
        <v>4</v>
      </c>
      <c r="T495" s="4">
        <v>4</v>
      </c>
      <c r="U495" s="5" t="s">
        <v>6029</v>
      </c>
      <c r="V495" s="5" t="s">
        <v>6029</v>
      </c>
      <c r="W495" s="5" t="s">
        <v>3853</v>
      </c>
      <c r="X495" s="5" t="s">
        <v>3853</v>
      </c>
      <c r="Y495" s="4">
        <v>174</v>
      </c>
      <c r="Z495" s="4">
        <v>135</v>
      </c>
      <c r="AA495" s="4">
        <v>174</v>
      </c>
      <c r="AB495" s="4">
        <v>2</v>
      </c>
      <c r="AC495" s="4">
        <v>2</v>
      </c>
      <c r="AD495" s="4">
        <v>4</v>
      </c>
      <c r="AE495" s="4">
        <v>6</v>
      </c>
      <c r="AF495" s="4">
        <v>0</v>
      </c>
      <c r="AG495" s="4">
        <v>1</v>
      </c>
      <c r="AH495" s="4">
        <v>2</v>
      </c>
      <c r="AI495" s="4">
        <v>3</v>
      </c>
      <c r="AJ495" s="4">
        <v>1</v>
      </c>
      <c r="AK495" s="4">
        <v>2</v>
      </c>
      <c r="AL495" s="4">
        <v>1</v>
      </c>
      <c r="AM495" s="4">
        <v>1</v>
      </c>
      <c r="AN495" s="4">
        <v>0</v>
      </c>
      <c r="AO495" s="4">
        <v>0</v>
      </c>
      <c r="AP495" s="3" t="s">
        <v>58</v>
      </c>
      <c r="AQ495" s="3" t="s">
        <v>68</v>
      </c>
      <c r="AR495" s="6" t="str">
        <f>HYPERLINK("http://catalog.hathitrust.org/Record/101989733","HathiTrust Record")</f>
        <v>HathiTrust Record</v>
      </c>
      <c r="AS495" s="6" t="str">
        <f>HYPERLINK("https://creighton-primo.hosted.exlibrisgroup.com/primo-explore/search?tab=default_tab&amp;search_scope=EVERYTHING&amp;vid=01CRU&amp;lang=en_US&amp;offset=0&amp;query=any,contains,991004654719702656","Catalog Record")</f>
        <v>Catalog Record</v>
      </c>
      <c r="AT495" s="6" t="str">
        <f>HYPERLINK("http://www.worldcat.org/oclc/4494971","WorldCat Record")</f>
        <v>WorldCat Record</v>
      </c>
      <c r="AU495" s="3" t="s">
        <v>6209</v>
      </c>
      <c r="AV495" s="3" t="s">
        <v>6210</v>
      </c>
      <c r="AW495" s="3" t="s">
        <v>6211</v>
      </c>
      <c r="AX495" s="3" t="s">
        <v>6211</v>
      </c>
      <c r="AY495" s="3" t="s">
        <v>6212</v>
      </c>
      <c r="AZ495" s="3" t="s">
        <v>73</v>
      </c>
      <c r="BB495" s="3" t="s">
        <v>6213</v>
      </c>
      <c r="BC495" s="3" t="s">
        <v>6214</v>
      </c>
      <c r="BD495" s="3" t="s">
        <v>6215</v>
      </c>
    </row>
    <row r="496" spans="1:56" ht="31.5" customHeight="1" x14ac:dyDescent="0.25">
      <c r="A496" s="7" t="s">
        <v>58</v>
      </c>
      <c r="B496" s="2" t="s">
        <v>6216</v>
      </c>
      <c r="C496" s="2" t="s">
        <v>6217</v>
      </c>
      <c r="D496" s="2" t="s">
        <v>6218</v>
      </c>
      <c r="F496" s="3" t="s">
        <v>58</v>
      </c>
      <c r="G496" s="3" t="s">
        <v>59</v>
      </c>
      <c r="H496" s="3" t="s">
        <v>58</v>
      </c>
      <c r="I496" s="3" t="s">
        <v>58</v>
      </c>
      <c r="J496" s="3" t="s">
        <v>60</v>
      </c>
      <c r="K496" s="2" t="s">
        <v>6219</v>
      </c>
      <c r="L496" s="2" t="s">
        <v>442</v>
      </c>
      <c r="M496" s="3" t="s">
        <v>443</v>
      </c>
      <c r="O496" s="3" t="s">
        <v>63</v>
      </c>
      <c r="P496" s="3" t="s">
        <v>444</v>
      </c>
      <c r="Q496" s="2" t="s">
        <v>3039</v>
      </c>
      <c r="R496" s="3" t="s">
        <v>65</v>
      </c>
      <c r="S496" s="4">
        <v>4</v>
      </c>
      <c r="T496" s="4">
        <v>4</v>
      </c>
      <c r="U496" s="5" t="s">
        <v>6220</v>
      </c>
      <c r="V496" s="5" t="s">
        <v>6220</v>
      </c>
      <c r="W496" s="5" t="s">
        <v>5963</v>
      </c>
      <c r="X496" s="5" t="s">
        <v>5963</v>
      </c>
      <c r="Y496" s="4">
        <v>634</v>
      </c>
      <c r="Z496" s="4">
        <v>507</v>
      </c>
      <c r="AA496" s="4">
        <v>512</v>
      </c>
      <c r="AB496" s="4">
        <v>5</v>
      </c>
      <c r="AC496" s="4">
        <v>5</v>
      </c>
      <c r="AD496" s="4">
        <v>15</v>
      </c>
      <c r="AE496" s="4">
        <v>15</v>
      </c>
      <c r="AF496" s="4">
        <v>5</v>
      </c>
      <c r="AG496" s="4">
        <v>5</v>
      </c>
      <c r="AH496" s="4">
        <v>4</v>
      </c>
      <c r="AI496" s="4">
        <v>4</v>
      </c>
      <c r="AJ496" s="4">
        <v>5</v>
      </c>
      <c r="AK496" s="4">
        <v>5</v>
      </c>
      <c r="AL496" s="4">
        <v>4</v>
      </c>
      <c r="AM496" s="4">
        <v>4</v>
      </c>
      <c r="AN496" s="4">
        <v>0</v>
      </c>
      <c r="AO496" s="4">
        <v>0</v>
      </c>
      <c r="AP496" s="3" t="s">
        <v>58</v>
      </c>
      <c r="AQ496" s="3" t="s">
        <v>58</v>
      </c>
      <c r="AS496" s="6" t="str">
        <f>HYPERLINK("https://creighton-primo.hosted.exlibrisgroup.com/primo-explore/search?tab=default_tab&amp;search_scope=EVERYTHING&amp;vid=01CRU&amp;lang=en_US&amp;offset=0&amp;query=any,contains,991004270129702656","Catalog Record")</f>
        <v>Catalog Record</v>
      </c>
      <c r="AT496" s="6" t="str">
        <f>HYPERLINK("http://www.worldcat.org/oclc/2875132","WorldCat Record")</f>
        <v>WorldCat Record</v>
      </c>
      <c r="AU496" s="3" t="s">
        <v>6221</v>
      </c>
      <c r="AV496" s="3" t="s">
        <v>6222</v>
      </c>
      <c r="AW496" s="3" t="s">
        <v>6223</v>
      </c>
      <c r="AX496" s="3" t="s">
        <v>6223</v>
      </c>
      <c r="AY496" s="3" t="s">
        <v>6224</v>
      </c>
      <c r="AZ496" s="3" t="s">
        <v>73</v>
      </c>
      <c r="BB496" s="3" t="s">
        <v>6225</v>
      </c>
      <c r="BC496" s="3" t="s">
        <v>6226</v>
      </c>
      <c r="BD496" s="3" t="s">
        <v>6227</v>
      </c>
    </row>
    <row r="497" spans="1:56" ht="31.5" customHeight="1" x14ac:dyDescent="0.25">
      <c r="A497" s="7" t="s">
        <v>58</v>
      </c>
      <c r="B497" s="2" t="s">
        <v>6228</v>
      </c>
      <c r="C497" s="2" t="s">
        <v>6229</v>
      </c>
      <c r="D497" s="2" t="s">
        <v>6230</v>
      </c>
      <c r="F497" s="3" t="s">
        <v>58</v>
      </c>
      <c r="G497" s="3" t="s">
        <v>59</v>
      </c>
      <c r="H497" s="3" t="s">
        <v>58</v>
      </c>
      <c r="I497" s="3" t="s">
        <v>58</v>
      </c>
      <c r="J497" s="3" t="s">
        <v>60</v>
      </c>
      <c r="L497" s="2" t="s">
        <v>6231</v>
      </c>
      <c r="M497" s="3" t="s">
        <v>244</v>
      </c>
      <c r="O497" s="3" t="s">
        <v>63</v>
      </c>
      <c r="P497" s="3" t="s">
        <v>459</v>
      </c>
      <c r="Q497" s="2" t="s">
        <v>6232</v>
      </c>
      <c r="R497" s="3" t="s">
        <v>65</v>
      </c>
      <c r="S497" s="4">
        <v>2</v>
      </c>
      <c r="T497" s="4">
        <v>2</v>
      </c>
      <c r="U497" s="5" t="s">
        <v>6233</v>
      </c>
      <c r="V497" s="5" t="s">
        <v>6233</v>
      </c>
      <c r="W497" s="5" t="s">
        <v>3853</v>
      </c>
      <c r="X497" s="5" t="s">
        <v>3853</v>
      </c>
      <c r="Y497" s="4">
        <v>160</v>
      </c>
      <c r="Z497" s="4">
        <v>130</v>
      </c>
      <c r="AA497" s="4">
        <v>130</v>
      </c>
      <c r="AB497" s="4">
        <v>2</v>
      </c>
      <c r="AC497" s="4">
        <v>2</v>
      </c>
      <c r="AD497" s="4">
        <v>2</v>
      </c>
      <c r="AE497" s="4">
        <v>2</v>
      </c>
      <c r="AF497" s="4">
        <v>0</v>
      </c>
      <c r="AG497" s="4">
        <v>0</v>
      </c>
      <c r="AH497" s="4">
        <v>1</v>
      </c>
      <c r="AI497" s="4">
        <v>1</v>
      </c>
      <c r="AJ497" s="4">
        <v>0</v>
      </c>
      <c r="AK497" s="4">
        <v>0</v>
      </c>
      <c r="AL497" s="4">
        <v>1</v>
      </c>
      <c r="AM497" s="4">
        <v>1</v>
      </c>
      <c r="AN497" s="4">
        <v>0</v>
      </c>
      <c r="AO497" s="4">
        <v>0</v>
      </c>
      <c r="AP497" s="3" t="s">
        <v>58</v>
      </c>
      <c r="AQ497" s="3" t="s">
        <v>58</v>
      </c>
      <c r="AS497" s="6" t="str">
        <f>HYPERLINK("https://creighton-primo.hosted.exlibrisgroup.com/primo-explore/search?tab=default_tab&amp;search_scope=EVERYTHING&amp;vid=01CRU&amp;lang=en_US&amp;offset=0&amp;query=any,contains,991005115399702656","Catalog Record")</f>
        <v>Catalog Record</v>
      </c>
      <c r="AT497" s="6" t="str">
        <f>HYPERLINK("http://www.worldcat.org/oclc/7461992","WorldCat Record")</f>
        <v>WorldCat Record</v>
      </c>
      <c r="AU497" s="3" t="s">
        <v>6234</v>
      </c>
      <c r="AV497" s="3" t="s">
        <v>6235</v>
      </c>
      <c r="AW497" s="3" t="s">
        <v>6236</v>
      </c>
      <c r="AX497" s="3" t="s">
        <v>6236</v>
      </c>
      <c r="AY497" s="3" t="s">
        <v>6237</v>
      </c>
      <c r="AZ497" s="3" t="s">
        <v>73</v>
      </c>
      <c r="BB497" s="3" t="s">
        <v>6238</v>
      </c>
      <c r="BC497" s="3" t="s">
        <v>6239</v>
      </c>
      <c r="BD497" s="3" t="s">
        <v>6240</v>
      </c>
    </row>
    <row r="498" spans="1:56" ht="31.5" customHeight="1" x14ac:dyDescent="0.25">
      <c r="A498" s="7" t="s">
        <v>58</v>
      </c>
      <c r="B498" s="2" t="s">
        <v>6241</v>
      </c>
      <c r="C498" s="2" t="s">
        <v>6242</v>
      </c>
      <c r="D498" s="2" t="s">
        <v>6243</v>
      </c>
      <c r="F498" s="3" t="s">
        <v>58</v>
      </c>
      <c r="G498" s="3" t="s">
        <v>59</v>
      </c>
      <c r="H498" s="3" t="s">
        <v>58</v>
      </c>
      <c r="I498" s="3" t="s">
        <v>58</v>
      </c>
      <c r="J498" s="3" t="s">
        <v>60</v>
      </c>
      <c r="K498" s="2" t="s">
        <v>2627</v>
      </c>
      <c r="L498" s="2" t="s">
        <v>6244</v>
      </c>
      <c r="M498" s="3" t="s">
        <v>443</v>
      </c>
      <c r="O498" s="3" t="s">
        <v>63</v>
      </c>
      <c r="P498" s="3" t="s">
        <v>186</v>
      </c>
      <c r="Q498" s="2" t="s">
        <v>2644</v>
      </c>
      <c r="R498" s="3" t="s">
        <v>65</v>
      </c>
      <c r="S498" s="4">
        <v>1</v>
      </c>
      <c r="T498" s="4">
        <v>1</v>
      </c>
      <c r="U498" s="5" t="s">
        <v>6245</v>
      </c>
      <c r="V498" s="5" t="s">
        <v>6245</v>
      </c>
      <c r="W498" s="5" t="s">
        <v>5963</v>
      </c>
      <c r="X498" s="5" t="s">
        <v>5963</v>
      </c>
      <c r="Y498" s="4">
        <v>563</v>
      </c>
      <c r="Z498" s="4">
        <v>415</v>
      </c>
      <c r="AA498" s="4">
        <v>425</v>
      </c>
      <c r="AB498" s="4">
        <v>3</v>
      </c>
      <c r="AC498" s="4">
        <v>3</v>
      </c>
      <c r="AD498" s="4">
        <v>12</v>
      </c>
      <c r="AE498" s="4">
        <v>13</v>
      </c>
      <c r="AF498" s="4">
        <v>3</v>
      </c>
      <c r="AG498" s="4">
        <v>3</v>
      </c>
      <c r="AH498" s="4">
        <v>4</v>
      </c>
      <c r="AI498" s="4">
        <v>5</v>
      </c>
      <c r="AJ498" s="4">
        <v>4</v>
      </c>
      <c r="AK498" s="4">
        <v>5</v>
      </c>
      <c r="AL498" s="4">
        <v>2</v>
      </c>
      <c r="AM498" s="4">
        <v>2</v>
      </c>
      <c r="AN498" s="4">
        <v>0</v>
      </c>
      <c r="AO498" s="4">
        <v>0</v>
      </c>
      <c r="AP498" s="3" t="s">
        <v>58</v>
      </c>
      <c r="AQ498" s="3" t="s">
        <v>58</v>
      </c>
      <c r="AS498" s="6" t="str">
        <f>HYPERLINK("https://creighton-primo.hosted.exlibrisgroup.com/primo-explore/search?tab=default_tab&amp;search_scope=EVERYTHING&amp;vid=01CRU&amp;lang=en_US&amp;offset=0&amp;query=any,contains,991003976389702656","Catalog Record")</f>
        <v>Catalog Record</v>
      </c>
      <c r="AT498" s="6" t="str">
        <f>HYPERLINK("http://www.worldcat.org/oclc/2005499","WorldCat Record")</f>
        <v>WorldCat Record</v>
      </c>
      <c r="AU498" s="3" t="s">
        <v>6246</v>
      </c>
      <c r="AV498" s="3" t="s">
        <v>6247</v>
      </c>
      <c r="AW498" s="3" t="s">
        <v>6248</v>
      </c>
      <c r="AX498" s="3" t="s">
        <v>6248</v>
      </c>
      <c r="AY498" s="3" t="s">
        <v>6249</v>
      </c>
      <c r="AZ498" s="3" t="s">
        <v>73</v>
      </c>
      <c r="BB498" s="3" t="s">
        <v>6250</v>
      </c>
      <c r="BC498" s="3" t="s">
        <v>6251</v>
      </c>
      <c r="BD498" s="3" t="s">
        <v>6252</v>
      </c>
    </row>
    <row r="499" spans="1:56" ht="31.5" customHeight="1" x14ac:dyDescent="0.25">
      <c r="A499" s="7" t="s">
        <v>58</v>
      </c>
      <c r="B499" s="2" t="s">
        <v>6253</v>
      </c>
      <c r="C499" s="2" t="s">
        <v>6254</v>
      </c>
      <c r="D499" s="2" t="s">
        <v>6255</v>
      </c>
      <c r="F499" s="3" t="s">
        <v>58</v>
      </c>
      <c r="G499" s="3" t="s">
        <v>59</v>
      </c>
      <c r="H499" s="3" t="s">
        <v>58</v>
      </c>
      <c r="I499" s="3" t="s">
        <v>58</v>
      </c>
      <c r="J499" s="3" t="s">
        <v>60</v>
      </c>
      <c r="K499" s="2" t="s">
        <v>2075</v>
      </c>
      <c r="L499" s="2" t="s">
        <v>6256</v>
      </c>
      <c r="M499" s="3" t="s">
        <v>97</v>
      </c>
      <c r="N499" s="2" t="s">
        <v>501</v>
      </c>
      <c r="O499" s="3" t="s">
        <v>63</v>
      </c>
      <c r="P499" s="3" t="s">
        <v>64</v>
      </c>
      <c r="R499" s="3" t="s">
        <v>65</v>
      </c>
      <c r="S499" s="4">
        <v>1</v>
      </c>
      <c r="T499" s="4">
        <v>1</v>
      </c>
      <c r="U499" s="5" t="s">
        <v>5709</v>
      </c>
      <c r="V499" s="5" t="s">
        <v>5709</v>
      </c>
      <c r="W499" s="5" t="s">
        <v>6257</v>
      </c>
      <c r="X499" s="5" t="s">
        <v>6257</v>
      </c>
      <c r="Y499" s="4">
        <v>628</v>
      </c>
      <c r="Z499" s="4">
        <v>579</v>
      </c>
      <c r="AA499" s="4">
        <v>584</v>
      </c>
      <c r="AB499" s="4">
        <v>4</v>
      </c>
      <c r="AC499" s="4">
        <v>4</v>
      </c>
      <c r="AD499" s="4">
        <v>13</v>
      </c>
      <c r="AE499" s="4">
        <v>13</v>
      </c>
      <c r="AF499" s="4">
        <v>5</v>
      </c>
      <c r="AG499" s="4">
        <v>5</v>
      </c>
      <c r="AH499" s="4">
        <v>4</v>
      </c>
      <c r="AI499" s="4">
        <v>4</v>
      </c>
      <c r="AJ499" s="4">
        <v>6</v>
      </c>
      <c r="AK499" s="4">
        <v>6</v>
      </c>
      <c r="AL499" s="4">
        <v>1</v>
      </c>
      <c r="AM499" s="4">
        <v>1</v>
      </c>
      <c r="AN499" s="4">
        <v>0</v>
      </c>
      <c r="AO499" s="4">
        <v>0</v>
      </c>
      <c r="AP499" s="3" t="s">
        <v>58</v>
      </c>
      <c r="AQ499" s="3" t="s">
        <v>58</v>
      </c>
      <c r="AS499" s="6" t="str">
        <f>HYPERLINK("https://creighton-primo.hosted.exlibrisgroup.com/primo-explore/search?tab=default_tab&amp;search_scope=EVERYTHING&amp;vid=01CRU&amp;lang=en_US&amp;offset=0&amp;query=any,contains,991001366119702656","Catalog Record")</f>
        <v>Catalog Record</v>
      </c>
      <c r="AT499" s="6" t="str">
        <f>HYPERLINK("http://www.worldcat.org/oclc/18558670","WorldCat Record")</f>
        <v>WorldCat Record</v>
      </c>
      <c r="AU499" s="3" t="s">
        <v>6258</v>
      </c>
      <c r="AV499" s="3" t="s">
        <v>6259</v>
      </c>
      <c r="AW499" s="3" t="s">
        <v>6260</v>
      </c>
      <c r="AX499" s="3" t="s">
        <v>6260</v>
      </c>
      <c r="AY499" s="3" t="s">
        <v>6261</v>
      </c>
      <c r="AZ499" s="3" t="s">
        <v>73</v>
      </c>
      <c r="BB499" s="3" t="s">
        <v>6262</v>
      </c>
      <c r="BC499" s="3" t="s">
        <v>6263</v>
      </c>
      <c r="BD499" s="3" t="s">
        <v>6264</v>
      </c>
    </row>
    <row r="500" spans="1:56" ht="31.5" customHeight="1" x14ac:dyDescent="0.25">
      <c r="A500" s="7" t="s">
        <v>58</v>
      </c>
      <c r="B500" s="2" t="s">
        <v>6265</v>
      </c>
      <c r="C500" s="2" t="s">
        <v>6266</v>
      </c>
      <c r="D500" s="2" t="s">
        <v>6267</v>
      </c>
      <c r="F500" s="3" t="s">
        <v>58</v>
      </c>
      <c r="G500" s="3" t="s">
        <v>59</v>
      </c>
      <c r="H500" s="3" t="s">
        <v>58</v>
      </c>
      <c r="I500" s="3" t="s">
        <v>58</v>
      </c>
      <c r="J500" s="3" t="s">
        <v>60</v>
      </c>
      <c r="K500" s="2" t="s">
        <v>2146</v>
      </c>
      <c r="L500" s="2" t="s">
        <v>2643</v>
      </c>
      <c r="M500" s="3" t="s">
        <v>877</v>
      </c>
      <c r="N500" s="2" t="s">
        <v>2985</v>
      </c>
      <c r="O500" s="3" t="s">
        <v>63</v>
      </c>
      <c r="P500" s="3" t="s">
        <v>186</v>
      </c>
      <c r="R500" s="3" t="s">
        <v>65</v>
      </c>
      <c r="S500" s="4">
        <v>3</v>
      </c>
      <c r="T500" s="4">
        <v>3</v>
      </c>
      <c r="U500" s="5" t="s">
        <v>5937</v>
      </c>
      <c r="V500" s="5" t="s">
        <v>5937</v>
      </c>
      <c r="W500" s="5" t="s">
        <v>6268</v>
      </c>
      <c r="X500" s="5" t="s">
        <v>6268</v>
      </c>
      <c r="Y500" s="4">
        <v>498</v>
      </c>
      <c r="Z500" s="4">
        <v>369</v>
      </c>
      <c r="AA500" s="4">
        <v>381</v>
      </c>
      <c r="AB500" s="4">
        <v>3</v>
      </c>
      <c r="AC500" s="4">
        <v>3</v>
      </c>
      <c r="AD500" s="4">
        <v>10</v>
      </c>
      <c r="AE500" s="4">
        <v>10</v>
      </c>
      <c r="AF500" s="4">
        <v>3</v>
      </c>
      <c r="AG500" s="4">
        <v>3</v>
      </c>
      <c r="AH500" s="4">
        <v>3</v>
      </c>
      <c r="AI500" s="4">
        <v>3</v>
      </c>
      <c r="AJ500" s="4">
        <v>7</v>
      </c>
      <c r="AK500" s="4">
        <v>7</v>
      </c>
      <c r="AL500" s="4">
        <v>1</v>
      </c>
      <c r="AM500" s="4">
        <v>1</v>
      </c>
      <c r="AN500" s="4">
        <v>0</v>
      </c>
      <c r="AO500" s="4">
        <v>0</v>
      </c>
      <c r="AP500" s="3" t="s">
        <v>58</v>
      </c>
      <c r="AQ500" s="3" t="s">
        <v>58</v>
      </c>
      <c r="AS500" s="6" t="str">
        <f>HYPERLINK("https://creighton-primo.hosted.exlibrisgroup.com/primo-explore/search?tab=default_tab&amp;search_scope=EVERYTHING&amp;vid=01CRU&amp;lang=en_US&amp;offset=0&amp;query=any,contains,991000518919702656","Catalog Record")</f>
        <v>Catalog Record</v>
      </c>
      <c r="AT500" s="6" t="str">
        <f>HYPERLINK("http://www.worldcat.org/oclc/11316158","WorldCat Record")</f>
        <v>WorldCat Record</v>
      </c>
      <c r="AU500" s="3" t="s">
        <v>6269</v>
      </c>
      <c r="AV500" s="3" t="s">
        <v>6270</v>
      </c>
      <c r="AW500" s="3" t="s">
        <v>6271</v>
      </c>
      <c r="AX500" s="3" t="s">
        <v>6271</v>
      </c>
      <c r="AY500" s="3" t="s">
        <v>6272</v>
      </c>
      <c r="AZ500" s="3" t="s">
        <v>73</v>
      </c>
      <c r="BB500" s="3" t="s">
        <v>6273</v>
      </c>
      <c r="BC500" s="3" t="s">
        <v>6274</v>
      </c>
      <c r="BD500" s="3" t="s">
        <v>6275</v>
      </c>
    </row>
    <row r="501" spans="1:56" ht="31.5" customHeight="1" x14ac:dyDescent="0.25">
      <c r="A501" s="7" t="s">
        <v>58</v>
      </c>
      <c r="B501" s="2" t="s">
        <v>6276</v>
      </c>
      <c r="C501" s="2" t="s">
        <v>6277</v>
      </c>
      <c r="D501" s="2" t="s">
        <v>6278</v>
      </c>
      <c r="F501" s="3" t="s">
        <v>58</v>
      </c>
      <c r="G501" s="3" t="s">
        <v>59</v>
      </c>
      <c r="H501" s="3" t="s">
        <v>58</v>
      </c>
      <c r="I501" s="3" t="s">
        <v>58</v>
      </c>
      <c r="J501" s="3" t="s">
        <v>60</v>
      </c>
      <c r="K501" s="2" t="s">
        <v>6279</v>
      </c>
      <c r="L501" s="2" t="s">
        <v>6280</v>
      </c>
      <c r="M501" s="3" t="s">
        <v>1522</v>
      </c>
      <c r="O501" s="3" t="s">
        <v>63</v>
      </c>
      <c r="P501" s="3" t="s">
        <v>64</v>
      </c>
      <c r="Q501" s="2" t="s">
        <v>6281</v>
      </c>
      <c r="R501" s="3" t="s">
        <v>65</v>
      </c>
      <c r="S501" s="4">
        <v>1</v>
      </c>
      <c r="T501" s="4">
        <v>1</v>
      </c>
      <c r="U501" s="5" t="s">
        <v>2328</v>
      </c>
      <c r="V501" s="5" t="s">
        <v>2328</v>
      </c>
      <c r="W501" s="5" t="s">
        <v>4002</v>
      </c>
      <c r="X501" s="5" t="s">
        <v>4002</v>
      </c>
      <c r="Y501" s="4">
        <v>424</v>
      </c>
      <c r="Z501" s="4">
        <v>351</v>
      </c>
      <c r="AA501" s="4">
        <v>356</v>
      </c>
      <c r="AB501" s="4">
        <v>3</v>
      </c>
      <c r="AC501" s="4">
        <v>3</v>
      </c>
      <c r="AD501" s="4">
        <v>18</v>
      </c>
      <c r="AE501" s="4">
        <v>18</v>
      </c>
      <c r="AF501" s="4">
        <v>5</v>
      </c>
      <c r="AG501" s="4">
        <v>5</v>
      </c>
      <c r="AH501" s="4">
        <v>2</v>
      </c>
      <c r="AI501" s="4">
        <v>2</v>
      </c>
      <c r="AJ501" s="4">
        <v>13</v>
      </c>
      <c r="AK501" s="4">
        <v>13</v>
      </c>
      <c r="AL501" s="4">
        <v>2</v>
      </c>
      <c r="AM501" s="4">
        <v>2</v>
      </c>
      <c r="AN501" s="4">
        <v>0</v>
      </c>
      <c r="AO501" s="4">
        <v>0</v>
      </c>
      <c r="AP501" s="3" t="s">
        <v>58</v>
      </c>
      <c r="AQ501" s="3" t="s">
        <v>68</v>
      </c>
      <c r="AR501" s="6" t="str">
        <f>HYPERLINK("http://catalog.hathitrust.org/Record/001477260","HathiTrust Record")</f>
        <v>HathiTrust Record</v>
      </c>
      <c r="AS501" s="6" t="str">
        <f>HYPERLINK("https://creighton-primo.hosted.exlibrisgroup.com/primo-explore/search?tab=default_tab&amp;search_scope=EVERYTHING&amp;vid=01CRU&amp;lang=en_US&amp;offset=0&amp;query=any,contains,991002930509702656","Catalog Record")</f>
        <v>Catalog Record</v>
      </c>
      <c r="AT501" s="6" t="str">
        <f>HYPERLINK("http://www.worldcat.org/oclc/530725","WorldCat Record")</f>
        <v>WorldCat Record</v>
      </c>
      <c r="AU501" s="3" t="s">
        <v>6282</v>
      </c>
      <c r="AV501" s="3" t="s">
        <v>6283</v>
      </c>
      <c r="AW501" s="3" t="s">
        <v>6284</v>
      </c>
      <c r="AX501" s="3" t="s">
        <v>6284</v>
      </c>
      <c r="AY501" s="3" t="s">
        <v>6285</v>
      </c>
      <c r="AZ501" s="3" t="s">
        <v>73</v>
      </c>
      <c r="BC501" s="3" t="s">
        <v>6286</v>
      </c>
      <c r="BD501" s="3" t="s">
        <v>6287</v>
      </c>
    </row>
    <row r="502" spans="1:56" ht="31.5" customHeight="1" x14ac:dyDescent="0.25">
      <c r="A502" s="7" t="s">
        <v>58</v>
      </c>
      <c r="B502" s="2" t="s">
        <v>6288</v>
      </c>
      <c r="C502" s="2" t="s">
        <v>6289</v>
      </c>
      <c r="D502" s="2" t="s">
        <v>6290</v>
      </c>
      <c r="F502" s="3" t="s">
        <v>58</v>
      </c>
      <c r="G502" s="3" t="s">
        <v>59</v>
      </c>
      <c r="H502" s="3" t="s">
        <v>58</v>
      </c>
      <c r="I502" s="3" t="s">
        <v>58</v>
      </c>
      <c r="J502" s="3" t="s">
        <v>60</v>
      </c>
      <c r="K502" s="2" t="s">
        <v>6291</v>
      </c>
      <c r="L502" s="2" t="s">
        <v>6292</v>
      </c>
      <c r="M502" s="3" t="s">
        <v>401</v>
      </c>
      <c r="N502" s="2" t="s">
        <v>6293</v>
      </c>
      <c r="O502" s="3" t="s">
        <v>63</v>
      </c>
      <c r="P502" s="3" t="s">
        <v>129</v>
      </c>
      <c r="Q502" s="2" t="s">
        <v>3228</v>
      </c>
      <c r="R502" s="3" t="s">
        <v>65</v>
      </c>
      <c r="S502" s="4">
        <v>2</v>
      </c>
      <c r="T502" s="4">
        <v>2</v>
      </c>
      <c r="U502" s="5" t="s">
        <v>6294</v>
      </c>
      <c r="V502" s="5" t="s">
        <v>6294</v>
      </c>
      <c r="W502" s="5" t="s">
        <v>3853</v>
      </c>
      <c r="X502" s="5" t="s">
        <v>3853</v>
      </c>
      <c r="Y502" s="4">
        <v>704</v>
      </c>
      <c r="Z502" s="4">
        <v>608</v>
      </c>
      <c r="AA502" s="4">
        <v>960</v>
      </c>
      <c r="AB502" s="4">
        <v>6</v>
      </c>
      <c r="AC502" s="4">
        <v>7</v>
      </c>
      <c r="AD502" s="4">
        <v>13</v>
      </c>
      <c r="AE502" s="4">
        <v>33</v>
      </c>
      <c r="AF502" s="4">
        <v>1</v>
      </c>
      <c r="AG502" s="4">
        <v>12</v>
      </c>
      <c r="AH502" s="4">
        <v>4</v>
      </c>
      <c r="AI502" s="4">
        <v>6</v>
      </c>
      <c r="AJ502" s="4">
        <v>5</v>
      </c>
      <c r="AK502" s="4">
        <v>15</v>
      </c>
      <c r="AL502" s="4">
        <v>5</v>
      </c>
      <c r="AM502" s="4">
        <v>6</v>
      </c>
      <c r="AN502" s="4">
        <v>0</v>
      </c>
      <c r="AO502" s="4">
        <v>0</v>
      </c>
      <c r="AP502" s="3" t="s">
        <v>58</v>
      </c>
      <c r="AQ502" s="3" t="s">
        <v>68</v>
      </c>
      <c r="AR502" s="6" t="str">
        <f>HYPERLINK("http://catalog.hathitrust.org/Record/001477276","HathiTrust Record")</f>
        <v>HathiTrust Record</v>
      </c>
      <c r="AS502" s="6" t="str">
        <f>HYPERLINK("https://creighton-primo.hosted.exlibrisgroup.com/primo-explore/search?tab=default_tab&amp;search_scope=EVERYTHING&amp;vid=01CRU&amp;lang=en_US&amp;offset=0&amp;query=any,contains,991002344419702656","Catalog Record")</f>
        <v>Catalog Record</v>
      </c>
      <c r="AT502" s="6" t="str">
        <f>HYPERLINK("http://www.worldcat.org/oclc/324347","WorldCat Record")</f>
        <v>WorldCat Record</v>
      </c>
      <c r="AU502" s="3" t="s">
        <v>6295</v>
      </c>
      <c r="AV502" s="3" t="s">
        <v>6296</v>
      </c>
      <c r="AW502" s="3" t="s">
        <v>6297</v>
      </c>
      <c r="AX502" s="3" t="s">
        <v>6297</v>
      </c>
      <c r="AY502" s="3" t="s">
        <v>6298</v>
      </c>
      <c r="AZ502" s="3" t="s">
        <v>73</v>
      </c>
      <c r="BB502" s="3" t="s">
        <v>6299</v>
      </c>
      <c r="BC502" s="3" t="s">
        <v>6300</v>
      </c>
      <c r="BD502" s="3" t="s">
        <v>6301</v>
      </c>
    </row>
    <row r="503" spans="1:56" ht="31.5" customHeight="1" x14ac:dyDescent="0.25">
      <c r="A503" s="7" t="s">
        <v>58</v>
      </c>
      <c r="B503" s="2" t="s">
        <v>6302</v>
      </c>
      <c r="C503" s="2" t="s">
        <v>6303</v>
      </c>
      <c r="D503" s="2" t="s">
        <v>6304</v>
      </c>
      <c r="F503" s="3" t="s">
        <v>58</v>
      </c>
      <c r="G503" s="3" t="s">
        <v>59</v>
      </c>
      <c r="H503" s="3" t="s">
        <v>58</v>
      </c>
      <c r="I503" s="3" t="s">
        <v>58</v>
      </c>
      <c r="J503" s="3" t="s">
        <v>60</v>
      </c>
      <c r="K503" s="2" t="s">
        <v>6305</v>
      </c>
      <c r="L503" s="2" t="s">
        <v>6306</v>
      </c>
      <c r="M503" s="3" t="s">
        <v>97</v>
      </c>
      <c r="O503" s="3" t="s">
        <v>63</v>
      </c>
      <c r="P503" s="3" t="s">
        <v>444</v>
      </c>
      <c r="R503" s="3" t="s">
        <v>65</v>
      </c>
      <c r="S503" s="4">
        <v>6</v>
      </c>
      <c r="T503" s="4">
        <v>6</v>
      </c>
      <c r="U503" s="5" t="s">
        <v>6307</v>
      </c>
      <c r="V503" s="5" t="s">
        <v>6307</v>
      </c>
      <c r="W503" s="5" t="s">
        <v>3296</v>
      </c>
      <c r="X503" s="5" t="s">
        <v>3296</v>
      </c>
      <c r="Y503" s="4">
        <v>360</v>
      </c>
      <c r="Z503" s="4">
        <v>287</v>
      </c>
      <c r="AA503" s="4">
        <v>356</v>
      </c>
      <c r="AB503" s="4">
        <v>3</v>
      </c>
      <c r="AC503" s="4">
        <v>4</v>
      </c>
      <c r="AD503" s="4">
        <v>12</v>
      </c>
      <c r="AE503" s="4">
        <v>16</v>
      </c>
      <c r="AF503" s="4">
        <v>4</v>
      </c>
      <c r="AG503" s="4">
        <v>6</v>
      </c>
      <c r="AH503" s="4">
        <v>3</v>
      </c>
      <c r="AI503" s="4">
        <v>3</v>
      </c>
      <c r="AJ503" s="4">
        <v>6</v>
      </c>
      <c r="AK503" s="4">
        <v>7</v>
      </c>
      <c r="AL503" s="4">
        <v>2</v>
      </c>
      <c r="AM503" s="4">
        <v>3</v>
      </c>
      <c r="AN503" s="4">
        <v>0</v>
      </c>
      <c r="AO503" s="4">
        <v>0</v>
      </c>
      <c r="AP503" s="3" t="s">
        <v>58</v>
      </c>
      <c r="AQ503" s="3" t="s">
        <v>68</v>
      </c>
      <c r="AR503" s="6" t="str">
        <f>HYPERLINK("http://catalog.hathitrust.org/Record/001092740","HathiTrust Record")</f>
        <v>HathiTrust Record</v>
      </c>
      <c r="AS503" s="6" t="str">
        <f>HYPERLINK("https://creighton-primo.hosted.exlibrisgroup.com/primo-explore/search?tab=default_tab&amp;search_scope=EVERYTHING&amp;vid=01CRU&amp;lang=en_US&amp;offset=0&amp;query=any,contains,991001420599702656","Catalog Record")</f>
        <v>Catalog Record</v>
      </c>
      <c r="AT503" s="6" t="str">
        <f>HYPERLINK("http://www.worldcat.org/oclc/27266541","WorldCat Record")</f>
        <v>WorldCat Record</v>
      </c>
      <c r="AU503" s="3" t="s">
        <v>6308</v>
      </c>
      <c r="AV503" s="3" t="s">
        <v>6309</v>
      </c>
      <c r="AW503" s="3" t="s">
        <v>6310</v>
      </c>
      <c r="AX503" s="3" t="s">
        <v>6310</v>
      </c>
      <c r="AY503" s="3" t="s">
        <v>6311</v>
      </c>
      <c r="AZ503" s="3" t="s">
        <v>73</v>
      </c>
      <c r="BB503" s="3" t="s">
        <v>6312</v>
      </c>
      <c r="BC503" s="3" t="s">
        <v>6313</v>
      </c>
      <c r="BD503" s="3" t="s">
        <v>6314</v>
      </c>
    </row>
    <row r="504" spans="1:56" ht="31.5" customHeight="1" x14ac:dyDescent="0.25">
      <c r="A504" s="7" t="s">
        <v>58</v>
      </c>
      <c r="B504" s="2" t="s">
        <v>6315</v>
      </c>
      <c r="C504" s="2" t="s">
        <v>6316</v>
      </c>
      <c r="D504" s="2" t="s">
        <v>6317</v>
      </c>
      <c r="F504" s="3" t="s">
        <v>58</v>
      </c>
      <c r="G504" s="3" t="s">
        <v>59</v>
      </c>
      <c r="H504" s="3" t="s">
        <v>58</v>
      </c>
      <c r="I504" s="3" t="s">
        <v>58</v>
      </c>
      <c r="J504" s="3" t="s">
        <v>60</v>
      </c>
      <c r="K504" s="2" t="s">
        <v>6318</v>
      </c>
      <c r="L504" s="2" t="s">
        <v>6319</v>
      </c>
      <c r="M504" s="3" t="s">
        <v>113</v>
      </c>
      <c r="O504" s="3" t="s">
        <v>63</v>
      </c>
      <c r="P504" s="3" t="s">
        <v>129</v>
      </c>
      <c r="R504" s="3" t="s">
        <v>65</v>
      </c>
      <c r="S504" s="4">
        <v>1</v>
      </c>
      <c r="T504" s="4">
        <v>1</v>
      </c>
      <c r="U504" s="5" t="s">
        <v>6320</v>
      </c>
      <c r="V504" s="5" t="s">
        <v>6320</v>
      </c>
      <c r="W504" s="5" t="s">
        <v>6320</v>
      </c>
      <c r="X504" s="5" t="s">
        <v>6320</v>
      </c>
      <c r="Y504" s="4">
        <v>666</v>
      </c>
      <c r="Z504" s="4">
        <v>610</v>
      </c>
      <c r="AA504" s="4">
        <v>615</v>
      </c>
      <c r="AB504" s="4">
        <v>3</v>
      </c>
      <c r="AC504" s="4">
        <v>3</v>
      </c>
      <c r="AD504" s="4">
        <v>16</v>
      </c>
      <c r="AE504" s="4">
        <v>16</v>
      </c>
      <c r="AF504" s="4">
        <v>6</v>
      </c>
      <c r="AG504" s="4">
        <v>6</v>
      </c>
      <c r="AH504" s="4">
        <v>3</v>
      </c>
      <c r="AI504" s="4">
        <v>3</v>
      </c>
      <c r="AJ504" s="4">
        <v>9</v>
      </c>
      <c r="AK504" s="4">
        <v>9</v>
      </c>
      <c r="AL504" s="4">
        <v>2</v>
      </c>
      <c r="AM504" s="4">
        <v>2</v>
      </c>
      <c r="AN504" s="4">
        <v>0</v>
      </c>
      <c r="AO504" s="4">
        <v>0</v>
      </c>
      <c r="AP504" s="3" t="s">
        <v>58</v>
      </c>
      <c r="AQ504" s="3" t="s">
        <v>68</v>
      </c>
      <c r="AR504" s="6" t="str">
        <f>HYPERLINK("http://catalog.hathitrust.org/Record/004343020","HathiTrust Record")</f>
        <v>HathiTrust Record</v>
      </c>
      <c r="AS504" s="6" t="str">
        <f>HYPERLINK("https://creighton-primo.hosted.exlibrisgroup.com/primo-explore/search?tab=default_tab&amp;search_scope=EVERYTHING&amp;vid=01CRU&amp;lang=en_US&amp;offset=0&amp;query=any,contains,991004184999702656","Catalog Record")</f>
        <v>Catalog Record</v>
      </c>
      <c r="AT504" s="6" t="str">
        <f>HYPERLINK("http://www.worldcat.org/oclc/52178145","WorldCat Record")</f>
        <v>WorldCat Record</v>
      </c>
      <c r="AU504" s="3" t="s">
        <v>6321</v>
      </c>
      <c r="AV504" s="3" t="s">
        <v>6322</v>
      </c>
      <c r="AW504" s="3" t="s">
        <v>6323</v>
      </c>
      <c r="AX504" s="3" t="s">
        <v>6323</v>
      </c>
      <c r="AY504" s="3" t="s">
        <v>6324</v>
      </c>
      <c r="AZ504" s="3" t="s">
        <v>73</v>
      </c>
      <c r="BB504" s="3" t="s">
        <v>6325</v>
      </c>
      <c r="BC504" s="3" t="s">
        <v>6326</v>
      </c>
      <c r="BD504" s="3" t="s">
        <v>6327</v>
      </c>
    </row>
    <row r="505" spans="1:56" ht="31.5" customHeight="1" x14ac:dyDescent="0.25">
      <c r="A505" s="7" t="s">
        <v>58</v>
      </c>
      <c r="B505" s="2" t="s">
        <v>6328</v>
      </c>
      <c r="C505" s="2" t="s">
        <v>6329</v>
      </c>
      <c r="D505" s="2" t="s">
        <v>6330</v>
      </c>
      <c r="F505" s="3" t="s">
        <v>58</v>
      </c>
      <c r="G505" s="3" t="s">
        <v>59</v>
      </c>
      <c r="H505" s="3" t="s">
        <v>58</v>
      </c>
      <c r="I505" s="3" t="s">
        <v>58</v>
      </c>
      <c r="J505" s="3" t="s">
        <v>60</v>
      </c>
      <c r="K505" s="2" t="s">
        <v>6331</v>
      </c>
      <c r="L505" s="2" t="s">
        <v>6332</v>
      </c>
      <c r="M505" s="3" t="s">
        <v>835</v>
      </c>
      <c r="O505" s="3" t="s">
        <v>63</v>
      </c>
      <c r="P505" s="3" t="s">
        <v>360</v>
      </c>
      <c r="Q505" s="2" t="s">
        <v>2423</v>
      </c>
      <c r="R505" s="3" t="s">
        <v>65</v>
      </c>
      <c r="S505" s="4">
        <v>1</v>
      </c>
      <c r="T505" s="4">
        <v>1</v>
      </c>
      <c r="U505" s="5" t="s">
        <v>1196</v>
      </c>
      <c r="V505" s="5" t="s">
        <v>1196</v>
      </c>
      <c r="W505" s="5" t="s">
        <v>5859</v>
      </c>
      <c r="X505" s="5" t="s">
        <v>5859</v>
      </c>
      <c r="Y505" s="4">
        <v>467</v>
      </c>
      <c r="Z505" s="4">
        <v>325</v>
      </c>
      <c r="AA505" s="4">
        <v>325</v>
      </c>
      <c r="AB505" s="4">
        <v>2</v>
      </c>
      <c r="AC505" s="4">
        <v>2</v>
      </c>
      <c r="AD505" s="4">
        <v>14</v>
      </c>
      <c r="AE505" s="4">
        <v>14</v>
      </c>
      <c r="AF505" s="4">
        <v>5</v>
      </c>
      <c r="AG505" s="4">
        <v>5</v>
      </c>
      <c r="AH505" s="4">
        <v>4</v>
      </c>
      <c r="AI505" s="4">
        <v>4</v>
      </c>
      <c r="AJ505" s="4">
        <v>9</v>
      </c>
      <c r="AK505" s="4">
        <v>9</v>
      </c>
      <c r="AL505" s="4">
        <v>1</v>
      </c>
      <c r="AM505" s="4">
        <v>1</v>
      </c>
      <c r="AN505" s="4">
        <v>0</v>
      </c>
      <c r="AO505" s="4">
        <v>0</v>
      </c>
      <c r="AP505" s="3" t="s">
        <v>58</v>
      </c>
      <c r="AQ505" s="3" t="s">
        <v>58</v>
      </c>
      <c r="AS505" s="6" t="str">
        <f>HYPERLINK("https://creighton-primo.hosted.exlibrisgroup.com/primo-explore/search?tab=default_tab&amp;search_scope=EVERYTHING&amp;vid=01CRU&amp;lang=en_US&amp;offset=0&amp;query=any,contains,991002939659702656","Catalog Record")</f>
        <v>Catalog Record</v>
      </c>
      <c r="AT505" s="6" t="str">
        <f>HYPERLINK("http://www.worldcat.org/oclc/39108765","WorldCat Record")</f>
        <v>WorldCat Record</v>
      </c>
      <c r="AU505" s="3" t="s">
        <v>6333</v>
      </c>
      <c r="AV505" s="3" t="s">
        <v>6334</v>
      </c>
      <c r="AW505" s="3" t="s">
        <v>6335</v>
      </c>
      <c r="AX505" s="3" t="s">
        <v>6335</v>
      </c>
      <c r="AY505" s="3" t="s">
        <v>6336</v>
      </c>
      <c r="AZ505" s="3" t="s">
        <v>73</v>
      </c>
      <c r="BB505" s="3" t="s">
        <v>6337</v>
      </c>
      <c r="BC505" s="3" t="s">
        <v>6338</v>
      </c>
      <c r="BD505" s="3" t="s">
        <v>6339</v>
      </c>
    </row>
    <row r="506" spans="1:56" ht="31.5" customHeight="1" x14ac:dyDescent="0.25">
      <c r="A506" s="7" t="s">
        <v>58</v>
      </c>
      <c r="B506" s="2" t="s">
        <v>6340</v>
      </c>
      <c r="C506" s="2" t="s">
        <v>6341</v>
      </c>
      <c r="D506" s="2" t="s">
        <v>6342</v>
      </c>
      <c r="F506" s="3" t="s">
        <v>58</v>
      </c>
      <c r="G506" s="3" t="s">
        <v>59</v>
      </c>
      <c r="H506" s="3" t="s">
        <v>58</v>
      </c>
      <c r="I506" s="3" t="s">
        <v>58</v>
      </c>
      <c r="J506" s="3" t="s">
        <v>60</v>
      </c>
      <c r="K506" s="2" t="s">
        <v>6331</v>
      </c>
      <c r="L506" s="2" t="s">
        <v>6343</v>
      </c>
      <c r="M506" s="3" t="s">
        <v>2253</v>
      </c>
      <c r="O506" s="3" t="s">
        <v>63</v>
      </c>
      <c r="P506" s="3" t="s">
        <v>360</v>
      </c>
      <c r="Q506" s="2" t="s">
        <v>2423</v>
      </c>
      <c r="R506" s="3" t="s">
        <v>65</v>
      </c>
      <c r="S506" s="4">
        <v>4</v>
      </c>
      <c r="T506" s="4">
        <v>4</v>
      </c>
      <c r="U506" s="5" t="s">
        <v>417</v>
      </c>
      <c r="V506" s="5" t="s">
        <v>417</v>
      </c>
      <c r="W506" s="5" t="s">
        <v>3853</v>
      </c>
      <c r="X506" s="5" t="s">
        <v>3853</v>
      </c>
      <c r="Y506" s="4">
        <v>457</v>
      </c>
      <c r="Z506" s="4">
        <v>327</v>
      </c>
      <c r="AA506" s="4">
        <v>432</v>
      </c>
      <c r="AB506" s="4">
        <v>3</v>
      </c>
      <c r="AC506" s="4">
        <v>4</v>
      </c>
      <c r="AD506" s="4">
        <v>17</v>
      </c>
      <c r="AE506" s="4">
        <v>26</v>
      </c>
      <c r="AF506" s="4">
        <v>6</v>
      </c>
      <c r="AG506" s="4">
        <v>10</v>
      </c>
      <c r="AH506" s="4">
        <v>5</v>
      </c>
      <c r="AI506" s="4">
        <v>6</v>
      </c>
      <c r="AJ506" s="4">
        <v>8</v>
      </c>
      <c r="AK506" s="4">
        <v>12</v>
      </c>
      <c r="AL506" s="4">
        <v>2</v>
      </c>
      <c r="AM506" s="4">
        <v>3</v>
      </c>
      <c r="AN506" s="4">
        <v>0</v>
      </c>
      <c r="AO506" s="4">
        <v>0</v>
      </c>
      <c r="AP506" s="3" t="s">
        <v>58</v>
      </c>
      <c r="AQ506" s="3" t="s">
        <v>58</v>
      </c>
      <c r="AS506" s="6" t="str">
        <f>HYPERLINK("https://creighton-primo.hosted.exlibrisgroup.com/primo-explore/search?tab=default_tab&amp;search_scope=EVERYTHING&amp;vid=01CRU&amp;lang=en_US&amp;offset=0&amp;query=any,contains,991001051129702656","Catalog Record")</f>
        <v>Catalog Record</v>
      </c>
      <c r="AT506" s="6" t="str">
        <f>HYPERLINK("http://www.worldcat.org/oclc/15654197","WorldCat Record")</f>
        <v>WorldCat Record</v>
      </c>
      <c r="AU506" s="3" t="s">
        <v>6344</v>
      </c>
      <c r="AV506" s="3" t="s">
        <v>6345</v>
      </c>
      <c r="AW506" s="3" t="s">
        <v>6346</v>
      </c>
      <c r="AX506" s="3" t="s">
        <v>6346</v>
      </c>
      <c r="AY506" s="3" t="s">
        <v>6347</v>
      </c>
      <c r="AZ506" s="3" t="s">
        <v>73</v>
      </c>
      <c r="BB506" s="3" t="s">
        <v>6348</v>
      </c>
      <c r="BC506" s="3" t="s">
        <v>6349</v>
      </c>
      <c r="BD506" s="3" t="s">
        <v>6350</v>
      </c>
    </row>
    <row r="507" spans="1:56" ht="31.5" customHeight="1" x14ac:dyDescent="0.25">
      <c r="A507" s="7" t="s">
        <v>58</v>
      </c>
      <c r="B507" s="2" t="s">
        <v>6351</v>
      </c>
      <c r="C507" s="2" t="s">
        <v>6352</v>
      </c>
      <c r="D507" s="2" t="s">
        <v>6353</v>
      </c>
      <c r="F507" s="3" t="s">
        <v>58</v>
      </c>
      <c r="G507" s="3" t="s">
        <v>59</v>
      </c>
      <c r="H507" s="3" t="s">
        <v>58</v>
      </c>
      <c r="I507" s="3" t="s">
        <v>58</v>
      </c>
      <c r="J507" s="3" t="s">
        <v>60</v>
      </c>
      <c r="K507" s="2" t="s">
        <v>6354</v>
      </c>
      <c r="L507" s="2" t="s">
        <v>6355</v>
      </c>
      <c r="M507" s="3" t="s">
        <v>144</v>
      </c>
      <c r="O507" s="3" t="s">
        <v>63</v>
      </c>
      <c r="P507" s="3" t="s">
        <v>64</v>
      </c>
      <c r="R507" s="3" t="s">
        <v>65</v>
      </c>
      <c r="S507" s="4">
        <v>8</v>
      </c>
      <c r="T507" s="4">
        <v>8</v>
      </c>
      <c r="U507" s="5" t="s">
        <v>6356</v>
      </c>
      <c r="V507" s="5" t="s">
        <v>6356</v>
      </c>
      <c r="W507" s="5" t="s">
        <v>3853</v>
      </c>
      <c r="X507" s="5" t="s">
        <v>3853</v>
      </c>
      <c r="Y507" s="4">
        <v>552</v>
      </c>
      <c r="Z507" s="4">
        <v>503</v>
      </c>
      <c r="AA507" s="4">
        <v>1020</v>
      </c>
      <c r="AB507" s="4">
        <v>2</v>
      </c>
      <c r="AC507" s="4">
        <v>3</v>
      </c>
      <c r="AD507" s="4">
        <v>14</v>
      </c>
      <c r="AE507" s="4">
        <v>22</v>
      </c>
      <c r="AF507" s="4">
        <v>8</v>
      </c>
      <c r="AG507" s="4">
        <v>12</v>
      </c>
      <c r="AH507" s="4">
        <v>2</v>
      </c>
      <c r="AI507" s="4">
        <v>5</v>
      </c>
      <c r="AJ507" s="4">
        <v>8</v>
      </c>
      <c r="AK507" s="4">
        <v>12</v>
      </c>
      <c r="AL507" s="4">
        <v>1</v>
      </c>
      <c r="AM507" s="4">
        <v>1</v>
      </c>
      <c r="AN507" s="4">
        <v>0</v>
      </c>
      <c r="AO507" s="4">
        <v>0</v>
      </c>
      <c r="AP507" s="3" t="s">
        <v>58</v>
      </c>
      <c r="AQ507" s="3" t="s">
        <v>68</v>
      </c>
      <c r="AR507" s="6" t="str">
        <f>HYPERLINK("http://catalog.hathitrust.org/Record/004393414","HathiTrust Record")</f>
        <v>HathiTrust Record</v>
      </c>
      <c r="AS507" s="6" t="str">
        <f>HYPERLINK("https://creighton-primo.hosted.exlibrisgroup.com/primo-explore/search?tab=default_tab&amp;search_scope=EVERYTHING&amp;vid=01CRU&amp;lang=en_US&amp;offset=0&amp;query=any,contains,991005204599702656","Catalog Record")</f>
        <v>Catalog Record</v>
      </c>
      <c r="AT507" s="6" t="str">
        <f>HYPERLINK("http://www.worldcat.org/oclc/8111937","WorldCat Record")</f>
        <v>WorldCat Record</v>
      </c>
      <c r="AU507" s="3" t="s">
        <v>6357</v>
      </c>
      <c r="AV507" s="3" t="s">
        <v>6358</v>
      </c>
      <c r="AW507" s="3" t="s">
        <v>6359</v>
      </c>
      <c r="AX507" s="3" t="s">
        <v>6359</v>
      </c>
      <c r="AY507" s="3" t="s">
        <v>6360</v>
      </c>
      <c r="AZ507" s="3" t="s">
        <v>73</v>
      </c>
      <c r="BB507" s="3" t="s">
        <v>6361</v>
      </c>
      <c r="BC507" s="3" t="s">
        <v>6362</v>
      </c>
      <c r="BD507" s="3" t="s">
        <v>6363</v>
      </c>
    </row>
    <row r="508" spans="1:56" ht="31.5" customHeight="1" x14ac:dyDescent="0.25">
      <c r="A508" s="7" t="s">
        <v>58</v>
      </c>
      <c r="B508" s="2" t="s">
        <v>6364</v>
      </c>
      <c r="C508" s="2" t="s">
        <v>6365</v>
      </c>
      <c r="D508" s="2" t="s">
        <v>6366</v>
      </c>
      <c r="F508" s="3" t="s">
        <v>58</v>
      </c>
      <c r="G508" s="3" t="s">
        <v>59</v>
      </c>
      <c r="H508" s="3" t="s">
        <v>58</v>
      </c>
      <c r="I508" s="3" t="s">
        <v>58</v>
      </c>
      <c r="J508" s="3" t="s">
        <v>60</v>
      </c>
      <c r="K508" s="2" t="s">
        <v>6279</v>
      </c>
      <c r="L508" s="2" t="s">
        <v>6367</v>
      </c>
      <c r="M508" s="3" t="s">
        <v>1912</v>
      </c>
      <c r="O508" s="3" t="s">
        <v>63</v>
      </c>
      <c r="P508" s="3" t="s">
        <v>129</v>
      </c>
      <c r="Q508" s="2" t="s">
        <v>3228</v>
      </c>
      <c r="R508" s="3" t="s">
        <v>65</v>
      </c>
      <c r="S508" s="4">
        <v>2</v>
      </c>
      <c r="T508" s="4">
        <v>2</v>
      </c>
      <c r="U508" s="5" t="s">
        <v>6294</v>
      </c>
      <c r="V508" s="5" t="s">
        <v>6294</v>
      </c>
      <c r="W508" s="5" t="s">
        <v>3853</v>
      </c>
      <c r="X508" s="5" t="s">
        <v>3853</v>
      </c>
      <c r="Y508" s="4">
        <v>584</v>
      </c>
      <c r="Z508" s="4">
        <v>520</v>
      </c>
      <c r="AA508" s="4">
        <v>531</v>
      </c>
      <c r="AB508" s="4">
        <v>5</v>
      </c>
      <c r="AC508" s="4">
        <v>5</v>
      </c>
      <c r="AD508" s="4">
        <v>22</v>
      </c>
      <c r="AE508" s="4">
        <v>22</v>
      </c>
      <c r="AF508" s="4">
        <v>9</v>
      </c>
      <c r="AG508" s="4">
        <v>9</v>
      </c>
      <c r="AH508" s="4">
        <v>6</v>
      </c>
      <c r="AI508" s="4">
        <v>6</v>
      </c>
      <c r="AJ508" s="4">
        <v>12</v>
      </c>
      <c r="AK508" s="4">
        <v>12</v>
      </c>
      <c r="AL508" s="4">
        <v>3</v>
      </c>
      <c r="AM508" s="4">
        <v>3</v>
      </c>
      <c r="AN508" s="4">
        <v>0</v>
      </c>
      <c r="AO508" s="4">
        <v>0</v>
      </c>
      <c r="AP508" s="3" t="s">
        <v>58</v>
      </c>
      <c r="AQ508" s="3" t="s">
        <v>68</v>
      </c>
      <c r="AR508" s="6" t="str">
        <f>HYPERLINK("http://catalog.hathitrust.org/Record/000627441","HathiTrust Record")</f>
        <v>HathiTrust Record</v>
      </c>
      <c r="AS508" s="6" t="str">
        <f>HYPERLINK("https://creighton-primo.hosted.exlibrisgroup.com/primo-explore/search?tab=default_tab&amp;search_scope=EVERYTHING&amp;vid=01CRU&amp;lang=en_US&amp;offset=0&amp;query=any,contains,991000641099702656","Catalog Record")</f>
        <v>Catalog Record</v>
      </c>
      <c r="AT508" s="6" t="str">
        <f>HYPERLINK("http://www.worldcat.org/oclc/12104223","WorldCat Record")</f>
        <v>WorldCat Record</v>
      </c>
      <c r="AU508" s="3" t="s">
        <v>6368</v>
      </c>
      <c r="AV508" s="3" t="s">
        <v>6369</v>
      </c>
      <c r="AW508" s="3" t="s">
        <v>6370</v>
      </c>
      <c r="AX508" s="3" t="s">
        <v>6370</v>
      </c>
      <c r="AY508" s="3" t="s">
        <v>6371</v>
      </c>
      <c r="AZ508" s="3" t="s">
        <v>73</v>
      </c>
      <c r="BB508" s="3" t="s">
        <v>6372</v>
      </c>
      <c r="BC508" s="3" t="s">
        <v>6373</v>
      </c>
      <c r="BD508" s="3" t="s">
        <v>6374</v>
      </c>
    </row>
    <row r="509" spans="1:56" ht="31.5" customHeight="1" x14ac:dyDescent="0.25">
      <c r="A509" s="7" t="s">
        <v>58</v>
      </c>
      <c r="B509" s="2" t="s">
        <v>6375</v>
      </c>
      <c r="C509" s="2" t="s">
        <v>6376</v>
      </c>
      <c r="D509" s="2" t="s">
        <v>6377</v>
      </c>
      <c r="F509" s="3" t="s">
        <v>58</v>
      </c>
      <c r="G509" s="3" t="s">
        <v>59</v>
      </c>
      <c r="H509" s="3" t="s">
        <v>58</v>
      </c>
      <c r="I509" s="3" t="s">
        <v>58</v>
      </c>
      <c r="J509" s="3" t="s">
        <v>60</v>
      </c>
      <c r="K509" s="2" t="s">
        <v>6378</v>
      </c>
      <c r="L509" s="2" t="s">
        <v>6379</v>
      </c>
      <c r="M509" s="3" t="s">
        <v>257</v>
      </c>
      <c r="O509" s="3" t="s">
        <v>63</v>
      </c>
      <c r="P509" s="3" t="s">
        <v>64</v>
      </c>
      <c r="Q509" s="2" t="s">
        <v>6380</v>
      </c>
      <c r="R509" s="3" t="s">
        <v>65</v>
      </c>
      <c r="S509" s="4">
        <v>2</v>
      </c>
      <c r="T509" s="4">
        <v>2</v>
      </c>
      <c r="U509" s="5" t="s">
        <v>5447</v>
      </c>
      <c r="V509" s="5" t="s">
        <v>5447</v>
      </c>
      <c r="W509" s="5" t="s">
        <v>375</v>
      </c>
      <c r="X509" s="5" t="s">
        <v>375</v>
      </c>
      <c r="Y509" s="4">
        <v>472</v>
      </c>
      <c r="Z509" s="4">
        <v>416</v>
      </c>
      <c r="AA509" s="4">
        <v>416</v>
      </c>
      <c r="AB509" s="4">
        <v>3</v>
      </c>
      <c r="AC509" s="4">
        <v>3</v>
      </c>
      <c r="AD509" s="4">
        <v>13</v>
      </c>
      <c r="AE509" s="4">
        <v>13</v>
      </c>
      <c r="AF509" s="4">
        <v>3</v>
      </c>
      <c r="AG509" s="4">
        <v>3</v>
      </c>
      <c r="AH509" s="4">
        <v>4</v>
      </c>
      <c r="AI509" s="4">
        <v>4</v>
      </c>
      <c r="AJ509" s="4">
        <v>7</v>
      </c>
      <c r="AK509" s="4">
        <v>7</v>
      </c>
      <c r="AL509" s="4">
        <v>2</v>
      </c>
      <c r="AM509" s="4">
        <v>2</v>
      </c>
      <c r="AN509" s="4">
        <v>0</v>
      </c>
      <c r="AO509" s="4">
        <v>0</v>
      </c>
      <c r="AP509" s="3" t="s">
        <v>58</v>
      </c>
      <c r="AQ509" s="3" t="s">
        <v>58</v>
      </c>
      <c r="AS509" s="6" t="str">
        <f>HYPERLINK("https://creighton-primo.hosted.exlibrisgroup.com/primo-explore/search?tab=default_tab&amp;search_scope=EVERYTHING&amp;vid=01CRU&amp;lang=en_US&amp;offset=0&amp;query=any,contains,991002680799702656","Catalog Record")</f>
        <v>Catalog Record</v>
      </c>
      <c r="AT509" s="6" t="str">
        <f>HYPERLINK("http://www.worldcat.org/oclc/35033547","WorldCat Record")</f>
        <v>WorldCat Record</v>
      </c>
      <c r="AU509" s="3" t="s">
        <v>6381</v>
      </c>
      <c r="AV509" s="3" t="s">
        <v>6382</v>
      </c>
      <c r="AW509" s="3" t="s">
        <v>6383</v>
      </c>
      <c r="AX509" s="3" t="s">
        <v>6383</v>
      </c>
      <c r="AY509" s="3" t="s">
        <v>6384</v>
      </c>
      <c r="AZ509" s="3" t="s">
        <v>73</v>
      </c>
      <c r="BB509" s="3" t="s">
        <v>6385</v>
      </c>
      <c r="BC509" s="3" t="s">
        <v>6386</v>
      </c>
      <c r="BD509" s="3" t="s">
        <v>6387</v>
      </c>
    </row>
    <row r="510" spans="1:56" ht="31.5" customHeight="1" x14ac:dyDescent="0.25">
      <c r="A510" s="7" t="s">
        <v>58</v>
      </c>
      <c r="B510" s="2" t="s">
        <v>6388</v>
      </c>
      <c r="C510" s="2" t="s">
        <v>6389</v>
      </c>
      <c r="D510" s="2" t="s">
        <v>6390</v>
      </c>
      <c r="F510" s="3" t="s">
        <v>58</v>
      </c>
      <c r="G510" s="3" t="s">
        <v>59</v>
      </c>
      <c r="H510" s="3" t="s">
        <v>58</v>
      </c>
      <c r="I510" s="3" t="s">
        <v>58</v>
      </c>
      <c r="J510" s="3" t="s">
        <v>60</v>
      </c>
      <c r="L510" s="2" t="s">
        <v>6391</v>
      </c>
      <c r="M510" s="3" t="s">
        <v>944</v>
      </c>
      <c r="O510" s="3" t="s">
        <v>63</v>
      </c>
      <c r="P510" s="3" t="s">
        <v>64</v>
      </c>
      <c r="R510" s="3" t="s">
        <v>65</v>
      </c>
      <c r="S510" s="4">
        <v>5</v>
      </c>
      <c r="T510" s="4">
        <v>5</v>
      </c>
      <c r="U510" s="5" t="s">
        <v>6294</v>
      </c>
      <c r="V510" s="5" t="s">
        <v>6294</v>
      </c>
      <c r="W510" s="5" t="s">
        <v>3814</v>
      </c>
      <c r="X510" s="5" t="s">
        <v>3814</v>
      </c>
      <c r="Y510" s="4">
        <v>217</v>
      </c>
      <c r="Z510" s="4">
        <v>152</v>
      </c>
      <c r="AA510" s="4">
        <v>157</v>
      </c>
      <c r="AB510" s="4">
        <v>1</v>
      </c>
      <c r="AC510" s="4">
        <v>1</v>
      </c>
      <c r="AD510" s="4">
        <v>1</v>
      </c>
      <c r="AE510" s="4">
        <v>1</v>
      </c>
      <c r="AF510" s="4">
        <v>0</v>
      </c>
      <c r="AG510" s="4">
        <v>0</v>
      </c>
      <c r="AH510" s="4">
        <v>0</v>
      </c>
      <c r="AI510" s="4">
        <v>0</v>
      </c>
      <c r="AJ510" s="4">
        <v>1</v>
      </c>
      <c r="AK510" s="4">
        <v>1</v>
      </c>
      <c r="AL510" s="4">
        <v>0</v>
      </c>
      <c r="AM510" s="4">
        <v>0</v>
      </c>
      <c r="AN510" s="4">
        <v>0</v>
      </c>
      <c r="AO510" s="4">
        <v>0</v>
      </c>
      <c r="AP510" s="3" t="s">
        <v>58</v>
      </c>
      <c r="AQ510" s="3" t="s">
        <v>58</v>
      </c>
      <c r="AS510" s="6" t="str">
        <f>HYPERLINK("https://creighton-primo.hosted.exlibrisgroup.com/primo-explore/search?tab=default_tab&amp;search_scope=EVERYTHING&amp;vid=01CRU&amp;lang=en_US&amp;offset=0&amp;query=any,contains,991001604159702656","Catalog Record")</f>
        <v>Catalog Record</v>
      </c>
      <c r="AT510" s="6" t="str">
        <f>HYPERLINK("http://www.worldcat.org/oclc/20690356","WorldCat Record")</f>
        <v>WorldCat Record</v>
      </c>
      <c r="AU510" s="3" t="s">
        <v>6392</v>
      </c>
      <c r="AV510" s="3" t="s">
        <v>6393</v>
      </c>
      <c r="AW510" s="3" t="s">
        <v>6394</v>
      </c>
      <c r="AX510" s="3" t="s">
        <v>6394</v>
      </c>
      <c r="AY510" s="3" t="s">
        <v>6395</v>
      </c>
      <c r="AZ510" s="3" t="s">
        <v>73</v>
      </c>
      <c r="BB510" s="3" t="s">
        <v>6396</v>
      </c>
      <c r="BC510" s="3" t="s">
        <v>6397</v>
      </c>
      <c r="BD510" s="3" t="s">
        <v>6398</v>
      </c>
    </row>
    <row r="511" spans="1:56" ht="31.5" customHeight="1" x14ac:dyDescent="0.25">
      <c r="A511" s="7" t="s">
        <v>58</v>
      </c>
      <c r="B511" s="2" t="s">
        <v>6399</v>
      </c>
      <c r="C511" s="2" t="s">
        <v>6400</v>
      </c>
      <c r="D511" s="2" t="s">
        <v>6401</v>
      </c>
      <c r="F511" s="3" t="s">
        <v>58</v>
      </c>
      <c r="G511" s="3" t="s">
        <v>59</v>
      </c>
      <c r="H511" s="3" t="s">
        <v>58</v>
      </c>
      <c r="I511" s="3" t="s">
        <v>58</v>
      </c>
      <c r="J511" s="3" t="s">
        <v>60</v>
      </c>
      <c r="K511" s="2" t="s">
        <v>3280</v>
      </c>
      <c r="L511" s="2" t="s">
        <v>6402</v>
      </c>
      <c r="M511" s="3" t="s">
        <v>128</v>
      </c>
      <c r="N511" s="2" t="s">
        <v>2985</v>
      </c>
      <c r="O511" s="3" t="s">
        <v>63</v>
      </c>
      <c r="P511" s="3" t="s">
        <v>186</v>
      </c>
      <c r="R511" s="3" t="s">
        <v>65</v>
      </c>
      <c r="S511" s="4">
        <v>2</v>
      </c>
      <c r="T511" s="4">
        <v>2</v>
      </c>
      <c r="U511" s="5" t="s">
        <v>417</v>
      </c>
      <c r="V511" s="5" t="s">
        <v>417</v>
      </c>
      <c r="W511" s="5" t="s">
        <v>6403</v>
      </c>
      <c r="X511" s="5" t="s">
        <v>6403</v>
      </c>
      <c r="Y511" s="4">
        <v>432</v>
      </c>
      <c r="Z511" s="4">
        <v>301</v>
      </c>
      <c r="AA511" s="4">
        <v>473</v>
      </c>
      <c r="AB511" s="4">
        <v>3</v>
      </c>
      <c r="AC511" s="4">
        <v>3</v>
      </c>
      <c r="AD511" s="4">
        <v>13</v>
      </c>
      <c r="AE511" s="4">
        <v>22</v>
      </c>
      <c r="AF511" s="4">
        <v>3</v>
      </c>
      <c r="AG511" s="4">
        <v>8</v>
      </c>
      <c r="AH511" s="4">
        <v>3</v>
      </c>
      <c r="AI511" s="4">
        <v>6</v>
      </c>
      <c r="AJ511" s="4">
        <v>8</v>
      </c>
      <c r="AK511" s="4">
        <v>13</v>
      </c>
      <c r="AL511" s="4">
        <v>2</v>
      </c>
      <c r="AM511" s="4">
        <v>2</v>
      </c>
      <c r="AN511" s="4">
        <v>0</v>
      </c>
      <c r="AO511" s="4">
        <v>0</v>
      </c>
      <c r="AP511" s="3" t="s">
        <v>58</v>
      </c>
      <c r="AQ511" s="3" t="s">
        <v>58</v>
      </c>
      <c r="AS511" s="6" t="str">
        <f>HYPERLINK("https://creighton-primo.hosted.exlibrisgroup.com/primo-explore/search?tab=default_tab&amp;search_scope=EVERYTHING&amp;vid=01CRU&amp;lang=en_US&amp;offset=0&amp;query=any,contains,991002042099702656","Catalog Record")</f>
        <v>Catalog Record</v>
      </c>
      <c r="AT511" s="6" t="str">
        <f>HYPERLINK("http://www.worldcat.org/oclc/26054702","WorldCat Record")</f>
        <v>WorldCat Record</v>
      </c>
      <c r="AU511" s="3" t="s">
        <v>6404</v>
      </c>
      <c r="AV511" s="3" t="s">
        <v>6405</v>
      </c>
      <c r="AW511" s="3" t="s">
        <v>6406</v>
      </c>
      <c r="AX511" s="3" t="s">
        <v>6406</v>
      </c>
      <c r="AY511" s="3" t="s">
        <v>6407</v>
      </c>
      <c r="AZ511" s="3" t="s">
        <v>73</v>
      </c>
      <c r="BB511" s="3" t="s">
        <v>6408</v>
      </c>
      <c r="BC511" s="3" t="s">
        <v>6409</v>
      </c>
      <c r="BD511" s="3" t="s">
        <v>6410</v>
      </c>
    </row>
    <row r="512" spans="1:56" ht="31.5" customHeight="1" x14ac:dyDescent="0.25">
      <c r="A512" s="7" t="s">
        <v>58</v>
      </c>
      <c r="B512" s="2" t="s">
        <v>6411</v>
      </c>
      <c r="C512" s="2" t="s">
        <v>6412</v>
      </c>
      <c r="D512" s="2" t="s">
        <v>6413</v>
      </c>
      <c r="F512" s="3" t="s">
        <v>58</v>
      </c>
      <c r="G512" s="3" t="s">
        <v>59</v>
      </c>
      <c r="H512" s="3" t="s">
        <v>58</v>
      </c>
      <c r="I512" s="3" t="s">
        <v>58</v>
      </c>
      <c r="J512" s="3" t="s">
        <v>60</v>
      </c>
      <c r="L512" s="2" t="s">
        <v>6414</v>
      </c>
      <c r="M512" s="3" t="s">
        <v>821</v>
      </c>
      <c r="O512" s="3" t="s">
        <v>63</v>
      </c>
      <c r="P512" s="3" t="s">
        <v>64</v>
      </c>
      <c r="R512" s="3" t="s">
        <v>65</v>
      </c>
      <c r="S512" s="4">
        <v>1</v>
      </c>
      <c r="T512" s="4">
        <v>1</v>
      </c>
      <c r="U512" s="5" t="s">
        <v>2328</v>
      </c>
      <c r="V512" s="5" t="s">
        <v>2328</v>
      </c>
      <c r="W512" s="5" t="s">
        <v>3853</v>
      </c>
      <c r="X512" s="5" t="s">
        <v>3853</v>
      </c>
      <c r="Y512" s="4">
        <v>549</v>
      </c>
      <c r="Z512" s="4">
        <v>474</v>
      </c>
      <c r="AA512" s="4">
        <v>475</v>
      </c>
      <c r="AB512" s="4">
        <v>3</v>
      </c>
      <c r="AC512" s="4">
        <v>3</v>
      </c>
      <c r="AD512" s="4">
        <v>12</v>
      </c>
      <c r="AE512" s="4">
        <v>12</v>
      </c>
      <c r="AF512" s="4">
        <v>3</v>
      </c>
      <c r="AG512" s="4">
        <v>3</v>
      </c>
      <c r="AH512" s="4">
        <v>2</v>
      </c>
      <c r="AI512" s="4">
        <v>2</v>
      </c>
      <c r="AJ512" s="4">
        <v>9</v>
      </c>
      <c r="AK512" s="4">
        <v>9</v>
      </c>
      <c r="AL512" s="4">
        <v>1</v>
      </c>
      <c r="AM512" s="4">
        <v>1</v>
      </c>
      <c r="AN512" s="4">
        <v>0</v>
      </c>
      <c r="AO512" s="4">
        <v>0</v>
      </c>
      <c r="AP512" s="3" t="s">
        <v>58</v>
      </c>
      <c r="AQ512" s="3" t="s">
        <v>58</v>
      </c>
      <c r="AS512" s="6" t="str">
        <f>HYPERLINK("https://creighton-primo.hosted.exlibrisgroup.com/primo-explore/search?tab=default_tab&amp;search_scope=EVERYTHING&amp;vid=01CRU&amp;lang=en_US&amp;offset=0&amp;query=any,contains,991000382329702656","Catalog Record")</f>
        <v>Catalog Record</v>
      </c>
      <c r="AT512" s="6" t="str">
        <f>HYPERLINK("http://www.worldcat.org/oclc/10505597","WorldCat Record")</f>
        <v>WorldCat Record</v>
      </c>
      <c r="AU512" s="3" t="s">
        <v>6415</v>
      </c>
      <c r="AV512" s="3" t="s">
        <v>6416</v>
      </c>
      <c r="AW512" s="3" t="s">
        <v>6417</v>
      </c>
      <c r="AX512" s="3" t="s">
        <v>6417</v>
      </c>
      <c r="AY512" s="3" t="s">
        <v>6418</v>
      </c>
      <c r="AZ512" s="3" t="s">
        <v>73</v>
      </c>
      <c r="BB512" s="3" t="s">
        <v>6419</v>
      </c>
      <c r="BC512" s="3" t="s">
        <v>6420</v>
      </c>
      <c r="BD512" s="3" t="s">
        <v>6421</v>
      </c>
    </row>
    <row r="513" spans="1:56" ht="31.5" customHeight="1" x14ac:dyDescent="0.25">
      <c r="A513" s="7" t="s">
        <v>58</v>
      </c>
      <c r="B513" s="2" t="s">
        <v>6422</v>
      </c>
      <c r="C513" s="2" t="s">
        <v>6423</v>
      </c>
      <c r="D513" s="2" t="s">
        <v>6424</v>
      </c>
      <c r="F513" s="3" t="s">
        <v>58</v>
      </c>
      <c r="G513" s="3" t="s">
        <v>59</v>
      </c>
      <c r="H513" s="3" t="s">
        <v>58</v>
      </c>
      <c r="I513" s="3" t="s">
        <v>58</v>
      </c>
      <c r="J513" s="3" t="s">
        <v>60</v>
      </c>
      <c r="K513" s="2" t="s">
        <v>6425</v>
      </c>
      <c r="L513" s="2" t="s">
        <v>6426</v>
      </c>
      <c r="M513" s="3" t="s">
        <v>944</v>
      </c>
      <c r="O513" s="3" t="s">
        <v>63</v>
      </c>
      <c r="P513" s="3" t="s">
        <v>444</v>
      </c>
      <c r="R513" s="3" t="s">
        <v>65</v>
      </c>
      <c r="S513" s="4">
        <v>4</v>
      </c>
      <c r="T513" s="4">
        <v>4</v>
      </c>
      <c r="U513" s="5" t="s">
        <v>6294</v>
      </c>
      <c r="V513" s="5" t="s">
        <v>6294</v>
      </c>
      <c r="W513" s="5" t="s">
        <v>6427</v>
      </c>
      <c r="X513" s="5" t="s">
        <v>6427</v>
      </c>
      <c r="Y513" s="4">
        <v>283</v>
      </c>
      <c r="Z513" s="4">
        <v>229</v>
      </c>
      <c r="AA513" s="4">
        <v>236</v>
      </c>
      <c r="AB513" s="4">
        <v>2</v>
      </c>
      <c r="AC513" s="4">
        <v>2</v>
      </c>
      <c r="AD513" s="4">
        <v>6</v>
      </c>
      <c r="AE513" s="4">
        <v>6</v>
      </c>
      <c r="AF513" s="4">
        <v>1</v>
      </c>
      <c r="AG513" s="4">
        <v>1</v>
      </c>
      <c r="AH513" s="4">
        <v>1</v>
      </c>
      <c r="AI513" s="4">
        <v>1</v>
      </c>
      <c r="AJ513" s="4">
        <v>3</v>
      </c>
      <c r="AK513" s="4">
        <v>3</v>
      </c>
      <c r="AL513" s="4">
        <v>1</v>
      </c>
      <c r="AM513" s="4">
        <v>1</v>
      </c>
      <c r="AN513" s="4">
        <v>0</v>
      </c>
      <c r="AO513" s="4">
        <v>0</v>
      </c>
      <c r="AP513" s="3" t="s">
        <v>58</v>
      </c>
      <c r="AQ513" s="3" t="s">
        <v>68</v>
      </c>
      <c r="AR513" s="6" t="str">
        <f>HYPERLINK("http://catalog.hathitrust.org/Record/002428292","HathiTrust Record")</f>
        <v>HathiTrust Record</v>
      </c>
      <c r="AS513" s="6" t="str">
        <f>HYPERLINK("https://creighton-primo.hosted.exlibrisgroup.com/primo-explore/search?tab=default_tab&amp;search_scope=EVERYTHING&amp;vid=01CRU&amp;lang=en_US&amp;offset=0&amp;query=any,contains,991001767579702656","Catalog Record")</f>
        <v>Catalog Record</v>
      </c>
      <c r="AT513" s="6" t="str">
        <f>HYPERLINK("http://www.worldcat.org/oclc/22336151","WorldCat Record")</f>
        <v>WorldCat Record</v>
      </c>
      <c r="AU513" s="3" t="s">
        <v>6428</v>
      </c>
      <c r="AV513" s="3" t="s">
        <v>6429</v>
      </c>
      <c r="AW513" s="3" t="s">
        <v>6430</v>
      </c>
      <c r="AX513" s="3" t="s">
        <v>6430</v>
      </c>
      <c r="AY513" s="3" t="s">
        <v>6431</v>
      </c>
      <c r="AZ513" s="3" t="s">
        <v>73</v>
      </c>
      <c r="BB513" s="3" t="s">
        <v>6432</v>
      </c>
      <c r="BC513" s="3" t="s">
        <v>6433</v>
      </c>
      <c r="BD513" s="3" t="s">
        <v>6434</v>
      </c>
    </row>
    <row r="514" spans="1:56" ht="31.5" customHeight="1" x14ac:dyDescent="0.25">
      <c r="A514" s="7" t="s">
        <v>58</v>
      </c>
      <c r="B514" s="2" t="s">
        <v>6435</v>
      </c>
      <c r="C514" s="2" t="s">
        <v>6436</v>
      </c>
      <c r="D514" s="2" t="s">
        <v>6437</v>
      </c>
      <c r="F514" s="3" t="s">
        <v>58</v>
      </c>
      <c r="G514" s="3" t="s">
        <v>59</v>
      </c>
      <c r="H514" s="3" t="s">
        <v>58</v>
      </c>
      <c r="I514" s="3" t="s">
        <v>58</v>
      </c>
      <c r="J514" s="3" t="s">
        <v>60</v>
      </c>
      <c r="K514" s="2" t="s">
        <v>6438</v>
      </c>
      <c r="L514" s="2" t="s">
        <v>6439</v>
      </c>
      <c r="M514" s="3" t="s">
        <v>244</v>
      </c>
      <c r="N514" s="2" t="s">
        <v>6440</v>
      </c>
      <c r="O514" s="3" t="s">
        <v>63</v>
      </c>
      <c r="P514" s="3" t="s">
        <v>129</v>
      </c>
      <c r="Q514" s="2" t="s">
        <v>3228</v>
      </c>
      <c r="R514" s="3" t="s">
        <v>65</v>
      </c>
      <c r="S514" s="4">
        <v>2</v>
      </c>
      <c r="T514" s="4">
        <v>2</v>
      </c>
      <c r="U514" s="5" t="s">
        <v>6441</v>
      </c>
      <c r="V514" s="5" t="s">
        <v>6441</v>
      </c>
      <c r="W514" s="5" t="s">
        <v>6442</v>
      </c>
      <c r="X514" s="5" t="s">
        <v>6442</v>
      </c>
      <c r="Y514" s="4">
        <v>685</v>
      </c>
      <c r="Z514" s="4">
        <v>579</v>
      </c>
      <c r="AA514" s="4">
        <v>1212</v>
      </c>
      <c r="AB514" s="4">
        <v>3</v>
      </c>
      <c r="AC514" s="4">
        <v>8</v>
      </c>
      <c r="AD514" s="4">
        <v>18</v>
      </c>
      <c r="AE514" s="4">
        <v>37</v>
      </c>
      <c r="AF514" s="4">
        <v>7</v>
      </c>
      <c r="AG514" s="4">
        <v>13</v>
      </c>
      <c r="AH514" s="4">
        <v>6</v>
      </c>
      <c r="AI514" s="4">
        <v>8</v>
      </c>
      <c r="AJ514" s="4">
        <v>9</v>
      </c>
      <c r="AK514" s="4">
        <v>21</v>
      </c>
      <c r="AL514" s="4">
        <v>2</v>
      </c>
      <c r="AM514" s="4">
        <v>6</v>
      </c>
      <c r="AN514" s="4">
        <v>0</v>
      </c>
      <c r="AO514" s="4">
        <v>0</v>
      </c>
      <c r="AP514" s="3" t="s">
        <v>58</v>
      </c>
      <c r="AQ514" s="3" t="s">
        <v>58</v>
      </c>
      <c r="AS514" s="6" t="str">
        <f>HYPERLINK("https://creighton-primo.hosted.exlibrisgroup.com/primo-explore/search?tab=default_tab&amp;search_scope=EVERYTHING&amp;vid=01CRU&amp;lang=en_US&amp;offset=0&amp;query=any,contains,991005036469702656","Catalog Record")</f>
        <v>Catalog Record</v>
      </c>
      <c r="AT514" s="6" t="str">
        <f>HYPERLINK("http://www.worldcat.org/oclc/6762059","WorldCat Record")</f>
        <v>WorldCat Record</v>
      </c>
      <c r="AU514" s="3" t="s">
        <v>6443</v>
      </c>
      <c r="AV514" s="3" t="s">
        <v>6444</v>
      </c>
      <c r="AW514" s="3" t="s">
        <v>6445</v>
      </c>
      <c r="AX514" s="3" t="s">
        <v>6445</v>
      </c>
      <c r="AY514" s="3" t="s">
        <v>6446</v>
      </c>
      <c r="AZ514" s="3" t="s">
        <v>73</v>
      </c>
      <c r="BB514" s="3" t="s">
        <v>6447</v>
      </c>
      <c r="BC514" s="3" t="s">
        <v>6448</v>
      </c>
      <c r="BD514" s="3" t="s">
        <v>6449</v>
      </c>
    </row>
    <row r="515" spans="1:56" ht="31.5" customHeight="1" x14ac:dyDescent="0.25">
      <c r="A515" s="7" t="s">
        <v>58</v>
      </c>
      <c r="B515" s="2" t="s">
        <v>6450</v>
      </c>
      <c r="C515" s="2" t="s">
        <v>6451</v>
      </c>
      <c r="D515" s="2" t="s">
        <v>6452</v>
      </c>
      <c r="F515" s="3" t="s">
        <v>58</v>
      </c>
      <c r="G515" s="3" t="s">
        <v>59</v>
      </c>
      <c r="H515" s="3" t="s">
        <v>58</v>
      </c>
      <c r="I515" s="3" t="s">
        <v>58</v>
      </c>
      <c r="J515" s="3" t="s">
        <v>60</v>
      </c>
      <c r="K515" s="2" t="s">
        <v>6453</v>
      </c>
      <c r="L515" s="2" t="s">
        <v>6454</v>
      </c>
      <c r="M515" s="3" t="s">
        <v>244</v>
      </c>
      <c r="N515" s="2" t="s">
        <v>1180</v>
      </c>
      <c r="O515" s="3" t="s">
        <v>63</v>
      </c>
      <c r="P515" s="3" t="s">
        <v>444</v>
      </c>
      <c r="R515" s="3" t="s">
        <v>65</v>
      </c>
      <c r="S515" s="4">
        <v>1</v>
      </c>
      <c r="T515" s="4">
        <v>1</v>
      </c>
      <c r="U515" s="5" t="s">
        <v>4803</v>
      </c>
      <c r="V515" s="5" t="s">
        <v>4803</v>
      </c>
      <c r="W515" s="5" t="s">
        <v>6442</v>
      </c>
      <c r="X515" s="5" t="s">
        <v>6442</v>
      </c>
      <c r="Y515" s="4">
        <v>387</v>
      </c>
      <c r="Z515" s="4">
        <v>281</v>
      </c>
      <c r="AA515" s="4">
        <v>281</v>
      </c>
      <c r="AB515" s="4">
        <v>4</v>
      </c>
      <c r="AC515" s="4">
        <v>4</v>
      </c>
      <c r="AD515" s="4">
        <v>13</v>
      </c>
      <c r="AE515" s="4">
        <v>13</v>
      </c>
      <c r="AF515" s="4">
        <v>4</v>
      </c>
      <c r="AG515" s="4">
        <v>4</v>
      </c>
      <c r="AH515" s="4">
        <v>4</v>
      </c>
      <c r="AI515" s="4">
        <v>4</v>
      </c>
      <c r="AJ515" s="4">
        <v>4</v>
      </c>
      <c r="AK515" s="4">
        <v>4</v>
      </c>
      <c r="AL515" s="4">
        <v>3</v>
      </c>
      <c r="AM515" s="4">
        <v>3</v>
      </c>
      <c r="AN515" s="4">
        <v>0</v>
      </c>
      <c r="AO515" s="4">
        <v>0</v>
      </c>
      <c r="AP515" s="3" t="s">
        <v>58</v>
      </c>
      <c r="AQ515" s="3" t="s">
        <v>58</v>
      </c>
      <c r="AS515" s="6" t="str">
        <f>HYPERLINK("https://creighton-primo.hosted.exlibrisgroup.com/primo-explore/search?tab=default_tab&amp;search_scope=EVERYTHING&amp;vid=01CRU&amp;lang=en_US&amp;offset=0&amp;query=any,contains,991005095919702656","Catalog Record")</f>
        <v>Catalog Record</v>
      </c>
      <c r="AT515" s="6" t="str">
        <f>HYPERLINK("http://www.worldcat.org/oclc/7273281","WorldCat Record")</f>
        <v>WorldCat Record</v>
      </c>
      <c r="AU515" s="3" t="s">
        <v>6455</v>
      </c>
      <c r="AV515" s="3" t="s">
        <v>6456</v>
      </c>
      <c r="AW515" s="3" t="s">
        <v>6457</v>
      </c>
      <c r="AX515" s="3" t="s">
        <v>6457</v>
      </c>
      <c r="AY515" s="3" t="s">
        <v>6458</v>
      </c>
      <c r="AZ515" s="3" t="s">
        <v>73</v>
      </c>
      <c r="BB515" s="3" t="s">
        <v>6459</v>
      </c>
      <c r="BC515" s="3" t="s">
        <v>6460</v>
      </c>
      <c r="BD515" s="3" t="s">
        <v>6461</v>
      </c>
    </row>
    <row r="516" spans="1:56" ht="31.5" customHeight="1" x14ac:dyDescent="0.25">
      <c r="A516" s="7" t="s">
        <v>58</v>
      </c>
      <c r="B516" s="2" t="s">
        <v>6462</v>
      </c>
      <c r="C516" s="2" t="s">
        <v>6463</v>
      </c>
      <c r="D516" s="2" t="s">
        <v>6464</v>
      </c>
      <c r="F516" s="3" t="s">
        <v>58</v>
      </c>
      <c r="G516" s="3" t="s">
        <v>59</v>
      </c>
      <c r="H516" s="3" t="s">
        <v>58</v>
      </c>
      <c r="I516" s="3" t="s">
        <v>58</v>
      </c>
      <c r="J516" s="3" t="s">
        <v>60</v>
      </c>
      <c r="K516" s="2" t="s">
        <v>535</v>
      </c>
      <c r="L516" s="2" t="s">
        <v>6465</v>
      </c>
      <c r="M516" s="3" t="s">
        <v>944</v>
      </c>
      <c r="O516" s="3" t="s">
        <v>63</v>
      </c>
      <c r="P516" s="3" t="s">
        <v>64</v>
      </c>
      <c r="R516" s="3" t="s">
        <v>65</v>
      </c>
      <c r="S516" s="4">
        <v>2</v>
      </c>
      <c r="T516" s="4">
        <v>2</v>
      </c>
      <c r="U516" s="5" t="s">
        <v>2328</v>
      </c>
      <c r="V516" s="5" t="s">
        <v>2328</v>
      </c>
      <c r="W516" s="5" t="s">
        <v>6466</v>
      </c>
      <c r="X516" s="5" t="s">
        <v>6466</v>
      </c>
      <c r="Y516" s="4">
        <v>609</v>
      </c>
      <c r="Z516" s="4">
        <v>549</v>
      </c>
      <c r="AA516" s="4">
        <v>567</v>
      </c>
      <c r="AB516" s="4">
        <v>3</v>
      </c>
      <c r="AC516" s="4">
        <v>3</v>
      </c>
      <c r="AD516" s="4">
        <v>15</v>
      </c>
      <c r="AE516" s="4">
        <v>15</v>
      </c>
      <c r="AF516" s="4">
        <v>5</v>
      </c>
      <c r="AG516" s="4">
        <v>5</v>
      </c>
      <c r="AH516" s="4">
        <v>4</v>
      </c>
      <c r="AI516" s="4">
        <v>4</v>
      </c>
      <c r="AJ516" s="4">
        <v>6</v>
      </c>
      <c r="AK516" s="4">
        <v>6</v>
      </c>
      <c r="AL516" s="4">
        <v>2</v>
      </c>
      <c r="AM516" s="4">
        <v>2</v>
      </c>
      <c r="AN516" s="4">
        <v>0</v>
      </c>
      <c r="AO516" s="4">
        <v>0</v>
      </c>
      <c r="AP516" s="3" t="s">
        <v>58</v>
      </c>
      <c r="AQ516" s="3" t="s">
        <v>68</v>
      </c>
      <c r="AR516" s="6" t="str">
        <f>HYPERLINK("http://catalog.hathitrust.org/Record/002220434","HathiTrust Record")</f>
        <v>HathiTrust Record</v>
      </c>
      <c r="AS516" s="6" t="str">
        <f>HYPERLINK("https://creighton-primo.hosted.exlibrisgroup.com/primo-explore/search?tab=default_tab&amp;search_scope=EVERYTHING&amp;vid=01CRU&amp;lang=en_US&amp;offset=0&amp;query=any,contains,991001727269702656","Catalog Record")</f>
        <v>Catalog Record</v>
      </c>
      <c r="AT516" s="6" t="str">
        <f>HYPERLINK("http://www.worldcat.org/oclc/21901257","WorldCat Record")</f>
        <v>WorldCat Record</v>
      </c>
      <c r="AU516" s="3" t="s">
        <v>6467</v>
      </c>
      <c r="AV516" s="3" t="s">
        <v>6468</v>
      </c>
      <c r="AW516" s="3" t="s">
        <v>6469</v>
      </c>
      <c r="AX516" s="3" t="s">
        <v>6469</v>
      </c>
      <c r="AY516" s="3" t="s">
        <v>6470</v>
      </c>
      <c r="AZ516" s="3" t="s">
        <v>73</v>
      </c>
      <c r="BB516" s="3" t="s">
        <v>6471</v>
      </c>
      <c r="BC516" s="3" t="s">
        <v>6472</v>
      </c>
      <c r="BD516" s="3" t="s">
        <v>6473</v>
      </c>
    </row>
    <row r="517" spans="1:56" ht="31.5" customHeight="1" x14ac:dyDescent="0.25">
      <c r="A517" s="7" t="s">
        <v>58</v>
      </c>
      <c r="B517" s="2" t="s">
        <v>6474</v>
      </c>
      <c r="C517" s="2" t="s">
        <v>6475</v>
      </c>
      <c r="D517" s="2" t="s">
        <v>6476</v>
      </c>
      <c r="F517" s="3" t="s">
        <v>58</v>
      </c>
      <c r="G517" s="3" t="s">
        <v>59</v>
      </c>
      <c r="H517" s="3" t="s">
        <v>58</v>
      </c>
      <c r="I517" s="3" t="s">
        <v>58</v>
      </c>
      <c r="J517" s="3" t="s">
        <v>60</v>
      </c>
      <c r="K517" s="2" t="s">
        <v>6477</v>
      </c>
      <c r="L517" s="2" t="s">
        <v>6478</v>
      </c>
      <c r="M517" s="3" t="s">
        <v>159</v>
      </c>
      <c r="O517" s="3" t="s">
        <v>63</v>
      </c>
      <c r="P517" s="3" t="s">
        <v>1575</v>
      </c>
      <c r="R517" s="3" t="s">
        <v>65</v>
      </c>
      <c r="S517" s="4">
        <v>3</v>
      </c>
      <c r="T517" s="4">
        <v>3</v>
      </c>
      <c r="U517" s="5" t="s">
        <v>6479</v>
      </c>
      <c r="V517" s="5" t="s">
        <v>6479</v>
      </c>
      <c r="W517" s="5" t="s">
        <v>161</v>
      </c>
      <c r="X517" s="5" t="s">
        <v>161</v>
      </c>
      <c r="Y517" s="4">
        <v>46</v>
      </c>
      <c r="Z517" s="4">
        <v>43</v>
      </c>
      <c r="AA517" s="4">
        <v>103</v>
      </c>
      <c r="AB517" s="4">
        <v>2</v>
      </c>
      <c r="AC517" s="4">
        <v>2</v>
      </c>
      <c r="AD517" s="4">
        <v>1</v>
      </c>
      <c r="AE517" s="4">
        <v>2</v>
      </c>
      <c r="AF517" s="4">
        <v>0</v>
      </c>
      <c r="AG517" s="4">
        <v>0</v>
      </c>
      <c r="AH517" s="4">
        <v>0</v>
      </c>
      <c r="AI517" s="4">
        <v>0</v>
      </c>
      <c r="AJ517" s="4">
        <v>0</v>
      </c>
      <c r="AK517" s="4">
        <v>1</v>
      </c>
      <c r="AL517" s="4">
        <v>1</v>
      </c>
      <c r="AM517" s="4">
        <v>1</v>
      </c>
      <c r="AN517" s="4">
        <v>0</v>
      </c>
      <c r="AO517" s="4">
        <v>0</v>
      </c>
      <c r="AP517" s="3" t="s">
        <v>58</v>
      </c>
      <c r="AQ517" s="3" t="s">
        <v>58</v>
      </c>
      <c r="AS517" s="6" t="str">
        <f>HYPERLINK("https://creighton-primo.hosted.exlibrisgroup.com/primo-explore/search?tab=default_tab&amp;search_scope=EVERYTHING&amp;vid=01CRU&amp;lang=en_US&amp;offset=0&amp;query=any,contains,991000309949702656","Catalog Record")</f>
        <v>Catalog Record</v>
      </c>
      <c r="AT517" s="6" t="str">
        <f>HYPERLINK("http://www.worldcat.org/oclc/10084634","WorldCat Record")</f>
        <v>WorldCat Record</v>
      </c>
      <c r="AU517" s="3" t="s">
        <v>6480</v>
      </c>
      <c r="AV517" s="3" t="s">
        <v>6481</v>
      </c>
      <c r="AW517" s="3" t="s">
        <v>6482</v>
      </c>
      <c r="AX517" s="3" t="s">
        <v>6482</v>
      </c>
      <c r="AY517" s="3" t="s">
        <v>6483</v>
      </c>
      <c r="AZ517" s="3" t="s">
        <v>73</v>
      </c>
      <c r="BB517" s="3" t="s">
        <v>6484</v>
      </c>
      <c r="BC517" s="3" t="s">
        <v>6485</v>
      </c>
      <c r="BD517" s="3" t="s">
        <v>6486</v>
      </c>
    </row>
    <row r="518" spans="1:56" ht="31.5" customHeight="1" x14ac:dyDescent="0.25">
      <c r="A518" s="7" t="s">
        <v>58</v>
      </c>
      <c r="B518" s="2" t="s">
        <v>6487</v>
      </c>
      <c r="C518" s="2" t="s">
        <v>6488</v>
      </c>
      <c r="D518" s="2" t="s">
        <v>6489</v>
      </c>
      <c r="F518" s="3" t="s">
        <v>58</v>
      </c>
      <c r="G518" s="3" t="s">
        <v>59</v>
      </c>
      <c r="H518" s="3" t="s">
        <v>58</v>
      </c>
      <c r="I518" s="3" t="s">
        <v>58</v>
      </c>
      <c r="J518" s="3" t="s">
        <v>60</v>
      </c>
      <c r="K518" s="2" t="s">
        <v>6490</v>
      </c>
      <c r="L518" s="2" t="s">
        <v>6491</v>
      </c>
      <c r="M518" s="3" t="s">
        <v>700</v>
      </c>
      <c r="O518" s="3" t="s">
        <v>63</v>
      </c>
      <c r="P518" s="3" t="s">
        <v>186</v>
      </c>
      <c r="R518" s="3" t="s">
        <v>65</v>
      </c>
      <c r="S518" s="4">
        <v>3</v>
      </c>
      <c r="T518" s="4">
        <v>3</v>
      </c>
      <c r="U518" s="5" t="s">
        <v>6492</v>
      </c>
      <c r="V518" s="5" t="s">
        <v>6492</v>
      </c>
      <c r="W518" s="5" t="s">
        <v>6492</v>
      </c>
      <c r="X518" s="5" t="s">
        <v>6492</v>
      </c>
      <c r="Y518" s="4">
        <v>482</v>
      </c>
      <c r="Z518" s="4">
        <v>389</v>
      </c>
      <c r="AA518" s="4">
        <v>394</v>
      </c>
      <c r="AB518" s="4">
        <v>5</v>
      </c>
      <c r="AC518" s="4">
        <v>5</v>
      </c>
      <c r="AD518" s="4">
        <v>13</v>
      </c>
      <c r="AE518" s="4">
        <v>13</v>
      </c>
      <c r="AF518" s="4">
        <v>4</v>
      </c>
      <c r="AG518" s="4">
        <v>4</v>
      </c>
      <c r="AH518" s="4">
        <v>2</v>
      </c>
      <c r="AI518" s="4">
        <v>2</v>
      </c>
      <c r="AJ518" s="4">
        <v>6</v>
      </c>
      <c r="AK518" s="4">
        <v>6</v>
      </c>
      <c r="AL518" s="4">
        <v>4</v>
      </c>
      <c r="AM518" s="4">
        <v>4</v>
      </c>
      <c r="AN518" s="4">
        <v>0</v>
      </c>
      <c r="AO518" s="4">
        <v>0</v>
      </c>
      <c r="AP518" s="3" t="s">
        <v>58</v>
      </c>
      <c r="AQ518" s="3" t="s">
        <v>58</v>
      </c>
      <c r="AS518" s="6" t="str">
        <f>HYPERLINK("https://creighton-primo.hosted.exlibrisgroup.com/primo-explore/search?tab=default_tab&amp;search_scope=EVERYTHING&amp;vid=01CRU&amp;lang=en_US&amp;offset=0&amp;query=any,contains,991003634939702656","Catalog Record")</f>
        <v>Catalog Record</v>
      </c>
      <c r="AT518" s="6" t="str">
        <f>HYPERLINK("http://www.worldcat.org/oclc/44634367","WorldCat Record")</f>
        <v>WorldCat Record</v>
      </c>
      <c r="AU518" s="3" t="s">
        <v>6493</v>
      </c>
      <c r="AV518" s="3" t="s">
        <v>6494</v>
      </c>
      <c r="AW518" s="3" t="s">
        <v>6495</v>
      </c>
      <c r="AX518" s="3" t="s">
        <v>6495</v>
      </c>
      <c r="AY518" s="3" t="s">
        <v>6496</v>
      </c>
      <c r="AZ518" s="3" t="s">
        <v>73</v>
      </c>
      <c r="BB518" s="3" t="s">
        <v>6497</v>
      </c>
      <c r="BC518" s="3" t="s">
        <v>6498</v>
      </c>
      <c r="BD518" s="3" t="s">
        <v>6499</v>
      </c>
    </row>
    <row r="519" spans="1:56" ht="31.5" customHeight="1" x14ac:dyDescent="0.25">
      <c r="A519" s="7" t="s">
        <v>58</v>
      </c>
      <c r="B519" s="2" t="s">
        <v>6500</v>
      </c>
      <c r="C519" s="2" t="s">
        <v>6501</v>
      </c>
      <c r="D519" s="2" t="s">
        <v>6502</v>
      </c>
      <c r="F519" s="3" t="s">
        <v>58</v>
      </c>
      <c r="G519" s="3" t="s">
        <v>59</v>
      </c>
      <c r="H519" s="3" t="s">
        <v>58</v>
      </c>
      <c r="I519" s="3" t="s">
        <v>58</v>
      </c>
      <c r="J519" s="3" t="s">
        <v>60</v>
      </c>
      <c r="K519" s="2" t="s">
        <v>6503</v>
      </c>
      <c r="L519" s="2" t="s">
        <v>6504</v>
      </c>
      <c r="M519" s="3" t="s">
        <v>2253</v>
      </c>
      <c r="O519" s="3" t="s">
        <v>63</v>
      </c>
      <c r="P519" s="3" t="s">
        <v>444</v>
      </c>
      <c r="R519" s="3" t="s">
        <v>65</v>
      </c>
      <c r="S519" s="4">
        <v>5</v>
      </c>
      <c r="T519" s="4">
        <v>5</v>
      </c>
      <c r="U519" s="5" t="s">
        <v>6505</v>
      </c>
      <c r="V519" s="5" t="s">
        <v>6505</v>
      </c>
      <c r="W519" s="5" t="s">
        <v>3853</v>
      </c>
      <c r="X519" s="5" t="s">
        <v>3853</v>
      </c>
      <c r="Y519" s="4">
        <v>520</v>
      </c>
      <c r="Z519" s="4">
        <v>426</v>
      </c>
      <c r="AA519" s="4">
        <v>436</v>
      </c>
      <c r="AB519" s="4">
        <v>4</v>
      </c>
      <c r="AC519" s="4">
        <v>4</v>
      </c>
      <c r="AD519" s="4">
        <v>13</v>
      </c>
      <c r="AE519" s="4">
        <v>13</v>
      </c>
      <c r="AF519" s="4">
        <v>3</v>
      </c>
      <c r="AG519" s="4">
        <v>3</v>
      </c>
      <c r="AH519" s="4">
        <v>5</v>
      </c>
      <c r="AI519" s="4">
        <v>5</v>
      </c>
      <c r="AJ519" s="4">
        <v>5</v>
      </c>
      <c r="AK519" s="4">
        <v>5</v>
      </c>
      <c r="AL519" s="4">
        <v>3</v>
      </c>
      <c r="AM519" s="4">
        <v>3</v>
      </c>
      <c r="AN519" s="4">
        <v>0</v>
      </c>
      <c r="AO519" s="4">
        <v>0</v>
      </c>
      <c r="AP519" s="3" t="s">
        <v>58</v>
      </c>
      <c r="AQ519" s="3" t="s">
        <v>68</v>
      </c>
      <c r="AR519" s="6" t="str">
        <f>HYPERLINK("http://catalog.hathitrust.org/Record/000853838","HathiTrust Record")</f>
        <v>HathiTrust Record</v>
      </c>
      <c r="AS519" s="6" t="str">
        <f>HYPERLINK("https://creighton-primo.hosted.exlibrisgroup.com/primo-explore/search?tab=default_tab&amp;search_scope=EVERYTHING&amp;vid=01CRU&amp;lang=en_US&amp;offset=0&amp;query=any,contains,991001128299702656","Catalog Record")</f>
        <v>Catalog Record</v>
      </c>
      <c r="AT519" s="6" t="str">
        <f>HYPERLINK("http://www.worldcat.org/oclc/16669457","WorldCat Record")</f>
        <v>WorldCat Record</v>
      </c>
      <c r="AU519" s="3" t="s">
        <v>6506</v>
      </c>
      <c r="AV519" s="3" t="s">
        <v>6507</v>
      </c>
      <c r="AW519" s="3" t="s">
        <v>6508</v>
      </c>
      <c r="AX519" s="3" t="s">
        <v>6508</v>
      </c>
      <c r="AY519" s="3" t="s">
        <v>6509</v>
      </c>
      <c r="AZ519" s="3" t="s">
        <v>73</v>
      </c>
      <c r="BB519" s="3" t="s">
        <v>6510</v>
      </c>
      <c r="BC519" s="3" t="s">
        <v>6511</v>
      </c>
      <c r="BD519" s="3" t="s">
        <v>6512</v>
      </c>
    </row>
    <row r="520" spans="1:56" ht="31.5" customHeight="1" x14ac:dyDescent="0.25">
      <c r="A520" s="7" t="s">
        <v>58</v>
      </c>
      <c r="B520" s="2" t="s">
        <v>6513</v>
      </c>
      <c r="C520" s="2" t="s">
        <v>6514</v>
      </c>
      <c r="D520" s="2" t="s">
        <v>6515</v>
      </c>
      <c r="F520" s="3" t="s">
        <v>58</v>
      </c>
      <c r="G520" s="3" t="s">
        <v>59</v>
      </c>
      <c r="H520" s="3" t="s">
        <v>58</v>
      </c>
      <c r="I520" s="3" t="s">
        <v>58</v>
      </c>
      <c r="J520" s="3" t="s">
        <v>60</v>
      </c>
      <c r="K520" s="2" t="s">
        <v>6516</v>
      </c>
      <c r="L520" s="2" t="s">
        <v>6517</v>
      </c>
      <c r="M520" s="3" t="s">
        <v>863</v>
      </c>
      <c r="N520" s="2" t="s">
        <v>6518</v>
      </c>
      <c r="O520" s="3" t="s">
        <v>63</v>
      </c>
      <c r="P520" s="3" t="s">
        <v>129</v>
      </c>
      <c r="R520" s="3" t="s">
        <v>65</v>
      </c>
      <c r="S520" s="4">
        <v>1</v>
      </c>
      <c r="T520" s="4">
        <v>1</v>
      </c>
      <c r="U520" s="5" t="s">
        <v>6505</v>
      </c>
      <c r="V520" s="5" t="s">
        <v>6505</v>
      </c>
      <c r="W520" s="5" t="s">
        <v>2135</v>
      </c>
      <c r="X520" s="5" t="s">
        <v>2135</v>
      </c>
      <c r="Y520" s="4">
        <v>131</v>
      </c>
      <c r="Z520" s="4">
        <v>124</v>
      </c>
      <c r="AA520" s="4">
        <v>510</v>
      </c>
      <c r="AB520" s="4">
        <v>2</v>
      </c>
      <c r="AC520" s="4">
        <v>3</v>
      </c>
      <c r="AD520" s="4">
        <v>7</v>
      </c>
      <c r="AE520" s="4">
        <v>16</v>
      </c>
      <c r="AF520" s="4">
        <v>0</v>
      </c>
      <c r="AG520" s="4">
        <v>2</v>
      </c>
      <c r="AH520" s="4">
        <v>1</v>
      </c>
      <c r="AI520" s="4">
        <v>4</v>
      </c>
      <c r="AJ520" s="4">
        <v>6</v>
      </c>
      <c r="AK520" s="4">
        <v>10</v>
      </c>
      <c r="AL520" s="4">
        <v>1</v>
      </c>
      <c r="AM520" s="4">
        <v>2</v>
      </c>
      <c r="AN520" s="4">
        <v>0</v>
      </c>
      <c r="AO520" s="4">
        <v>0</v>
      </c>
      <c r="AP520" s="3" t="s">
        <v>58</v>
      </c>
      <c r="AQ520" s="3" t="s">
        <v>58</v>
      </c>
      <c r="AS520" s="6" t="str">
        <f>HYPERLINK("https://creighton-primo.hosted.exlibrisgroup.com/primo-explore/search?tab=default_tab&amp;search_scope=EVERYTHING&amp;vid=01CRU&amp;lang=en_US&amp;offset=0&amp;query=any,contains,991000843529702656","Catalog Record")</f>
        <v>Catalog Record</v>
      </c>
      <c r="AT520" s="6" t="str">
        <f>HYPERLINK("http://www.worldcat.org/oclc/13533084","WorldCat Record")</f>
        <v>WorldCat Record</v>
      </c>
      <c r="AU520" s="3" t="s">
        <v>6519</v>
      </c>
      <c r="AV520" s="3" t="s">
        <v>6520</v>
      </c>
      <c r="AW520" s="3" t="s">
        <v>6521</v>
      </c>
      <c r="AX520" s="3" t="s">
        <v>6521</v>
      </c>
      <c r="AY520" s="3" t="s">
        <v>6522</v>
      </c>
      <c r="AZ520" s="3" t="s">
        <v>73</v>
      </c>
      <c r="BC520" s="3" t="s">
        <v>6523</v>
      </c>
      <c r="BD520" s="3" t="s">
        <v>6524</v>
      </c>
    </row>
    <row r="521" spans="1:56" ht="31.5" customHeight="1" x14ac:dyDescent="0.25">
      <c r="A521" s="7" t="s">
        <v>58</v>
      </c>
      <c r="B521" s="2" t="s">
        <v>6525</v>
      </c>
      <c r="C521" s="2" t="s">
        <v>6526</v>
      </c>
      <c r="D521" s="2" t="s">
        <v>6527</v>
      </c>
      <c r="F521" s="3" t="s">
        <v>58</v>
      </c>
      <c r="G521" s="3" t="s">
        <v>59</v>
      </c>
      <c r="H521" s="3" t="s">
        <v>58</v>
      </c>
      <c r="I521" s="3" t="s">
        <v>58</v>
      </c>
      <c r="J521" s="3" t="s">
        <v>60</v>
      </c>
      <c r="L521" s="2" t="s">
        <v>6528</v>
      </c>
      <c r="M521" s="3" t="s">
        <v>4422</v>
      </c>
      <c r="N521" s="2" t="s">
        <v>1180</v>
      </c>
      <c r="O521" s="3" t="s">
        <v>63</v>
      </c>
      <c r="P521" s="3" t="s">
        <v>64</v>
      </c>
      <c r="R521" s="3" t="s">
        <v>65</v>
      </c>
      <c r="S521" s="4">
        <v>8</v>
      </c>
      <c r="T521" s="4">
        <v>8</v>
      </c>
      <c r="U521" s="5" t="s">
        <v>2804</v>
      </c>
      <c r="V521" s="5" t="s">
        <v>2804</v>
      </c>
      <c r="W521" s="5" t="s">
        <v>6529</v>
      </c>
      <c r="X521" s="5" t="s">
        <v>6529</v>
      </c>
      <c r="Y521" s="4">
        <v>43</v>
      </c>
      <c r="Z521" s="4">
        <v>35</v>
      </c>
      <c r="AA521" s="4">
        <v>323</v>
      </c>
      <c r="AB521" s="4">
        <v>1</v>
      </c>
      <c r="AC521" s="4">
        <v>3</v>
      </c>
      <c r="AD521" s="4">
        <v>1</v>
      </c>
      <c r="AE521" s="4">
        <v>16</v>
      </c>
      <c r="AF521" s="4">
        <v>0</v>
      </c>
      <c r="AG521" s="4">
        <v>7</v>
      </c>
      <c r="AH521" s="4">
        <v>0</v>
      </c>
      <c r="AI521" s="4">
        <v>2</v>
      </c>
      <c r="AJ521" s="4">
        <v>1</v>
      </c>
      <c r="AK521" s="4">
        <v>9</v>
      </c>
      <c r="AL521" s="4">
        <v>0</v>
      </c>
      <c r="AM521" s="4">
        <v>2</v>
      </c>
      <c r="AN521" s="4">
        <v>0</v>
      </c>
      <c r="AO521" s="4">
        <v>0</v>
      </c>
      <c r="AP521" s="3" t="s">
        <v>58</v>
      </c>
      <c r="AQ521" s="3" t="s">
        <v>58</v>
      </c>
      <c r="AR521" s="6" t="str">
        <f>HYPERLINK("http://catalog.hathitrust.org/Record/001476193","HathiTrust Record")</f>
        <v>HathiTrust Record</v>
      </c>
      <c r="AS521" s="6" t="str">
        <f>HYPERLINK("https://creighton-primo.hosted.exlibrisgroup.com/primo-explore/search?tab=default_tab&amp;search_scope=EVERYTHING&amp;vid=01CRU&amp;lang=en_US&amp;offset=0&amp;query=any,contains,991001051499702656","Catalog Record")</f>
        <v>Catalog Record</v>
      </c>
      <c r="AT521" s="6" t="str">
        <f>HYPERLINK("http://www.worldcat.org/oclc/15655377","WorldCat Record")</f>
        <v>WorldCat Record</v>
      </c>
      <c r="AU521" s="3" t="s">
        <v>6530</v>
      </c>
      <c r="AV521" s="3" t="s">
        <v>6531</v>
      </c>
      <c r="AW521" s="3" t="s">
        <v>6532</v>
      </c>
      <c r="AX521" s="3" t="s">
        <v>6532</v>
      </c>
      <c r="AY521" s="3" t="s">
        <v>6533</v>
      </c>
      <c r="AZ521" s="3" t="s">
        <v>73</v>
      </c>
      <c r="BC521" s="3" t="s">
        <v>6534</v>
      </c>
      <c r="BD521" s="3" t="s">
        <v>6535</v>
      </c>
    </row>
    <row r="522" spans="1:56" ht="31.5" customHeight="1" x14ac:dyDescent="0.25">
      <c r="A522" s="7" t="s">
        <v>58</v>
      </c>
      <c r="B522" s="2" t="s">
        <v>6536</v>
      </c>
      <c r="C522" s="2" t="s">
        <v>6537</v>
      </c>
      <c r="D522" s="2" t="s">
        <v>6538</v>
      </c>
      <c r="F522" s="3" t="s">
        <v>58</v>
      </c>
      <c r="G522" s="3" t="s">
        <v>59</v>
      </c>
      <c r="H522" s="3" t="s">
        <v>58</v>
      </c>
      <c r="I522" s="3" t="s">
        <v>58</v>
      </c>
      <c r="J522" s="3" t="s">
        <v>60</v>
      </c>
      <c r="L522" s="2" t="s">
        <v>6539</v>
      </c>
      <c r="M522" s="3" t="s">
        <v>1303</v>
      </c>
      <c r="N522" s="2" t="s">
        <v>2051</v>
      </c>
      <c r="O522" s="3" t="s">
        <v>63</v>
      </c>
      <c r="P522" s="3" t="s">
        <v>64</v>
      </c>
      <c r="R522" s="3" t="s">
        <v>65</v>
      </c>
      <c r="S522" s="4">
        <v>1</v>
      </c>
      <c r="T522" s="4">
        <v>1</v>
      </c>
      <c r="U522" s="5" t="s">
        <v>6540</v>
      </c>
      <c r="V522" s="5" t="s">
        <v>6540</v>
      </c>
      <c r="W522" s="5" t="s">
        <v>161</v>
      </c>
      <c r="X522" s="5" t="s">
        <v>161</v>
      </c>
      <c r="Y522" s="4">
        <v>62</v>
      </c>
      <c r="Z522" s="4">
        <v>57</v>
      </c>
      <c r="AA522" s="4">
        <v>198</v>
      </c>
      <c r="AB522" s="4">
        <v>1</v>
      </c>
      <c r="AC522" s="4">
        <v>1</v>
      </c>
      <c r="AD522" s="4">
        <v>1</v>
      </c>
      <c r="AE522" s="4">
        <v>3</v>
      </c>
      <c r="AF522" s="4">
        <v>1</v>
      </c>
      <c r="AG522" s="4">
        <v>2</v>
      </c>
      <c r="AH522" s="4">
        <v>0</v>
      </c>
      <c r="AI522" s="4">
        <v>0</v>
      </c>
      <c r="AJ522" s="4">
        <v>0</v>
      </c>
      <c r="AK522" s="4">
        <v>2</v>
      </c>
      <c r="AL522" s="4">
        <v>0</v>
      </c>
      <c r="AM522" s="4">
        <v>0</v>
      </c>
      <c r="AN522" s="4">
        <v>0</v>
      </c>
      <c r="AO522" s="4">
        <v>0</v>
      </c>
      <c r="AP522" s="3" t="s">
        <v>58</v>
      </c>
      <c r="AQ522" s="3" t="s">
        <v>58</v>
      </c>
      <c r="AS522" s="6" t="str">
        <f>HYPERLINK("https://creighton-primo.hosted.exlibrisgroup.com/primo-explore/search?tab=default_tab&amp;search_scope=EVERYTHING&amp;vid=01CRU&amp;lang=en_US&amp;offset=0&amp;query=any,contains,991005035129702656","Catalog Record")</f>
        <v>Catalog Record</v>
      </c>
      <c r="AT522" s="6" t="str">
        <f>HYPERLINK("http://www.worldcat.org/oclc/6748565","WorldCat Record")</f>
        <v>WorldCat Record</v>
      </c>
      <c r="AU522" s="3" t="s">
        <v>6541</v>
      </c>
      <c r="AV522" s="3" t="s">
        <v>6542</v>
      </c>
      <c r="AW522" s="3" t="s">
        <v>6543</v>
      </c>
      <c r="AX522" s="3" t="s">
        <v>6543</v>
      </c>
      <c r="AY522" s="3" t="s">
        <v>6544</v>
      </c>
      <c r="AZ522" s="3" t="s">
        <v>73</v>
      </c>
      <c r="BC522" s="3" t="s">
        <v>6545</v>
      </c>
      <c r="BD522" s="3" t="s">
        <v>6546</v>
      </c>
    </row>
    <row r="523" spans="1:56" ht="31.5" customHeight="1" x14ac:dyDescent="0.25">
      <c r="A523" s="7" t="s">
        <v>58</v>
      </c>
      <c r="B523" s="2" t="s">
        <v>6547</v>
      </c>
      <c r="C523" s="2" t="s">
        <v>6548</v>
      </c>
      <c r="D523" s="2" t="s">
        <v>6549</v>
      </c>
      <c r="F523" s="3" t="s">
        <v>58</v>
      </c>
      <c r="G523" s="3" t="s">
        <v>59</v>
      </c>
      <c r="H523" s="3" t="s">
        <v>58</v>
      </c>
      <c r="I523" s="3" t="s">
        <v>68</v>
      </c>
      <c r="J523" s="3" t="s">
        <v>60</v>
      </c>
      <c r="L523" s="2" t="s">
        <v>6550</v>
      </c>
      <c r="M523" s="3" t="s">
        <v>6551</v>
      </c>
      <c r="O523" s="3" t="s">
        <v>63</v>
      </c>
      <c r="P523" s="3" t="s">
        <v>64</v>
      </c>
      <c r="R523" s="3" t="s">
        <v>65</v>
      </c>
      <c r="S523" s="4">
        <v>1</v>
      </c>
      <c r="T523" s="4">
        <v>1</v>
      </c>
      <c r="U523" s="5" t="s">
        <v>6552</v>
      </c>
      <c r="V523" s="5" t="s">
        <v>6552</v>
      </c>
      <c r="W523" s="5" t="s">
        <v>161</v>
      </c>
      <c r="X523" s="5" t="s">
        <v>161</v>
      </c>
      <c r="Y523" s="4">
        <v>39</v>
      </c>
      <c r="Z523" s="4">
        <v>39</v>
      </c>
      <c r="AA523" s="4">
        <v>187</v>
      </c>
      <c r="AB523" s="4">
        <v>1</v>
      </c>
      <c r="AC523" s="4">
        <v>1</v>
      </c>
      <c r="AD523" s="4">
        <v>1</v>
      </c>
      <c r="AE523" s="4">
        <v>7</v>
      </c>
      <c r="AF523" s="4">
        <v>1</v>
      </c>
      <c r="AG523" s="4">
        <v>3</v>
      </c>
      <c r="AH523" s="4">
        <v>0</v>
      </c>
      <c r="AI523" s="4">
        <v>0</v>
      </c>
      <c r="AJ523" s="4">
        <v>0</v>
      </c>
      <c r="AK523" s="4">
        <v>6</v>
      </c>
      <c r="AL523" s="4">
        <v>0</v>
      </c>
      <c r="AM523" s="4">
        <v>0</v>
      </c>
      <c r="AN523" s="4">
        <v>0</v>
      </c>
      <c r="AO523" s="4">
        <v>0</v>
      </c>
      <c r="AP523" s="3" t="s">
        <v>58</v>
      </c>
      <c r="AQ523" s="3" t="s">
        <v>68</v>
      </c>
      <c r="AR523" s="6" t="str">
        <f>HYPERLINK("http://catalog.hathitrust.org/Record/007056509","HathiTrust Record")</f>
        <v>HathiTrust Record</v>
      </c>
      <c r="AS523" s="6" t="str">
        <f>HYPERLINK("https://creighton-primo.hosted.exlibrisgroup.com/primo-explore/search?tab=default_tab&amp;search_scope=EVERYTHING&amp;vid=01CRU&amp;lang=en_US&amp;offset=0&amp;query=any,contains,991005143419702656","Catalog Record")</f>
        <v>Catalog Record</v>
      </c>
      <c r="AT523" s="6" t="str">
        <f>HYPERLINK("http://www.worldcat.org/oclc/7649250","WorldCat Record")</f>
        <v>WorldCat Record</v>
      </c>
      <c r="AU523" s="3" t="s">
        <v>6553</v>
      </c>
      <c r="AV523" s="3" t="s">
        <v>6554</v>
      </c>
      <c r="AW523" s="3" t="s">
        <v>6555</v>
      </c>
      <c r="AX523" s="3" t="s">
        <v>6555</v>
      </c>
      <c r="AY523" s="3" t="s">
        <v>6556</v>
      </c>
      <c r="AZ523" s="3" t="s">
        <v>73</v>
      </c>
      <c r="BC523" s="3" t="s">
        <v>6557</v>
      </c>
      <c r="BD523" s="3" t="s">
        <v>6558</v>
      </c>
    </row>
    <row r="524" spans="1:56" ht="31.5" customHeight="1" x14ac:dyDescent="0.25">
      <c r="A524" s="7" t="s">
        <v>58</v>
      </c>
      <c r="B524" s="2" t="s">
        <v>6559</v>
      </c>
      <c r="C524" s="2" t="s">
        <v>6560</v>
      </c>
      <c r="D524" s="2" t="s">
        <v>6561</v>
      </c>
      <c r="F524" s="3" t="s">
        <v>58</v>
      </c>
      <c r="G524" s="3" t="s">
        <v>59</v>
      </c>
      <c r="H524" s="3" t="s">
        <v>58</v>
      </c>
      <c r="I524" s="3" t="s">
        <v>58</v>
      </c>
      <c r="J524" s="3" t="s">
        <v>60</v>
      </c>
      <c r="K524" s="2" t="s">
        <v>3105</v>
      </c>
      <c r="L524" s="2" t="s">
        <v>6562</v>
      </c>
      <c r="M524" s="3" t="s">
        <v>1370</v>
      </c>
      <c r="O524" s="3" t="s">
        <v>63</v>
      </c>
      <c r="P524" s="3" t="s">
        <v>129</v>
      </c>
      <c r="R524" s="3" t="s">
        <v>65</v>
      </c>
      <c r="S524" s="4">
        <v>2</v>
      </c>
      <c r="T524" s="4">
        <v>2</v>
      </c>
      <c r="U524" s="5" t="s">
        <v>2804</v>
      </c>
      <c r="V524" s="5" t="s">
        <v>2804</v>
      </c>
      <c r="W524" s="5" t="s">
        <v>6563</v>
      </c>
      <c r="X524" s="5" t="s">
        <v>6563</v>
      </c>
      <c r="Y524" s="4">
        <v>1106</v>
      </c>
      <c r="Z524" s="4">
        <v>1028</v>
      </c>
      <c r="AA524" s="4">
        <v>1038</v>
      </c>
      <c r="AB524" s="4">
        <v>9</v>
      </c>
      <c r="AC524" s="4">
        <v>9</v>
      </c>
      <c r="AD524" s="4">
        <v>18</v>
      </c>
      <c r="AE524" s="4">
        <v>18</v>
      </c>
      <c r="AF524" s="4">
        <v>3</v>
      </c>
      <c r="AG524" s="4">
        <v>3</v>
      </c>
      <c r="AH524" s="4">
        <v>3</v>
      </c>
      <c r="AI524" s="4">
        <v>3</v>
      </c>
      <c r="AJ524" s="4">
        <v>6</v>
      </c>
      <c r="AK524" s="4">
        <v>6</v>
      </c>
      <c r="AL524" s="4">
        <v>7</v>
      </c>
      <c r="AM524" s="4">
        <v>7</v>
      </c>
      <c r="AN524" s="4">
        <v>0</v>
      </c>
      <c r="AO524" s="4">
        <v>0</v>
      </c>
      <c r="AP524" s="3" t="s">
        <v>58</v>
      </c>
      <c r="AQ524" s="3" t="s">
        <v>68</v>
      </c>
      <c r="AR524" s="6" t="str">
        <f>HYPERLINK("http://catalog.hathitrust.org/Record/000023537","HathiTrust Record")</f>
        <v>HathiTrust Record</v>
      </c>
      <c r="AS524" s="6" t="str">
        <f>HYPERLINK("https://creighton-primo.hosted.exlibrisgroup.com/primo-explore/search?tab=default_tab&amp;search_scope=EVERYTHING&amp;vid=01CRU&amp;lang=en_US&amp;offset=0&amp;query=any,contains,991003746709702656","Catalog Record")</f>
        <v>Catalog Record</v>
      </c>
      <c r="AT524" s="6" t="str">
        <f>HYPERLINK("http://www.worldcat.org/oclc/1418798","WorldCat Record")</f>
        <v>WorldCat Record</v>
      </c>
      <c r="AU524" s="3" t="s">
        <v>6564</v>
      </c>
      <c r="AV524" s="3" t="s">
        <v>6565</v>
      </c>
      <c r="AW524" s="3" t="s">
        <v>6566</v>
      </c>
      <c r="AX524" s="3" t="s">
        <v>6566</v>
      </c>
      <c r="AY524" s="3" t="s">
        <v>6567</v>
      </c>
      <c r="AZ524" s="3" t="s">
        <v>73</v>
      </c>
      <c r="BB524" s="3" t="s">
        <v>6568</v>
      </c>
      <c r="BC524" s="3" t="s">
        <v>6569</v>
      </c>
      <c r="BD524" s="3" t="s">
        <v>6570</v>
      </c>
    </row>
    <row r="525" spans="1:56" ht="31.5" customHeight="1" x14ac:dyDescent="0.25">
      <c r="A525" s="7" t="s">
        <v>58</v>
      </c>
      <c r="B525" s="2" t="s">
        <v>6571</v>
      </c>
      <c r="C525" s="2" t="s">
        <v>6572</v>
      </c>
      <c r="D525" s="2" t="s">
        <v>6573</v>
      </c>
      <c r="F525" s="3" t="s">
        <v>58</v>
      </c>
      <c r="G525" s="3" t="s">
        <v>59</v>
      </c>
      <c r="H525" s="3" t="s">
        <v>58</v>
      </c>
      <c r="I525" s="3" t="s">
        <v>58</v>
      </c>
      <c r="J525" s="3" t="s">
        <v>60</v>
      </c>
      <c r="K525" s="2" t="s">
        <v>6574</v>
      </c>
      <c r="L525" s="2" t="s">
        <v>6575</v>
      </c>
      <c r="M525" s="3" t="s">
        <v>1370</v>
      </c>
      <c r="O525" s="3" t="s">
        <v>63</v>
      </c>
      <c r="P525" s="3" t="s">
        <v>186</v>
      </c>
      <c r="Q525" s="2" t="s">
        <v>6576</v>
      </c>
      <c r="R525" s="3" t="s">
        <v>65</v>
      </c>
      <c r="S525" s="4">
        <v>1</v>
      </c>
      <c r="T525" s="4">
        <v>1</v>
      </c>
      <c r="U525" s="5" t="s">
        <v>6577</v>
      </c>
      <c r="V525" s="5" t="s">
        <v>6577</v>
      </c>
      <c r="W525" s="5" t="s">
        <v>6563</v>
      </c>
      <c r="X525" s="5" t="s">
        <v>6563</v>
      </c>
      <c r="Y525" s="4">
        <v>319</v>
      </c>
      <c r="Z525" s="4">
        <v>194</v>
      </c>
      <c r="AA525" s="4">
        <v>196</v>
      </c>
      <c r="AB525" s="4">
        <v>1</v>
      </c>
      <c r="AC525" s="4">
        <v>1</v>
      </c>
      <c r="AD525" s="4">
        <v>5</v>
      </c>
      <c r="AE525" s="4">
        <v>5</v>
      </c>
      <c r="AF525" s="4">
        <v>1</v>
      </c>
      <c r="AG525" s="4">
        <v>1</v>
      </c>
      <c r="AH525" s="4">
        <v>2</v>
      </c>
      <c r="AI525" s="4">
        <v>2</v>
      </c>
      <c r="AJ525" s="4">
        <v>3</v>
      </c>
      <c r="AK525" s="4">
        <v>3</v>
      </c>
      <c r="AL525" s="4">
        <v>0</v>
      </c>
      <c r="AM525" s="4">
        <v>0</v>
      </c>
      <c r="AN525" s="4">
        <v>0</v>
      </c>
      <c r="AO525" s="4">
        <v>0</v>
      </c>
      <c r="AP525" s="3" t="s">
        <v>58</v>
      </c>
      <c r="AQ525" s="3" t="s">
        <v>58</v>
      </c>
      <c r="AS525" s="6" t="str">
        <f>HYPERLINK("https://creighton-primo.hosted.exlibrisgroup.com/primo-explore/search?tab=default_tab&amp;search_scope=EVERYTHING&amp;vid=01CRU&amp;lang=en_US&amp;offset=0&amp;query=any,contains,991003652539702656","Catalog Record")</f>
        <v>Catalog Record</v>
      </c>
      <c r="AT525" s="6" t="str">
        <f>HYPERLINK("http://www.worldcat.org/oclc/1256164","WorldCat Record")</f>
        <v>WorldCat Record</v>
      </c>
      <c r="AU525" s="3" t="s">
        <v>6578</v>
      </c>
      <c r="AV525" s="3" t="s">
        <v>6579</v>
      </c>
      <c r="AW525" s="3" t="s">
        <v>6580</v>
      </c>
      <c r="AX525" s="3" t="s">
        <v>6580</v>
      </c>
      <c r="AY525" s="3" t="s">
        <v>6581</v>
      </c>
      <c r="AZ525" s="3" t="s">
        <v>73</v>
      </c>
      <c r="BB525" s="3" t="s">
        <v>6582</v>
      </c>
      <c r="BC525" s="3" t="s">
        <v>6583</v>
      </c>
      <c r="BD525" s="3" t="s">
        <v>6584</v>
      </c>
    </row>
    <row r="526" spans="1:56" ht="31.5" customHeight="1" x14ac:dyDescent="0.25">
      <c r="A526" s="7" t="s">
        <v>58</v>
      </c>
      <c r="B526" s="2" t="s">
        <v>6585</v>
      </c>
      <c r="C526" s="2" t="s">
        <v>6586</v>
      </c>
      <c r="D526" s="2" t="s">
        <v>6587</v>
      </c>
      <c r="F526" s="3" t="s">
        <v>58</v>
      </c>
      <c r="G526" s="3" t="s">
        <v>59</v>
      </c>
      <c r="H526" s="3" t="s">
        <v>58</v>
      </c>
      <c r="I526" s="3" t="s">
        <v>58</v>
      </c>
      <c r="J526" s="3" t="s">
        <v>60</v>
      </c>
      <c r="K526" s="2" t="s">
        <v>6588</v>
      </c>
      <c r="L526" s="2" t="s">
        <v>6589</v>
      </c>
      <c r="M526" s="3" t="s">
        <v>1820</v>
      </c>
      <c r="N526" s="2" t="s">
        <v>501</v>
      </c>
      <c r="O526" s="3" t="s">
        <v>63</v>
      </c>
      <c r="P526" s="3" t="s">
        <v>64</v>
      </c>
      <c r="R526" s="3" t="s">
        <v>65</v>
      </c>
      <c r="S526" s="4">
        <v>1</v>
      </c>
      <c r="T526" s="4">
        <v>1</v>
      </c>
      <c r="U526" s="5" t="s">
        <v>6540</v>
      </c>
      <c r="V526" s="5" t="s">
        <v>6540</v>
      </c>
      <c r="W526" s="5" t="s">
        <v>6563</v>
      </c>
      <c r="X526" s="5" t="s">
        <v>6563</v>
      </c>
      <c r="Y526" s="4">
        <v>256</v>
      </c>
      <c r="Z526" s="4">
        <v>223</v>
      </c>
      <c r="AA526" s="4">
        <v>367</v>
      </c>
      <c r="AB526" s="4">
        <v>1</v>
      </c>
      <c r="AC526" s="4">
        <v>3</v>
      </c>
      <c r="AD526" s="4">
        <v>11</v>
      </c>
      <c r="AE526" s="4">
        <v>20</v>
      </c>
      <c r="AF526" s="4">
        <v>5</v>
      </c>
      <c r="AG526" s="4">
        <v>7</v>
      </c>
      <c r="AH526" s="4">
        <v>2</v>
      </c>
      <c r="AI526" s="4">
        <v>4</v>
      </c>
      <c r="AJ526" s="4">
        <v>5</v>
      </c>
      <c r="AK526" s="4">
        <v>9</v>
      </c>
      <c r="AL526" s="4">
        <v>0</v>
      </c>
      <c r="AM526" s="4">
        <v>2</v>
      </c>
      <c r="AN526" s="4">
        <v>1</v>
      </c>
      <c r="AO526" s="4">
        <v>2</v>
      </c>
      <c r="AP526" s="3" t="s">
        <v>68</v>
      </c>
      <c r="AQ526" s="3" t="s">
        <v>58</v>
      </c>
      <c r="AR526" s="6" t="str">
        <f>HYPERLINK("http://catalog.hathitrust.org/Record/001476196","HathiTrust Record")</f>
        <v>HathiTrust Record</v>
      </c>
      <c r="AS526" s="6" t="str">
        <f>HYPERLINK("https://creighton-primo.hosted.exlibrisgroup.com/primo-explore/search?tab=default_tab&amp;search_scope=EVERYTHING&amp;vid=01CRU&amp;lang=en_US&amp;offset=0&amp;query=any,contains,991002684779702656","Catalog Record")</f>
        <v>Catalog Record</v>
      </c>
      <c r="AT526" s="6" t="str">
        <f>HYPERLINK("http://www.worldcat.org/oclc/399559","WorldCat Record")</f>
        <v>WorldCat Record</v>
      </c>
      <c r="AU526" s="3" t="s">
        <v>6590</v>
      </c>
      <c r="AV526" s="3" t="s">
        <v>6591</v>
      </c>
      <c r="AW526" s="3" t="s">
        <v>6592</v>
      </c>
      <c r="AX526" s="3" t="s">
        <v>6592</v>
      </c>
      <c r="AY526" s="3" t="s">
        <v>6593</v>
      </c>
      <c r="AZ526" s="3" t="s">
        <v>73</v>
      </c>
      <c r="BC526" s="3" t="s">
        <v>6594</v>
      </c>
      <c r="BD526" s="3" t="s">
        <v>6595</v>
      </c>
    </row>
    <row r="527" spans="1:56" ht="31.5" customHeight="1" x14ac:dyDescent="0.25">
      <c r="A527" s="7" t="s">
        <v>58</v>
      </c>
      <c r="B527" s="2" t="s">
        <v>6596</v>
      </c>
      <c r="C527" s="2" t="s">
        <v>6597</v>
      </c>
      <c r="D527" s="2" t="s">
        <v>6598</v>
      </c>
      <c r="F527" s="3" t="s">
        <v>58</v>
      </c>
      <c r="G527" s="3" t="s">
        <v>59</v>
      </c>
      <c r="H527" s="3" t="s">
        <v>58</v>
      </c>
      <c r="I527" s="3" t="s">
        <v>58</v>
      </c>
      <c r="J527" s="3" t="s">
        <v>60</v>
      </c>
      <c r="K527" s="2" t="s">
        <v>6599</v>
      </c>
      <c r="L527" s="2" t="s">
        <v>6600</v>
      </c>
      <c r="M527" s="3" t="s">
        <v>1303</v>
      </c>
      <c r="O527" s="3" t="s">
        <v>63</v>
      </c>
      <c r="P527" s="3" t="s">
        <v>2174</v>
      </c>
      <c r="Q527" s="2" t="s">
        <v>3228</v>
      </c>
      <c r="R527" s="3" t="s">
        <v>65</v>
      </c>
      <c r="S527" s="4">
        <v>1</v>
      </c>
      <c r="T527" s="4">
        <v>1</v>
      </c>
      <c r="U527" s="5" t="s">
        <v>6577</v>
      </c>
      <c r="V527" s="5" t="s">
        <v>6577</v>
      </c>
      <c r="W527" s="5" t="s">
        <v>6563</v>
      </c>
      <c r="X527" s="5" t="s">
        <v>6563</v>
      </c>
      <c r="Y527" s="4">
        <v>328</v>
      </c>
      <c r="Z527" s="4">
        <v>267</v>
      </c>
      <c r="AA527" s="4">
        <v>271</v>
      </c>
      <c r="AB527" s="4">
        <v>3</v>
      </c>
      <c r="AC527" s="4">
        <v>3</v>
      </c>
      <c r="AD527" s="4">
        <v>8</v>
      </c>
      <c r="AE527" s="4">
        <v>8</v>
      </c>
      <c r="AF527" s="4">
        <v>3</v>
      </c>
      <c r="AG527" s="4">
        <v>3</v>
      </c>
      <c r="AH527" s="4">
        <v>0</v>
      </c>
      <c r="AI527" s="4">
        <v>0</v>
      </c>
      <c r="AJ527" s="4">
        <v>4</v>
      </c>
      <c r="AK527" s="4">
        <v>4</v>
      </c>
      <c r="AL527" s="4">
        <v>2</v>
      </c>
      <c r="AM527" s="4">
        <v>2</v>
      </c>
      <c r="AN527" s="4">
        <v>0</v>
      </c>
      <c r="AO527" s="4">
        <v>0</v>
      </c>
      <c r="AP527" s="3" t="s">
        <v>58</v>
      </c>
      <c r="AQ527" s="3" t="s">
        <v>68</v>
      </c>
      <c r="AR527" s="6" t="str">
        <f>HYPERLINK("http://catalog.hathitrust.org/Record/006294540","HathiTrust Record")</f>
        <v>HathiTrust Record</v>
      </c>
      <c r="AS527" s="6" t="str">
        <f>HYPERLINK("https://creighton-primo.hosted.exlibrisgroup.com/primo-explore/search?tab=default_tab&amp;search_scope=EVERYTHING&amp;vid=01CRU&amp;lang=en_US&amp;offset=0&amp;query=any,contains,991003035589702656","Catalog Record")</f>
        <v>Catalog Record</v>
      </c>
      <c r="AT527" s="6" t="str">
        <f>HYPERLINK("http://www.worldcat.org/oclc/598561","WorldCat Record")</f>
        <v>WorldCat Record</v>
      </c>
      <c r="AU527" s="3" t="s">
        <v>6601</v>
      </c>
      <c r="AV527" s="3" t="s">
        <v>6602</v>
      </c>
      <c r="AW527" s="3" t="s">
        <v>6603</v>
      </c>
      <c r="AX527" s="3" t="s">
        <v>6603</v>
      </c>
      <c r="AY527" s="3" t="s">
        <v>6604</v>
      </c>
      <c r="AZ527" s="3" t="s">
        <v>73</v>
      </c>
      <c r="BC527" s="3" t="s">
        <v>6605</v>
      </c>
      <c r="BD527" s="3" t="s">
        <v>6606</v>
      </c>
    </row>
    <row r="528" spans="1:56" ht="31.5" customHeight="1" x14ac:dyDescent="0.25">
      <c r="A528" s="7" t="s">
        <v>58</v>
      </c>
      <c r="B528" s="2" t="s">
        <v>6607</v>
      </c>
      <c r="C528" s="2" t="s">
        <v>6608</v>
      </c>
      <c r="D528" s="2" t="s">
        <v>6609</v>
      </c>
      <c r="F528" s="3" t="s">
        <v>58</v>
      </c>
      <c r="G528" s="3" t="s">
        <v>59</v>
      </c>
      <c r="H528" s="3" t="s">
        <v>58</v>
      </c>
      <c r="I528" s="3" t="s">
        <v>58</v>
      </c>
      <c r="J528" s="3" t="s">
        <v>60</v>
      </c>
      <c r="L528" s="2" t="s">
        <v>6610</v>
      </c>
      <c r="M528" s="3" t="s">
        <v>877</v>
      </c>
      <c r="O528" s="3" t="s">
        <v>63</v>
      </c>
      <c r="P528" s="3" t="s">
        <v>64</v>
      </c>
      <c r="R528" s="3" t="s">
        <v>65</v>
      </c>
      <c r="S528" s="4">
        <v>2</v>
      </c>
      <c r="T528" s="4">
        <v>2</v>
      </c>
      <c r="U528" s="5" t="s">
        <v>6611</v>
      </c>
      <c r="V528" s="5" t="s">
        <v>6611</v>
      </c>
      <c r="W528" s="5" t="s">
        <v>161</v>
      </c>
      <c r="X528" s="5" t="s">
        <v>161</v>
      </c>
      <c r="Y528" s="4">
        <v>300</v>
      </c>
      <c r="Z528" s="4">
        <v>279</v>
      </c>
      <c r="AA528" s="4">
        <v>289</v>
      </c>
      <c r="AB528" s="4">
        <v>1</v>
      </c>
      <c r="AC528" s="4">
        <v>1</v>
      </c>
      <c r="AD528" s="4">
        <v>3</v>
      </c>
      <c r="AE528" s="4">
        <v>3</v>
      </c>
      <c r="AF528" s="4">
        <v>2</v>
      </c>
      <c r="AG528" s="4">
        <v>2</v>
      </c>
      <c r="AH528" s="4">
        <v>1</v>
      </c>
      <c r="AI528" s="4">
        <v>1</v>
      </c>
      <c r="AJ528" s="4">
        <v>2</v>
      </c>
      <c r="AK528" s="4">
        <v>2</v>
      </c>
      <c r="AL528" s="4">
        <v>0</v>
      </c>
      <c r="AM528" s="4">
        <v>0</v>
      </c>
      <c r="AN528" s="4">
        <v>0</v>
      </c>
      <c r="AO528" s="4">
        <v>0</v>
      </c>
      <c r="AP528" s="3" t="s">
        <v>58</v>
      </c>
      <c r="AQ528" s="3" t="s">
        <v>68</v>
      </c>
      <c r="AR528" s="6" t="str">
        <f>HYPERLINK("http://catalog.hathitrust.org/Record/000575371","HathiTrust Record")</f>
        <v>HathiTrust Record</v>
      </c>
      <c r="AS528" s="6" t="str">
        <f>HYPERLINK("https://creighton-primo.hosted.exlibrisgroup.com/primo-explore/search?tab=default_tab&amp;search_scope=EVERYTHING&amp;vid=01CRU&amp;lang=en_US&amp;offset=0&amp;query=any,contains,991000661279702656","Catalog Record")</f>
        <v>Catalog Record</v>
      </c>
      <c r="AT528" s="6" t="str">
        <f>HYPERLINK("http://www.worldcat.org/oclc/12238457","WorldCat Record")</f>
        <v>WorldCat Record</v>
      </c>
      <c r="AU528" s="3" t="s">
        <v>6612</v>
      </c>
      <c r="AV528" s="3" t="s">
        <v>6613</v>
      </c>
      <c r="AW528" s="3" t="s">
        <v>6614</v>
      </c>
      <c r="AX528" s="3" t="s">
        <v>6614</v>
      </c>
      <c r="AY528" s="3" t="s">
        <v>6615</v>
      </c>
      <c r="AZ528" s="3" t="s">
        <v>73</v>
      </c>
      <c r="BB528" s="3" t="s">
        <v>6616</v>
      </c>
      <c r="BC528" s="3" t="s">
        <v>6617</v>
      </c>
      <c r="BD528" s="3" t="s">
        <v>6618</v>
      </c>
    </row>
    <row r="529" spans="1:56" ht="31.5" customHeight="1" x14ac:dyDescent="0.25">
      <c r="A529" s="7" t="s">
        <v>58</v>
      </c>
      <c r="B529" s="2" t="s">
        <v>6619</v>
      </c>
      <c r="C529" s="2" t="s">
        <v>6620</v>
      </c>
      <c r="D529" s="2" t="s">
        <v>6621</v>
      </c>
      <c r="F529" s="3" t="s">
        <v>58</v>
      </c>
      <c r="G529" s="3" t="s">
        <v>59</v>
      </c>
      <c r="H529" s="3" t="s">
        <v>58</v>
      </c>
      <c r="I529" s="3" t="s">
        <v>58</v>
      </c>
      <c r="J529" s="3" t="s">
        <v>60</v>
      </c>
      <c r="K529" s="2" t="s">
        <v>6622</v>
      </c>
      <c r="L529" s="2" t="s">
        <v>6623</v>
      </c>
      <c r="M529" s="3" t="s">
        <v>715</v>
      </c>
      <c r="O529" s="3" t="s">
        <v>63</v>
      </c>
      <c r="P529" s="3" t="s">
        <v>796</v>
      </c>
      <c r="R529" s="3" t="s">
        <v>65</v>
      </c>
      <c r="S529" s="4">
        <v>12</v>
      </c>
      <c r="T529" s="4">
        <v>12</v>
      </c>
      <c r="U529" s="5" t="s">
        <v>6624</v>
      </c>
      <c r="V529" s="5" t="s">
        <v>6624</v>
      </c>
      <c r="W529" s="5" t="s">
        <v>6625</v>
      </c>
      <c r="X529" s="5" t="s">
        <v>6625</v>
      </c>
      <c r="Y529" s="4">
        <v>175</v>
      </c>
      <c r="Z529" s="4">
        <v>77</v>
      </c>
      <c r="AA529" s="4">
        <v>618</v>
      </c>
      <c r="AB529" s="4">
        <v>1</v>
      </c>
      <c r="AC529" s="4">
        <v>3</v>
      </c>
      <c r="AD529" s="4">
        <v>2</v>
      </c>
      <c r="AE529" s="4">
        <v>18</v>
      </c>
      <c r="AF529" s="4">
        <v>0</v>
      </c>
      <c r="AG529" s="4">
        <v>4</v>
      </c>
      <c r="AH529" s="4">
        <v>1</v>
      </c>
      <c r="AI529" s="4">
        <v>5</v>
      </c>
      <c r="AJ529" s="4">
        <v>1</v>
      </c>
      <c r="AK529" s="4">
        <v>11</v>
      </c>
      <c r="AL529" s="4">
        <v>0</v>
      </c>
      <c r="AM529" s="4">
        <v>2</v>
      </c>
      <c r="AN529" s="4">
        <v>0</v>
      </c>
      <c r="AO529" s="4">
        <v>0</v>
      </c>
      <c r="AP529" s="3" t="s">
        <v>58</v>
      </c>
      <c r="AQ529" s="3" t="s">
        <v>58</v>
      </c>
      <c r="AS529" s="6" t="str">
        <f>HYPERLINK("https://creighton-primo.hosted.exlibrisgroup.com/primo-explore/search?tab=default_tab&amp;search_scope=EVERYTHING&amp;vid=01CRU&amp;lang=en_US&amp;offset=0&amp;query=any,contains,991003731969702656","Catalog Record")</f>
        <v>Catalog Record</v>
      </c>
      <c r="AT529" s="6" t="str">
        <f>HYPERLINK("http://www.worldcat.org/oclc/1383556","WorldCat Record")</f>
        <v>WorldCat Record</v>
      </c>
      <c r="AU529" s="3" t="s">
        <v>6626</v>
      </c>
      <c r="AV529" s="3" t="s">
        <v>6627</v>
      </c>
      <c r="AW529" s="3" t="s">
        <v>6628</v>
      </c>
      <c r="AX529" s="3" t="s">
        <v>6628</v>
      </c>
      <c r="AY529" s="3" t="s">
        <v>6629</v>
      </c>
      <c r="AZ529" s="3" t="s">
        <v>73</v>
      </c>
      <c r="BC529" s="3" t="s">
        <v>6630</v>
      </c>
      <c r="BD529" s="3" t="s">
        <v>6631</v>
      </c>
    </row>
    <row r="530" spans="1:56" ht="31.5" customHeight="1" x14ac:dyDescent="0.25">
      <c r="A530" s="7" t="s">
        <v>58</v>
      </c>
      <c r="B530" s="2" t="s">
        <v>6632</v>
      </c>
      <c r="C530" s="2" t="s">
        <v>6633</v>
      </c>
      <c r="D530" s="2" t="s">
        <v>6634</v>
      </c>
      <c r="F530" s="3" t="s">
        <v>58</v>
      </c>
      <c r="G530" s="3" t="s">
        <v>59</v>
      </c>
      <c r="H530" s="3" t="s">
        <v>58</v>
      </c>
      <c r="I530" s="3" t="s">
        <v>58</v>
      </c>
      <c r="J530" s="3" t="s">
        <v>60</v>
      </c>
      <c r="K530" s="2" t="s">
        <v>6635</v>
      </c>
      <c r="L530" s="2" t="s">
        <v>6636</v>
      </c>
      <c r="M530" s="3" t="s">
        <v>877</v>
      </c>
      <c r="O530" s="3" t="s">
        <v>63</v>
      </c>
      <c r="P530" s="3" t="s">
        <v>64</v>
      </c>
      <c r="R530" s="3" t="s">
        <v>65</v>
      </c>
      <c r="S530" s="4">
        <v>3</v>
      </c>
      <c r="T530" s="4">
        <v>3</v>
      </c>
      <c r="U530" s="5" t="s">
        <v>6624</v>
      </c>
      <c r="V530" s="5" t="s">
        <v>6624</v>
      </c>
      <c r="W530" s="5" t="s">
        <v>161</v>
      </c>
      <c r="X530" s="5" t="s">
        <v>161</v>
      </c>
      <c r="Y530" s="4">
        <v>640</v>
      </c>
      <c r="Z530" s="4">
        <v>607</v>
      </c>
      <c r="AA530" s="4">
        <v>758</v>
      </c>
      <c r="AB530" s="4">
        <v>3</v>
      </c>
      <c r="AC530" s="4">
        <v>3</v>
      </c>
      <c r="AD530" s="4">
        <v>14</v>
      </c>
      <c r="AE530" s="4">
        <v>14</v>
      </c>
      <c r="AF530" s="4">
        <v>6</v>
      </c>
      <c r="AG530" s="4">
        <v>6</v>
      </c>
      <c r="AH530" s="4">
        <v>3</v>
      </c>
      <c r="AI530" s="4">
        <v>3</v>
      </c>
      <c r="AJ530" s="4">
        <v>6</v>
      </c>
      <c r="AK530" s="4">
        <v>6</v>
      </c>
      <c r="AL530" s="4">
        <v>1</v>
      </c>
      <c r="AM530" s="4">
        <v>1</v>
      </c>
      <c r="AN530" s="4">
        <v>0</v>
      </c>
      <c r="AO530" s="4">
        <v>0</v>
      </c>
      <c r="AP530" s="3" t="s">
        <v>58</v>
      </c>
      <c r="AQ530" s="3" t="s">
        <v>68</v>
      </c>
      <c r="AR530" s="6" t="str">
        <f>HYPERLINK("http://catalog.hathitrust.org/Record/000628225","HathiTrust Record")</f>
        <v>HathiTrust Record</v>
      </c>
      <c r="AS530" s="6" t="str">
        <f>HYPERLINK("https://creighton-primo.hosted.exlibrisgroup.com/primo-explore/search?tab=default_tab&amp;search_scope=EVERYTHING&amp;vid=01CRU&amp;lang=en_US&amp;offset=0&amp;query=any,contains,991000510559702656","Catalog Record")</f>
        <v>Catalog Record</v>
      </c>
      <c r="AT530" s="6" t="str">
        <f>HYPERLINK("http://www.worldcat.org/oclc/11235687","WorldCat Record")</f>
        <v>WorldCat Record</v>
      </c>
      <c r="AU530" s="3" t="s">
        <v>6637</v>
      </c>
      <c r="AV530" s="3" t="s">
        <v>6638</v>
      </c>
      <c r="AW530" s="3" t="s">
        <v>6639</v>
      </c>
      <c r="AX530" s="3" t="s">
        <v>6639</v>
      </c>
      <c r="AY530" s="3" t="s">
        <v>6640</v>
      </c>
      <c r="AZ530" s="3" t="s">
        <v>73</v>
      </c>
      <c r="BB530" s="3" t="s">
        <v>6641</v>
      </c>
      <c r="BC530" s="3" t="s">
        <v>6642</v>
      </c>
      <c r="BD530" s="3" t="s">
        <v>6643</v>
      </c>
    </row>
    <row r="531" spans="1:56" ht="31.5" customHeight="1" x14ac:dyDescent="0.25">
      <c r="A531" s="7" t="s">
        <v>58</v>
      </c>
      <c r="B531" s="2" t="s">
        <v>6644</v>
      </c>
      <c r="C531" s="2" t="s">
        <v>6645</v>
      </c>
      <c r="D531" s="2" t="s">
        <v>6646</v>
      </c>
      <c r="F531" s="3" t="s">
        <v>58</v>
      </c>
      <c r="G531" s="3" t="s">
        <v>59</v>
      </c>
      <c r="H531" s="3" t="s">
        <v>58</v>
      </c>
      <c r="I531" s="3" t="s">
        <v>58</v>
      </c>
      <c r="J531" s="3" t="s">
        <v>60</v>
      </c>
      <c r="K531" s="2" t="s">
        <v>6647</v>
      </c>
      <c r="L531" s="2" t="s">
        <v>6648</v>
      </c>
      <c r="M531" s="3" t="s">
        <v>1235</v>
      </c>
      <c r="O531" s="3" t="s">
        <v>63</v>
      </c>
      <c r="P531" s="3" t="s">
        <v>186</v>
      </c>
      <c r="Q531" s="2" t="s">
        <v>6649</v>
      </c>
      <c r="R531" s="3" t="s">
        <v>65</v>
      </c>
      <c r="S531" s="4">
        <v>1</v>
      </c>
      <c r="T531" s="4">
        <v>1</v>
      </c>
      <c r="U531" s="5" t="s">
        <v>115</v>
      </c>
      <c r="V531" s="5" t="s">
        <v>115</v>
      </c>
      <c r="W531" s="5" t="s">
        <v>115</v>
      </c>
      <c r="X531" s="5" t="s">
        <v>115</v>
      </c>
      <c r="Y531" s="4">
        <v>51</v>
      </c>
      <c r="Z531" s="4">
        <v>40</v>
      </c>
      <c r="AA531" s="4">
        <v>66</v>
      </c>
      <c r="AB531" s="4">
        <v>1</v>
      </c>
      <c r="AC531" s="4">
        <v>1</v>
      </c>
      <c r="AD531" s="4">
        <v>1</v>
      </c>
      <c r="AE531" s="4">
        <v>3</v>
      </c>
      <c r="AF531" s="4">
        <v>0</v>
      </c>
      <c r="AG531" s="4">
        <v>1</v>
      </c>
      <c r="AH531" s="4">
        <v>0</v>
      </c>
      <c r="AI531" s="4">
        <v>1</v>
      </c>
      <c r="AJ531" s="4">
        <v>1</v>
      </c>
      <c r="AK531" s="4">
        <v>2</v>
      </c>
      <c r="AL531" s="4">
        <v>0</v>
      </c>
      <c r="AM531" s="4">
        <v>0</v>
      </c>
      <c r="AN531" s="4">
        <v>0</v>
      </c>
      <c r="AO531" s="4">
        <v>0</v>
      </c>
      <c r="AP531" s="3" t="s">
        <v>58</v>
      </c>
      <c r="AQ531" s="3" t="s">
        <v>58</v>
      </c>
      <c r="AS531" s="6" t="str">
        <f>HYPERLINK("https://creighton-primo.hosted.exlibrisgroup.com/primo-explore/search?tab=default_tab&amp;search_scope=EVERYTHING&amp;vid=01CRU&amp;lang=en_US&amp;offset=0&amp;query=any,contains,991005285279702656","Catalog Record")</f>
        <v>Catalog Record</v>
      </c>
      <c r="AT531" s="6" t="str">
        <f>HYPERLINK("http://www.worldcat.org/oclc/52152350","WorldCat Record")</f>
        <v>WorldCat Record</v>
      </c>
      <c r="AU531" s="3" t="s">
        <v>6650</v>
      </c>
      <c r="AV531" s="3" t="s">
        <v>6651</v>
      </c>
      <c r="AW531" s="3" t="s">
        <v>6652</v>
      </c>
      <c r="AX531" s="3" t="s">
        <v>6652</v>
      </c>
      <c r="AY531" s="3" t="s">
        <v>6653</v>
      </c>
      <c r="AZ531" s="3" t="s">
        <v>73</v>
      </c>
      <c r="BB531" s="3" t="s">
        <v>6654</v>
      </c>
      <c r="BC531" s="3" t="s">
        <v>6655</v>
      </c>
      <c r="BD531" s="3" t="s">
        <v>6656</v>
      </c>
    </row>
    <row r="532" spans="1:56" ht="31.5" customHeight="1" x14ac:dyDescent="0.25">
      <c r="A532" s="7" t="s">
        <v>58</v>
      </c>
      <c r="B532" s="2" t="s">
        <v>6657</v>
      </c>
      <c r="C532" s="2" t="s">
        <v>6658</v>
      </c>
      <c r="D532" s="2" t="s">
        <v>6659</v>
      </c>
      <c r="F532" s="3" t="s">
        <v>58</v>
      </c>
      <c r="G532" s="3" t="s">
        <v>59</v>
      </c>
      <c r="H532" s="3" t="s">
        <v>58</v>
      </c>
      <c r="I532" s="3" t="s">
        <v>58</v>
      </c>
      <c r="J532" s="3" t="s">
        <v>60</v>
      </c>
      <c r="K532" s="2" t="s">
        <v>2544</v>
      </c>
      <c r="L532" s="2" t="s">
        <v>6367</v>
      </c>
      <c r="M532" s="3" t="s">
        <v>1912</v>
      </c>
      <c r="O532" s="3" t="s">
        <v>63</v>
      </c>
      <c r="P532" s="3" t="s">
        <v>129</v>
      </c>
      <c r="R532" s="3" t="s">
        <v>65</v>
      </c>
      <c r="S532" s="4">
        <v>2</v>
      </c>
      <c r="T532" s="4">
        <v>2</v>
      </c>
      <c r="U532" s="5" t="s">
        <v>6660</v>
      </c>
      <c r="V532" s="5" t="s">
        <v>6660</v>
      </c>
      <c r="W532" s="5" t="s">
        <v>161</v>
      </c>
      <c r="X532" s="5" t="s">
        <v>161</v>
      </c>
      <c r="Y532" s="4">
        <v>633</v>
      </c>
      <c r="Z532" s="4">
        <v>567</v>
      </c>
      <c r="AA532" s="4">
        <v>579</v>
      </c>
      <c r="AB532" s="4">
        <v>6</v>
      </c>
      <c r="AC532" s="4">
        <v>6</v>
      </c>
      <c r="AD532" s="4">
        <v>15</v>
      </c>
      <c r="AE532" s="4">
        <v>16</v>
      </c>
      <c r="AF532" s="4">
        <v>3</v>
      </c>
      <c r="AG532" s="4">
        <v>4</v>
      </c>
      <c r="AH532" s="4">
        <v>4</v>
      </c>
      <c r="AI532" s="4">
        <v>4</v>
      </c>
      <c r="AJ532" s="4">
        <v>8</v>
      </c>
      <c r="AK532" s="4">
        <v>8</v>
      </c>
      <c r="AL532" s="4">
        <v>4</v>
      </c>
      <c r="AM532" s="4">
        <v>4</v>
      </c>
      <c r="AN532" s="4">
        <v>0</v>
      </c>
      <c r="AO532" s="4">
        <v>0</v>
      </c>
      <c r="AP532" s="3" t="s">
        <v>58</v>
      </c>
      <c r="AQ532" s="3" t="s">
        <v>68</v>
      </c>
      <c r="AR532" s="6" t="str">
        <f>HYPERLINK("http://catalog.hathitrust.org/Record/000386916","HathiTrust Record")</f>
        <v>HathiTrust Record</v>
      </c>
      <c r="AS532" s="6" t="str">
        <f>HYPERLINK("https://creighton-primo.hosted.exlibrisgroup.com/primo-explore/search?tab=default_tab&amp;search_scope=EVERYTHING&amp;vid=01CRU&amp;lang=en_US&amp;offset=0&amp;query=any,contains,991000710359702656","Catalog Record")</f>
        <v>Catalog Record</v>
      </c>
      <c r="AT532" s="6" t="str">
        <f>HYPERLINK("http://www.worldcat.org/oclc/12582170","WorldCat Record")</f>
        <v>WorldCat Record</v>
      </c>
      <c r="AU532" s="3" t="s">
        <v>6661</v>
      </c>
      <c r="AV532" s="3" t="s">
        <v>6662</v>
      </c>
      <c r="AW532" s="3" t="s">
        <v>6663</v>
      </c>
      <c r="AX532" s="3" t="s">
        <v>6663</v>
      </c>
      <c r="AY532" s="3" t="s">
        <v>6664</v>
      </c>
      <c r="AZ532" s="3" t="s">
        <v>73</v>
      </c>
      <c r="BB532" s="3" t="s">
        <v>6665</v>
      </c>
      <c r="BC532" s="3" t="s">
        <v>6666</v>
      </c>
      <c r="BD532" s="3" t="s">
        <v>6667</v>
      </c>
    </row>
    <row r="533" spans="1:56" ht="31.5" customHeight="1" x14ac:dyDescent="0.25">
      <c r="A533" s="7" t="s">
        <v>58</v>
      </c>
      <c r="B533" s="2" t="s">
        <v>6668</v>
      </c>
      <c r="C533" s="2" t="s">
        <v>6669</v>
      </c>
      <c r="D533" s="2" t="s">
        <v>6670</v>
      </c>
      <c r="F533" s="3" t="s">
        <v>58</v>
      </c>
      <c r="G533" s="3" t="s">
        <v>59</v>
      </c>
      <c r="H533" s="3" t="s">
        <v>58</v>
      </c>
      <c r="I533" s="3" t="s">
        <v>58</v>
      </c>
      <c r="J533" s="3" t="s">
        <v>60</v>
      </c>
      <c r="K533" s="2" t="s">
        <v>6671</v>
      </c>
      <c r="L533" s="2" t="s">
        <v>6672</v>
      </c>
      <c r="M533" s="3" t="s">
        <v>1000</v>
      </c>
      <c r="N533" s="2" t="s">
        <v>6673</v>
      </c>
      <c r="O533" s="3" t="s">
        <v>63</v>
      </c>
      <c r="P533" s="3" t="s">
        <v>129</v>
      </c>
      <c r="R533" s="3" t="s">
        <v>65</v>
      </c>
      <c r="S533" s="4">
        <v>2</v>
      </c>
      <c r="T533" s="4">
        <v>2</v>
      </c>
      <c r="U533" s="5" t="s">
        <v>6674</v>
      </c>
      <c r="V533" s="5" t="s">
        <v>6674</v>
      </c>
      <c r="W533" s="5" t="s">
        <v>6675</v>
      </c>
      <c r="X533" s="5" t="s">
        <v>6675</v>
      </c>
      <c r="Y533" s="4">
        <v>959</v>
      </c>
      <c r="Z533" s="4">
        <v>903</v>
      </c>
      <c r="AA533" s="4">
        <v>1033</v>
      </c>
      <c r="AB533" s="4">
        <v>9</v>
      </c>
      <c r="AC533" s="4">
        <v>11</v>
      </c>
      <c r="AD533" s="4">
        <v>23</v>
      </c>
      <c r="AE533" s="4">
        <v>25</v>
      </c>
      <c r="AF533" s="4">
        <v>11</v>
      </c>
      <c r="AG533" s="4">
        <v>12</v>
      </c>
      <c r="AH533" s="4">
        <v>4</v>
      </c>
      <c r="AI533" s="4">
        <v>5</v>
      </c>
      <c r="AJ533" s="4">
        <v>6</v>
      </c>
      <c r="AK533" s="4">
        <v>6</v>
      </c>
      <c r="AL533" s="4">
        <v>6</v>
      </c>
      <c r="AM533" s="4">
        <v>7</v>
      </c>
      <c r="AN533" s="4">
        <v>0</v>
      </c>
      <c r="AO533" s="4">
        <v>0</v>
      </c>
      <c r="AP533" s="3" t="s">
        <v>58</v>
      </c>
      <c r="AQ533" s="3" t="s">
        <v>58</v>
      </c>
      <c r="AS533" s="6" t="str">
        <f>HYPERLINK("https://creighton-primo.hosted.exlibrisgroup.com/primo-explore/search?tab=default_tab&amp;search_scope=EVERYTHING&amp;vid=01CRU&amp;lang=en_US&amp;offset=0&amp;query=any,contains,991004719399702656","Catalog Record")</f>
        <v>Catalog Record</v>
      </c>
      <c r="AT533" s="6" t="str">
        <f>HYPERLINK("http://www.worldcat.org/oclc/60821069","WorldCat Record")</f>
        <v>WorldCat Record</v>
      </c>
      <c r="AU533" s="3" t="s">
        <v>6676</v>
      </c>
      <c r="AV533" s="3" t="s">
        <v>6677</v>
      </c>
      <c r="AW533" s="3" t="s">
        <v>6678</v>
      </c>
      <c r="AX533" s="3" t="s">
        <v>6678</v>
      </c>
      <c r="AY533" s="3" t="s">
        <v>6679</v>
      </c>
      <c r="AZ533" s="3" t="s">
        <v>73</v>
      </c>
      <c r="BB533" s="3" t="s">
        <v>6680</v>
      </c>
      <c r="BC533" s="3" t="s">
        <v>6681</v>
      </c>
      <c r="BD533" s="3" t="s">
        <v>6682</v>
      </c>
    </row>
    <row r="534" spans="1:56" ht="31.5" customHeight="1" x14ac:dyDescent="0.25">
      <c r="A534" s="7" t="s">
        <v>58</v>
      </c>
      <c r="B534" s="2" t="s">
        <v>6683</v>
      </c>
      <c r="C534" s="2" t="s">
        <v>6684</v>
      </c>
      <c r="D534" s="2" t="s">
        <v>6685</v>
      </c>
      <c r="F534" s="3" t="s">
        <v>58</v>
      </c>
      <c r="G534" s="3" t="s">
        <v>59</v>
      </c>
      <c r="H534" s="3" t="s">
        <v>58</v>
      </c>
      <c r="I534" s="3" t="s">
        <v>58</v>
      </c>
      <c r="J534" s="3" t="s">
        <v>60</v>
      </c>
      <c r="L534" s="2" t="s">
        <v>6686</v>
      </c>
      <c r="M534" s="3" t="s">
        <v>821</v>
      </c>
      <c r="O534" s="3" t="s">
        <v>63</v>
      </c>
      <c r="P534" s="3" t="s">
        <v>459</v>
      </c>
      <c r="R534" s="3" t="s">
        <v>65</v>
      </c>
      <c r="S534" s="4">
        <v>2</v>
      </c>
      <c r="T534" s="4">
        <v>2</v>
      </c>
      <c r="U534" s="5" t="s">
        <v>3905</v>
      </c>
      <c r="V534" s="5" t="s">
        <v>3905</v>
      </c>
      <c r="W534" s="5" t="s">
        <v>6687</v>
      </c>
      <c r="X534" s="5" t="s">
        <v>6687</v>
      </c>
      <c r="Y534" s="4">
        <v>199</v>
      </c>
      <c r="Z534" s="4">
        <v>145</v>
      </c>
      <c r="AA534" s="4">
        <v>157</v>
      </c>
      <c r="AB534" s="4">
        <v>2</v>
      </c>
      <c r="AC534" s="4">
        <v>2</v>
      </c>
      <c r="AD534" s="4">
        <v>3</v>
      </c>
      <c r="AE534" s="4">
        <v>3</v>
      </c>
      <c r="AF534" s="4">
        <v>0</v>
      </c>
      <c r="AG534" s="4">
        <v>0</v>
      </c>
      <c r="AH534" s="4">
        <v>0</v>
      </c>
      <c r="AI534" s="4">
        <v>0</v>
      </c>
      <c r="AJ534" s="4">
        <v>2</v>
      </c>
      <c r="AK534" s="4">
        <v>2</v>
      </c>
      <c r="AL534" s="4">
        <v>1</v>
      </c>
      <c r="AM534" s="4">
        <v>1</v>
      </c>
      <c r="AN534" s="4">
        <v>0</v>
      </c>
      <c r="AO534" s="4">
        <v>0</v>
      </c>
      <c r="AP534" s="3" t="s">
        <v>58</v>
      </c>
      <c r="AQ534" s="3" t="s">
        <v>68</v>
      </c>
      <c r="AR534" s="6" t="str">
        <f>HYPERLINK("http://catalog.hathitrust.org/Record/000361744","HathiTrust Record")</f>
        <v>HathiTrust Record</v>
      </c>
      <c r="AS534" s="6" t="str">
        <f>HYPERLINK("https://creighton-primo.hosted.exlibrisgroup.com/primo-explore/search?tab=default_tab&amp;search_scope=EVERYTHING&amp;vid=01CRU&amp;lang=en_US&amp;offset=0&amp;query=any,contains,991000487709702656","Catalog Record")</f>
        <v>Catalog Record</v>
      </c>
      <c r="AT534" s="6" t="str">
        <f>HYPERLINK("http://www.worldcat.org/oclc/11089944","WorldCat Record")</f>
        <v>WorldCat Record</v>
      </c>
      <c r="AU534" s="3" t="s">
        <v>6688</v>
      </c>
      <c r="AV534" s="3" t="s">
        <v>6689</v>
      </c>
      <c r="AW534" s="3" t="s">
        <v>6690</v>
      </c>
      <c r="AX534" s="3" t="s">
        <v>6690</v>
      </c>
      <c r="AY534" s="3" t="s">
        <v>6691</v>
      </c>
      <c r="AZ534" s="3" t="s">
        <v>73</v>
      </c>
      <c r="BB534" s="3" t="s">
        <v>6692</v>
      </c>
      <c r="BC534" s="3" t="s">
        <v>6693</v>
      </c>
      <c r="BD534" s="3" t="s">
        <v>6694</v>
      </c>
    </row>
    <row r="535" spans="1:56" ht="31.5" customHeight="1" x14ac:dyDescent="0.25">
      <c r="A535" s="7" t="s">
        <v>58</v>
      </c>
      <c r="B535" s="2" t="s">
        <v>6695</v>
      </c>
      <c r="C535" s="2" t="s">
        <v>6696</v>
      </c>
      <c r="D535" s="2" t="s">
        <v>6697</v>
      </c>
      <c r="F535" s="3" t="s">
        <v>58</v>
      </c>
      <c r="G535" s="3" t="s">
        <v>59</v>
      </c>
      <c r="H535" s="3" t="s">
        <v>58</v>
      </c>
      <c r="I535" s="3" t="s">
        <v>58</v>
      </c>
      <c r="J535" s="3" t="s">
        <v>60</v>
      </c>
      <c r="K535" s="2" t="s">
        <v>6698</v>
      </c>
      <c r="L535" s="2" t="s">
        <v>6699</v>
      </c>
      <c r="M535" s="3" t="s">
        <v>185</v>
      </c>
      <c r="O535" s="3" t="s">
        <v>63</v>
      </c>
      <c r="P535" s="3" t="s">
        <v>459</v>
      </c>
      <c r="Q535" s="2" t="s">
        <v>6700</v>
      </c>
      <c r="R535" s="3" t="s">
        <v>65</v>
      </c>
      <c r="S535" s="4">
        <v>3</v>
      </c>
      <c r="T535" s="4">
        <v>3</v>
      </c>
      <c r="U535" s="5" t="s">
        <v>6701</v>
      </c>
      <c r="V535" s="5" t="s">
        <v>6701</v>
      </c>
      <c r="W535" s="5" t="s">
        <v>6702</v>
      </c>
      <c r="X535" s="5" t="s">
        <v>6702</v>
      </c>
      <c r="Y535" s="4">
        <v>122</v>
      </c>
      <c r="Z535" s="4">
        <v>90</v>
      </c>
      <c r="AA535" s="4">
        <v>92</v>
      </c>
      <c r="AB535" s="4">
        <v>1</v>
      </c>
      <c r="AC535" s="4">
        <v>1</v>
      </c>
      <c r="AD535" s="4">
        <v>2</v>
      </c>
      <c r="AE535" s="4">
        <v>2</v>
      </c>
      <c r="AF535" s="4">
        <v>0</v>
      </c>
      <c r="AG535" s="4">
        <v>0</v>
      </c>
      <c r="AH535" s="4">
        <v>1</v>
      </c>
      <c r="AI535" s="4">
        <v>1</v>
      </c>
      <c r="AJ535" s="4">
        <v>2</v>
      </c>
      <c r="AK535" s="4">
        <v>2</v>
      </c>
      <c r="AL535" s="4">
        <v>0</v>
      </c>
      <c r="AM535" s="4">
        <v>0</v>
      </c>
      <c r="AN535" s="4">
        <v>0</v>
      </c>
      <c r="AO535" s="4">
        <v>0</v>
      </c>
      <c r="AP535" s="3" t="s">
        <v>58</v>
      </c>
      <c r="AQ535" s="3" t="s">
        <v>68</v>
      </c>
      <c r="AR535" s="6" t="str">
        <f>HYPERLINK("http://catalog.hathitrust.org/Record/001087514","HathiTrust Record")</f>
        <v>HathiTrust Record</v>
      </c>
      <c r="AS535" s="6" t="str">
        <f>HYPERLINK("https://creighton-primo.hosted.exlibrisgroup.com/primo-explore/search?tab=default_tab&amp;search_scope=EVERYTHING&amp;vid=01CRU&amp;lang=en_US&amp;offset=0&amp;query=any,contains,991001354969702656","Catalog Record")</f>
        <v>Catalog Record</v>
      </c>
      <c r="AT535" s="6" t="str">
        <f>HYPERLINK("http://www.worldcat.org/oclc/18464174","WorldCat Record")</f>
        <v>WorldCat Record</v>
      </c>
      <c r="AU535" s="3" t="s">
        <v>6703</v>
      </c>
      <c r="AV535" s="3" t="s">
        <v>6704</v>
      </c>
      <c r="AW535" s="3" t="s">
        <v>6705</v>
      </c>
      <c r="AX535" s="3" t="s">
        <v>6705</v>
      </c>
      <c r="AY535" s="3" t="s">
        <v>6706</v>
      </c>
      <c r="AZ535" s="3" t="s">
        <v>73</v>
      </c>
      <c r="BB535" s="3" t="s">
        <v>6707</v>
      </c>
      <c r="BC535" s="3" t="s">
        <v>6708</v>
      </c>
      <c r="BD535" s="3" t="s">
        <v>6709</v>
      </c>
    </row>
    <row r="536" spans="1:56" ht="31.5" customHeight="1" x14ac:dyDescent="0.25">
      <c r="A536" s="7" t="s">
        <v>58</v>
      </c>
      <c r="B536" s="2" t="s">
        <v>6710</v>
      </c>
      <c r="C536" s="2" t="s">
        <v>6711</v>
      </c>
      <c r="D536" s="2" t="s">
        <v>6712</v>
      </c>
      <c r="F536" s="3" t="s">
        <v>58</v>
      </c>
      <c r="G536" s="3" t="s">
        <v>59</v>
      </c>
      <c r="H536" s="3" t="s">
        <v>58</v>
      </c>
      <c r="I536" s="3" t="s">
        <v>58</v>
      </c>
      <c r="J536" s="3" t="s">
        <v>60</v>
      </c>
      <c r="L536" s="2" t="s">
        <v>6713</v>
      </c>
      <c r="M536" s="3" t="s">
        <v>159</v>
      </c>
      <c r="O536" s="3" t="s">
        <v>63</v>
      </c>
      <c r="P536" s="3" t="s">
        <v>186</v>
      </c>
      <c r="R536" s="3" t="s">
        <v>65</v>
      </c>
      <c r="S536" s="4">
        <v>2</v>
      </c>
      <c r="T536" s="4">
        <v>2</v>
      </c>
      <c r="U536" s="5" t="s">
        <v>6714</v>
      </c>
      <c r="V536" s="5" t="s">
        <v>6714</v>
      </c>
      <c r="W536" s="5" t="s">
        <v>3853</v>
      </c>
      <c r="X536" s="5" t="s">
        <v>3853</v>
      </c>
      <c r="Y536" s="4">
        <v>364</v>
      </c>
      <c r="Z536" s="4">
        <v>248</v>
      </c>
      <c r="AA536" s="4">
        <v>266</v>
      </c>
      <c r="AB536" s="4">
        <v>2</v>
      </c>
      <c r="AC536" s="4">
        <v>2</v>
      </c>
      <c r="AD536" s="4">
        <v>8</v>
      </c>
      <c r="AE536" s="4">
        <v>10</v>
      </c>
      <c r="AF536" s="4">
        <v>1</v>
      </c>
      <c r="AG536" s="4">
        <v>1</v>
      </c>
      <c r="AH536" s="4">
        <v>2</v>
      </c>
      <c r="AI536" s="4">
        <v>2</v>
      </c>
      <c r="AJ536" s="4">
        <v>5</v>
      </c>
      <c r="AK536" s="4">
        <v>7</v>
      </c>
      <c r="AL536" s="4">
        <v>1</v>
      </c>
      <c r="AM536" s="4">
        <v>1</v>
      </c>
      <c r="AN536" s="4">
        <v>0</v>
      </c>
      <c r="AO536" s="4">
        <v>0</v>
      </c>
      <c r="AP536" s="3" t="s">
        <v>58</v>
      </c>
      <c r="AQ536" s="3" t="s">
        <v>58</v>
      </c>
      <c r="AS536" s="6" t="str">
        <f>HYPERLINK("https://creighton-primo.hosted.exlibrisgroup.com/primo-explore/search?tab=default_tab&amp;search_scope=EVERYTHING&amp;vid=01CRU&amp;lang=en_US&amp;offset=0&amp;query=any,contains,991000205369702656","Catalog Record")</f>
        <v>Catalog Record</v>
      </c>
      <c r="AT536" s="6" t="str">
        <f>HYPERLINK("http://www.worldcat.org/oclc/9488764","WorldCat Record")</f>
        <v>WorldCat Record</v>
      </c>
      <c r="AU536" s="3" t="s">
        <v>6715</v>
      </c>
      <c r="AV536" s="3" t="s">
        <v>6716</v>
      </c>
      <c r="AW536" s="3" t="s">
        <v>6717</v>
      </c>
      <c r="AX536" s="3" t="s">
        <v>6717</v>
      </c>
      <c r="AY536" s="3" t="s">
        <v>6718</v>
      </c>
      <c r="AZ536" s="3" t="s">
        <v>73</v>
      </c>
      <c r="BB536" s="3" t="s">
        <v>6719</v>
      </c>
      <c r="BC536" s="3" t="s">
        <v>6720</v>
      </c>
      <c r="BD536" s="3" t="s">
        <v>6721</v>
      </c>
    </row>
    <row r="537" spans="1:56" ht="31.5" customHeight="1" x14ac:dyDescent="0.25">
      <c r="A537" s="7" t="s">
        <v>58</v>
      </c>
      <c r="B537" s="2" t="s">
        <v>6722</v>
      </c>
      <c r="C537" s="2" t="s">
        <v>6723</v>
      </c>
      <c r="D537" s="2" t="s">
        <v>6724</v>
      </c>
      <c r="F537" s="3" t="s">
        <v>58</v>
      </c>
      <c r="G537" s="3" t="s">
        <v>59</v>
      </c>
      <c r="H537" s="3" t="s">
        <v>58</v>
      </c>
      <c r="I537" s="3" t="s">
        <v>58</v>
      </c>
      <c r="J537" s="3" t="s">
        <v>60</v>
      </c>
      <c r="L537" s="2" t="s">
        <v>6725</v>
      </c>
      <c r="M537" s="3" t="s">
        <v>3999</v>
      </c>
      <c r="O537" s="3" t="s">
        <v>63</v>
      </c>
      <c r="P537" s="3" t="s">
        <v>796</v>
      </c>
      <c r="R537" s="3" t="s">
        <v>65</v>
      </c>
      <c r="S537" s="4">
        <v>3</v>
      </c>
      <c r="T537" s="4">
        <v>3</v>
      </c>
      <c r="U537" s="5" t="s">
        <v>6726</v>
      </c>
      <c r="V537" s="5" t="s">
        <v>6726</v>
      </c>
      <c r="W537" s="5" t="s">
        <v>4002</v>
      </c>
      <c r="X537" s="5" t="s">
        <v>4002</v>
      </c>
      <c r="Y537" s="4">
        <v>84</v>
      </c>
      <c r="Z537" s="4">
        <v>71</v>
      </c>
      <c r="AA537" s="4">
        <v>168</v>
      </c>
      <c r="AB537" s="4">
        <v>3</v>
      </c>
      <c r="AC537" s="4">
        <v>3</v>
      </c>
      <c r="AD537" s="4">
        <v>5</v>
      </c>
      <c r="AE537" s="4">
        <v>10</v>
      </c>
      <c r="AF537" s="4">
        <v>2</v>
      </c>
      <c r="AG537" s="4">
        <v>4</v>
      </c>
      <c r="AH537" s="4">
        <v>1</v>
      </c>
      <c r="AI537" s="4">
        <v>1</v>
      </c>
      <c r="AJ537" s="4">
        <v>3</v>
      </c>
      <c r="AK537" s="4">
        <v>6</v>
      </c>
      <c r="AL537" s="4">
        <v>2</v>
      </c>
      <c r="AM537" s="4">
        <v>2</v>
      </c>
      <c r="AN537" s="4">
        <v>0</v>
      </c>
      <c r="AO537" s="4">
        <v>0</v>
      </c>
      <c r="AP537" s="3" t="s">
        <v>58</v>
      </c>
      <c r="AQ537" s="3" t="s">
        <v>68</v>
      </c>
      <c r="AR537" s="6" t="str">
        <f>HYPERLINK("http://catalog.hathitrust.org/Record/102073250","HathiTrust Record")</f>
        <v>HathiTrust Record</v>
      </c>
      <c r="AS537" s="6" t="str">
        <f>HYPERLINK("https://creighton-primo.hosted.exlibrisgroup.com/primo-explore/search?tab=default_tab&amp;search_scope=EVERYTHING&amp;vid=01CRU&amp;lang=en_US&amp;offset=0&amp;query=any,contains,991003095849702656","Catalog Record")</f>
        <v>Catalog Record</v>
      </c>
      <c r="AT537" s="6" t="str">
        <f>HYPERLINK("http://www.worldcat.org/oclc/645410","WorldCat Record")</f>
        <v>WorldCat Record</v>
      </c>
      <c r="AU537" s="3" t="s">
        <v>6727</v>
      </c>
      <c r="AV537" s="3" t="s">
        <v>6728</v>
      </c>
      <c r="AW537" s="3" t="s">
        <v>6729</v>
      </c>
      <c r="AX537" s="3" t="s">
        <v>6729</v>
      </c>
      <c r="AY537" s="3" t="s">
        <v>6730</v>
      </c>
      <c r="AZ537" s="3" t="s">
        <v>73</v>
      </c>
      <c r="BC537" s="3" t="s">
        <v>6731</v>
      </c>
      <c r="BD537" s="3" t="s">
        <v>6732</v>
      </c>
    </row>
    <row r="538" spans="1:56" ht="31.5" customHeight="1" x14ac:dyDescent="0.25">
      <c r="A538" s="7" t="s">
        <v>58</v>
      </c>
      <c r="B538" s="2" t="s">
        <v>6733</v>
      </c>
      <c r="C538" s="2" t="s">
        <v>6734</v>
      </c>
      <c r="D538" s="2" t="s">
        <v>6735</v>
      </c>
      <c r="F538" s="3" t="s">
        <v>58</v>
      </c>
      <c r="G538" s="3" t="s">
        <v>59</v>
      </c>
      <c r="H538" s="3" t="s">
        <v>58</v>
      </c>
      <c r="I538" s="3" t="s">
        <v>58</v>
      </c>
      <c r="J538" s="3" t="s">
        <v>60</v>
      </c>
      <c r="K538" s="2" t="s">
        <v>6736</v>
      </c>
      <c r="L538" s="2" t="s">
        <v>6737</v>
      </c>
      <c r="M538" s="3" t="s">
        <v>1522</v>
      </c>
      <c r="O538" s="3" t="s">
        <v>63</v>
      </c>
      <c r="P538" s="3" t="s">
        <v>444</v>
      </c>
      <c r="R538" s="3" t="s">
        <v>65</v>
      </c>
      <c r="S538" s="4">
        <v>1</v>
      </c>
      <c r="T538" s="4">
        <v>1</v>
      </c>
      <c r="U538" s="5" t="s">
        <v>4210</v>
      </c>
      <c r="V538" s="5" t="s">
        <v>4210</v>
      </c>
      <c r="W538" s="5" t="s">
        <v>4002</v>
      </c>
      <c r="X538" s="5" t="s">
        <v>4002</v>
      </c>
      <c r="Y538" s="4">
        <v>974</v>
      </c>
      <c r="Z538" s="4">
        <v>832</v>
      </c>
      <c r="AA538" s="4">
        <v>840</v>
      </c>
      <c r="AB538" s="4">
        <v>5</v>
      </c>
      <c r="AC538" s="4">
        <v>5</v>
      </c>
      <c r="AD538" s="4">
        <v>27</v>
      </c>
      <c r="AE538" s="4">
        <v>27</v>
      </c>
      <c r="AF538" s="4">
        <v>10</v>
      </c>
      <c r="AG538" s="4">
        <v>10</v>
      </c>
      <c r="AH538" s="4">
        <v>4</v>
      </c>
      <c r="AI538" s="4">
        <v>4</v>
      </c>
      <c r="AJ538" s="4">
        <v>14</v>
      </c>
      <c r="AK538" s="4">
        <v>14</v>
      </c>
      <c r="AL538" s="4">
        <v>4</v>
      </c>
      <c r="AM538" s="4">
        <v>4</v>
      </c>
      <c r="AN538" s="4">
        <v>0</v>
      </c>
      <c r="AO538" s="4">
        <v>0</v>
      </c>
      <c r="AP538" s="3" t="s">
        <v>58</v>
      </c>
      <c r="AQ538" s="3" t="s">
        <v>68</v>
      </c>
      <c r="AR538" s="6" t="str">
        <f>HYPERLINK("http://catalog.hathitrust.org/Record/001477329","HathiTrust Record")</f>
        <v>HathiTrust Record</v>
      </c>
      <c r="AS538" s="6" t="str">
        <f>HYPERLINK("https://creighton-primo.hosted.exlibrisgroup.com/primo-explore/search?tab=default_tab&amp;search_scope=EVERYTHING&amp;vid=01CRU&amp;lang=en_US&amp;offset=0&amp;query=any,contains,991004020109702656","Catalog Record")</f>
        <v>Catalog Record</v>
      </c>
      <c r="AT538" s="6" t="str">
        <f>HYPERLINK("http://www.worldcat.org/oclc/2120750","WorldCat Record")</f>
        <v>WorldCat Record</v>
      </c>
      <c r="AU538" s="3" t="s">
        <v>6738</v>
      </c>
      <c r="AV538" s="3" t="s">
        <v>6739</v>
      </c>
      <c r="AW538" s="3" t="s">
        <v>6740</v>
      </c>
      <c r="AX538" s="3" t="s">
        <v>6740</v>
      </c>
      <c r="AY538" s="3" t="s">
        <v>6741</v>
      </c>
      <c r="AZ538" s="3" t="s">
        <v>73</v>
      </c>
      <c r="BC538" s="3" t="s">
        <v>6742</v>
      </c>
      <c r="BD538" s="3" t="s">
        <v>6743</v>
      </c>
    </row>
    <row r="539" spans="1:56" ht="31.5" customHeight="1" x14ac:dyDescent="0.25">
      <c r="A539" s="7" t="s">
        <v>58</v>
      </c>
      <c r="B539" s="2" t="s">
        <v>6744</v>
      </c>
      <c r="C539" s="2" t="s">
        <v>6745</v>
      </c>
      <c r="D539" s="2" t="s">
        <v>6746</v>
      </c>
      <c r="F539" s="3" t="s">
        <v>58</v>
      </c>
      <c r="G539" s="3" t="s">
        <v>59</v>
      </c>
      <c r="H539" s="3" t="s">
        <v>58</v>
      </c>
      <c r="I539" s="3" t="s">
        <v>58</v>
      </c>
      <c r="J539" s="3" t="s">
        <v>60</v>
      </c>
      <c r="K539" s="2" t="s">
        <v>6747</v>
      </c>
      <c r="L539" s="2" t="s">
        <v>6748</v>
      </c>
      <c r="M539" s="3" t="s">
        <v>244</v>
      </c>
      <c r="O539" s="3" t="s">
        <v>63</v>
      </c>
      <c r="P539" s="3" t="s">
        <v>186</v>
      </c>
      <c r="R539" s="3" t="s">
        <v>65</v>
      </c>
      <c r="S539" s="4">
        <v>11</v>
      </c>
      <c r="T539" s="4">
        <v>11</v>
      </c>
      <c r="U539" s="5" t="s">
        <v>6749</v>
      </c>
      <c r="V539" s="5" t="s">
        <v>6749</v>
      </c>
      <c r="W539" s="5" t="s">
        <v>3853</v>
      </c>
      <c r="X539" s="5" t="s">
        <v>3853</v>
      </c>
      <c r="Y539" s="4">
        <v>645</v>
      </c>
      <c r="Z539" s="4">
        <v>491</v>
      </c>
      <c r="AA539" s="4">
        <v>491</v>
      </c>
      <c r="AB539" s="4">
        <v>1</v>
      </c>
      <c r="AC539" s="4">
        <v>1</v>
      </c>
      <c r="AD539" s="4">
        <v>15</v>
      </c>
      <c r="AE539" s="4">
        <v>15</v>
      </c>
      <c r="AF539" s="4">
        <v>9</v>
      </c>
      <c r="AG539" s="4">
        <v>9</v>
      </c>
      <c r="AH539" s="4">
        <v>2</v>
      </c>
      <c r="AI539" s="4">
        <v>2</v>
      </c>
      <c r="AJ539" s="4">
        <v>8</v>
      </c>
      <c r="AK539" s="4">
        <v>8</v>
      </c>
      <c r="AL539" s="4">
        <v>0</v>
      </c>
      <c r="AM539" s="4">
        <v>0</v>
      </c>
      <c r="AN539" s="4">
        <v>0</v>
      </c>
      <c r="AO539" s="4">
        <v>0</v>
      </c>
      <c r="AP539" s="3" t="s">
        <v>58</v>
      </c>
      <c r="AQ539" s="3" t="s">
        <v>58</v>
      </c>
      <c r="AS539" s="6" t="str">
        <f>HYPERLINK("https://creighton-primo.hosted.exlibrisgroup.com/primo-explore/search?tab=default_tab&amp;search_scope=EVERYTHING&amp;vid=01CRU&amp;lang=en_US&amp;offset=0&amp;query=any,contains,991005133059702656","Catalog Record")</f>
        <v>Catalog Record</v>
      </c>
      <c r="AT539" s="6" t="str">
        <f>HYPERLINK("http://www.worldcat.org/oclc/7574173","WorldCat Record")</f>
        <v>WorldCat Record</v>
      </c>
      <c r="AU539" s="3" t="s">
        <v>6750</v>
      </c>
      <c r="AV539" s="3" t="s">
        <v>6751</v>
      </c>
      <c r="AW539" s="3" t="s">
        <v>6752</v>
      </c>
      <c r="AX539" s="3" t="s">
        <v>6752</v>
      </c>
      <c r="AY539" s="3" t="s">
        <v>6753</v>
      </c>
      <c r="AZ539" s="3" t="s">
        <v>73</v>
      </c>
      <c r="BB539" s="3" t="s">
        <v>6754</v>
      </c>
      <c r="BC539" s="3" t="s">
        <v>6755</v>
      </c>
      <c r="BD539" s="3" t="s">
        <v>6756</v>
      </c>
    </row>
    <row r="540" spans="1:56" ht="31.5" customHeight="1" x14ac:dyDescent="0.25">
      <c r="A540" s="7" t="s">
        <v>58</v>
      </c>
      <c r="B540" s="2" t="s">
        <v>6757</v>
      </c>
      <c r="C540" s="2" t="s">
        <v>6758</v>
      </c>
      <c r="D540" s="2" t="s">
        <v>6759</v>
      </c>
      <c r="F540" s="3" t="s">
        <v>58</v>
      </c>
      <c r="G540" s="3" t="s">
        <v>59</v>
      </c>
      <c r="H540" s="3" t="s">
        <v>58</v>
      </c>
      <c r="I540" s="3" t="s">
        <v>58</v>
      </c>
      <c r="J540" s="3" t="s">
        <v>60</v>
      </c>
      <c r="K540" s="2" t="s">
        <v>6747</v>
      </c>
      <c r="L540" s="2" t="s">
        <v>6760</v>
      </c>
      <c r="M540" s="3" t="s">
        <v>301</v>
      </c>
      <c r="O540" s="3" t="s">
        <v>63</v>
      </c>
      <c r="P540" s="3" t="s">
        <v>186</v>
      </c>
      <c r="R540" s="3" t="s">
        <v>65</v>
      </c>
      <c r="S540" s="4">
        <v>9</v>
      </c>
      <c r="T540" s="4">
        <v>9</v>
      </c>
      <c r="U540" s="5" t="s">
        <v>6761</v>
      </c>
      <c r="V540" s="5" t="s">
        <v>6761</v>
      </c>
      <c r="W540" s="5" t="s">
        <v>6294</v>
      </c>
      <c r="X540" s="5" t="s">
        <v>6294</v>
      </c>
      <c r="Y540" s="4">
        <v>493</v>
      </c>
      <c r="Z540" s="4">
        <v>374</v>
      </c>
      <c r="AA540" s="4">
        <v>408</v>
      </c>
      <c r="AB540" s="4">
        <v>3</v>
      </c>
      <c r="AC540" s="4">
        <v>3</v>
      </c>
      <c r="AD540" s="4">
        <v>13</v>
      </c>
      <c r="AE540" s="4">
        <v>13</v>
      </c>
      <c r="AF540" s="4">
        <v>2</v>
      </c>
      <c r="AG540" s="4">
        <v>2</v>
      </c>
      <c r="AH540" s="4">
        <v>3</v>
      </c>
      <c r="AI540" s="4">
        <v>3</v>
      </c>
      <c r="AJ540" s="4">
        <v>8</v>
      </c>
      <c r="AK540" s="4">
        <v>8</v>
      </c>
      <c r="AL540" s="4">
        <v>2</v>
      </c>
      <c r="AM540" s="4">
        <v>2</v>
      </c>
      <c r="AN540" s="4">
        <v>0</v>
      </c>
      <c r="AO540" s="4">
        <v>0</v>
      </c>
      <c r="AP540" s="3" t="s">
        <v>58</v>
      </c>
      <c r="AQ540" s="3" t="s">
        <v>58</v>
      </c>
      <c r="AS540" s="6" t="str">
        <f>HYPERLINK("https://creighton-primo.hosted.exlibrisgroup.com/primo-explore/search?tab=default_tab&amp;search_scope=EVERYTHING&amp;vid=01CRU&amp;lang=en_US&amp;offset=0&amp;query=any,contains,991002050499702656","Catalog Record")</f>
        <v>Catalog Record</v>
      </c>
      <c r="AT540" s="6" t="str">
        <f>HYPERLINK("http://www.worldcat.org/oclc/26161299","WorldCat Record")</f>
        <v>WorldCat Record</v>
      </c>
      <c r="AU540" s="3" t="s">
        <v>6762</v>
      </c>
      <c r="AV540" s="3" t="s">
        <v>6763</v>
      </c>
      <c r="AW540" s="3" t="s">
        <v>6764</v>
      </c>
      <c r="AX540" s="3" t="s">
        <v>6764</v>
      </c>
      <c r="AY540" s="3" t="s">
        <v>6765</v>
      </c>
      <c r="AZ540" s="3" t="s">
        <v>73</v>
      </c>
      <c r="BB540" s="3" t="s">
        <v>6766</v>
      </c>
      <c r="BC540" s="3" t="s">
        <v>6767</v>
      </c>
      <c r="BD540" s="3" t="s">
        <v>6768</v>
      </c>
    </row>
    <row r="541" spans="1:56" ht="31.5" customHeight="1" x14ac:dyDescent="0.25">
      <c r="A541" s="7" t="s">
        <v>58</v>
      </c>
      <c r="B541" s="2" t="s">
        <v>6769</v>
      </c>
      <c r="C541" s="2" t="s">
        <v>6770</v>
      </c>
      <c r="D541" s="2" t="s">
        <v>6771</v>
      </c>
      <c r="F541" s="3" t="s">
        <v>58</v>
      </c>
      <c r="G541" s="3" t="s">
        <v>59</v>
      </c>
      <c r="H541" s="3" t="s">
        <v>58</v>
      </c>
      <c r="I541" s="3" t="s">
        <v>58</v>
      </c>
      <c r="J541" s="3" t="s">
        <v>60</v>
      </c>
      <c r="K541" s="2" t="s">
        <v>372</v>
      </c>
      <c r="L541" s="2" t="s">
        <v>6772</v>
      </c>
      <c r="M541" s="3" t="s">
        <v>301</v>
      </c>
      <c r="N541" s="2" t="s">
        <v>501</v>
      </c>
      <c r="O541" s="3" t="s">
        <v>63</v>
      </c>
      <c r="P541" s="3" t="s">
        <v>64</v>
      </c>
      <c r="R541" s="3" t="s">
        <v>65</v>
      </c>
      <c r="S541" s="4">
        <v>3</v>
      </c>
      <c r="T541" s="4">
        <v>3</v>
      </c>
      <c r="U541" s="5" t="s">
        <v>6773</v>
      </c>
      <c r="V541" s="5" t="s">
        <v>6773</v>
      </c>
      <c r="W541" s="5" t="s">
        <v>403</v>
      </c>
      <c r="X541" s="5" t="s">
        <v>403</v>
      </c>
      <c r="Y541" s="4">
        <v>523</v>
      </c>
      <c r="Z541" s="4">
        <v>478</v>
      </c>
      <c r="AA541" s="4">
        <v>674</v>
      </c>
      <c r="AB541" s="4">
        <v>5</v>
      </c>
      <c r="AC541" s="4">
        <v>9</v>
      </c>
      <c r="AD541" s="4">
        <v>18</v>
      </c>
      <c r="AE541" s="4">
        <v>27</v>
      </c>
      <c r="AF541" s="4">
        <v>5</v>
      </c>
      <c r="AG541" s="4">
        <v>9</v>
      </c>
      <c r="AH541" s="4">
        <v>3</v>
      </c>
      <c r="AI541" s="4">
        <v>4</v>
      </c>
      <c r="AJ541" s="4">
        <v>11</v>
      </c>
      <c r="AK541" s="4">
        <v>13</v>
      </c>
      <c r="AL541" s="4">
        <v>3</v>
      </c>
      <c r="AM541" s="4">
        <v>6</v>
      </c>
      <c r="AN541" s="4">
        <v>0</v>
      </c>
      <c r="AO541" s="4">
        <v>0</v>
      </c>
      <c r="AP541" s="3" t="s">
        <v>58</v>
      </c>
      <c r="AQ541" s="3" t="s">
        <v>58</v>
      </c>
      <c r="AS541" s="6" t="str">
        <f>HYPERLINK("https://creighton-primo.hosted.exlibrisgroup.com/primo-explore/search?tab=default_tab&amp;search_scope=EVERYTHING&amp;vid=01CRU&amp;lang=en_US&amp;offset=0&amp;query=any,contains,991001991299702656","Catalog Record")</f>
        <v>Catalog Record</v>
      </c>
      <c r="AT541" s="6" t="str">
        <f>HYPERLINK("http://www.worldcat.org/oclc/25283224","WorldCat Record")</f>
        <v>WorldCat Record</v>
      </c>
      <c r="AU541" s="3" t="s">
        <v>6774</v>
      </c>
      <c r="AV541" s="3" t="s">
        <v>6775</v>
      </c>
      <c r="AW541" s="3" t="s">
        <v>6776</v>
      </c>
      <c r="AX541" s="3" t="s">
        <v>6776</v>
      </c>
      <c r="AY541" s="3" t="s">
        <v>6777</v>
      </c>
      <c r="AZ541" s="3" t="s">
        <v>73</v>
      </c>
      <c r="BB541" s="3" t="s">
        <v>6778</v>
      </c>
      <c r="BC541" s="3" t="s">
        <v>6779</v>
      </c>
      <c r="BD541" s="3" t="s">
        <v>6780</v>
      </c>
    </row>
    <row r="542" spans="1:56" ht="31.5" customHeight="1" x14ac:dyDescent="0.25">
      <c r="A542" s="7" t="s">
        <v>58</v>
      </c>
      <c r="B542" s="2" t="s">
        <v>6781</v>
      </c>
      <c r="C542" s="2" t="s">
        <v>6782</v>
      </c>
      <c r="D542" s="2" t="s">
        <v>6783</v>
      </c>
      <c r="F542" s="3" t="s">
        <v>58</v>
      </c>
      <c r="G542" s="3" t="s">
        <v>59</v>
      </c>
      <c r="H542" s="3" t="s">
        <v>58</v>
      </c>
      <c r="I542" s="3" t="s">
        <v>68</v>
      </c>
      <c r="J542" s="3" t="s">
        <v>60</v>
      </c>
      <c r="K542" s="2" t="s">
        <v>6784</v>
      </c>
      <c r="L542" s="2" t="s">
        <v>5722</v>
      </c>
      <c r="M542" s="3" t="s">
        <v>159</v>
      </c>
      <c r="O542" s="3" t="s">
        <v>63</v>
      </c>
      <c r="P542" s="3" t="s">
        <v>64</v>
      </c>
      <c r="R542" s="3" t="s">
        <v>65</v>
      </c>
      <c r="S542" s="4">
        <v>5</v>
      </c>
      <c r="T542" s="4">
        <v>5</v>
      </c>
      <c r="U542" s="5" t="s">
        <v>4857</v>
      </c>
      <c r="V542" s="5" t="s">
        <v>4857</v>
      </c>
      <c r="W542" s="5" t="s">
        <v>3853</v>
      </c>
      <c r="X542" s="5" t="s">
        <v>3853</v>
      </c>
      <c r="Y542" s="4">
        <v>892</v>
      </c>
      <c r="Z542" s="4">
        <v>829</v>
      </c>
      <c r="AA542" s="4">
        <v>1171</v>
      </c>
      <c r="AB542" s="4">
        <v>1</v>
      </c>
      <c r="AC542" s="4">
        <v>8</v>
      </c>
      <c r="AD542" s="4">
        <v>22</v>
      </c>
      <c r="AE542" s="4">
        <v>41</v>
      </c>
      <c r="AF542" s="4">
        <v>8</v>
      </c>
      <c r="AG542" s="4">
        <v>15</v>
      </c>
      <c r="AH542" s="4">
        <v>7</v>
      </c>
      <c r="AI542" s="4">
        <v>10</v>
      </c>
      <c r="AJ542" s="4">
        <v>14</v>
      </c>
      <c r="AK542" s="4">
        <v>22</v>
      </c>
      <c r="AL542" s="4">
        <v>0</v>
      </c>
      <c r="AM542" s="4">
        <v>6</v>
      </c>
      <c r="AN542" s="4">
        <v>0</v>
      </c>
      <c r="AO542" s="4">
        <v>0</v>
      </c>
      <c r="AP542" s="3" t="s">
        <v>58</v>
      </c>
      <c r="AQ542" s="3" t="s">
        <v>68</v>
      </c>
      <c r="AR542" s="6" t="str">
        <f>HYPERLINK("http://catalog.hathitrust.org/Record/000115119","HathiTrust Record")</f>
        <v>HathiTrust Record</v>
      </c>
      <c r="AS542" s="6" t="str">
        <f>HYPERLINK("https://creighton-primo.hosted.exlibrisgroup.com/primo-explore/search?tab=default_tab&amp;search_scope=EVERYTHING&amp;vid=01CRU&amp;lang=en_US&amp;offset=0&amp;query=any,contains,991005403269702656","Catalog Record")</f>
        <v>Catalog Record</v>
      </c>
      <c r="AT542" s="6" t="str">
        <f>HYPERLINK("http://www.worldcat.org/oclc/9784264","WorldCat Record")</f>
        <v>WorldCat Record</v>
      </c>
      <c r="AU542" s="3" t="s">
        <v>6785</v>
      </c>
      <c r="AV542" s="3" t="s">
        <v>6786</v>
      </c>
      <c r="AW542" s="3" t="s">
        <v>6787</v>
      </c>
      <c r="AX542" s="3" t="s">
        <v>6787</v>
      </c>
      <c r="AY542" s="3" t="s">
        <v>6788</v>
      </c>
      <c r="AZ542" s="3" t="s">
        <v>73</v>
      </c>
      <c r="BB542" s="3" t="s">
        <v>6789</v>
      </c>
      <c r="BC542" s="3" t="s">
        <v>6790</v>
      </c>
      <c r="BD542" s="3" t="s">
        <v>6791</v>
      </c>
    </row>
    <row r="543" spans="1:56" ht="31.5" customHeight="1" x14ac:dyDescent="0.25">
      <c r="A543" s="7" t="s">
        <v>58</v>
      </c>
      <c r="B543" s="2" t="s">
        <v>6792</v>
      </c>
      <c r="C543" s="2" t="s">
        <v>6793</v>
      </c>
      <c r="D543" s="2" t="s">
        <v>6794</v>
      </c>
      <c r="F543" s="3" t="s">
        <v>58</v>
      </c>
      <c r="G543" s="3" t="s">
        <v>59</v>
      </c>
      <c r="H543" s="3" t="s">
        <v>58</v>
      </c>
      <c r="I543" s="3" t="s">
        <v>58</v>
      </c>
      <c r="J543" s="3" t="s">
        <v>60</v>
      </c>
      <c r="K543" s="2" t="s">
        <v>6784</v>
      </c>
      <c r="L543" s="2" t="s">
        <v>6795</v>
      </c>
      <c r="M543" s="3" t="s">
        <v>344</v>
      </c>
      <c r="O543" s="3" t="s">
        <v>63</v>
      </c>
      <c r="P543" s="3" t="s">
        <v>64</v>
      </c>
      <c r="Q543" s="2" t="s">
        <v>6796</v>
      </c>
      <c r="R543" s="3" t="s">
        <v>65</v>
      </c>
      <c r="S543" s="4">
        <v>4</v>
      </c>
      <c r="T543" s="4">
        <v>4</v>
      </c>
      <c r="U543" s="5" t="s">
        <v>1955</v>
      </c>
      <c r="V543" s="5" t="s">
        <v>1955</v>
      </c>
      <c r="W543" s="5" t="s">
        <v>6797</v>
      </c>
      <c r="X543" s="5" t="s">
        <v>6797</v>
      </c>
      <c r="Y543" s="4">
        <v>1226</v>
      </c>
      <c r="Z543" s="4">
        <v>1146</v>
      </c>
      <c r="AA543" s="4">
        <v>1171</v>
      </c>
      <c r="AB543" s="4">
        <v>8</v>
      </c>
      <c r="AC543" s="4">
        <v>9</v>
      </c>
      <c r="AD543" s="4">
        <v>31</v>
      </c>
      <c r="AE543" s="4">
        <v>33</v>
      </c>
      <c r="AF543" s="4">
        <v>12</v>
      </c>
      <c r="AG543" s="4">
        <v>13</v>
      </c>
      <c r="AH543" s="4">
        <v>9</v>
      </c>
      <c r="AI543" s="4">
        <v>9</v>
      </c>
      <c r="AJ543" s="4">
        <v>16</v>
      </c>
      <c r="AK543" s="4">
        <v>17</v>
      </c>
      <c r="AL543" s="4">
        <v>3</v>
      </c>
      <c r="AM543" s="4">
        <v>4</v>
      </c>
      <c r="AN543" s="4">
        <v>0</v>
      </c>
      <c r="AO543" s="4">
        <v>0</v>
      </c>
      <c r="AP543" s="3" t="s">
        <v>58</v>
      </c>
      <c r="AQ543" s="3" t="s">
        <v>68</v>
      </c>
      <c r="AR543" s="6" t="str">
        <f>HYPERLINK("http://catalog.hathitrust.org/Record/002898615","HathiTrust Record")</f>
        <v>HathiTrust Record</v>
      </c>
      <c r="AS543" s="6" t="str">
        <f>HYPERLINK("https://creighton-primo.hosted.exlibrisgroup.com/primo-explore/search?tab=default_tab&amp;search_scope=EVERYTHING&amp;vid=01CRU&amp;lang=en_US&amp;offset=0&amp;query=any,contains,991002307179702656","Catalog Record")</f>
        <v>Catalog Record</v>
      </c>
      <c r="AT543" s="6" t="str">
        <f>HYPERLINK("http://www.worldcat.org/oclc/29913158","WorldCat Record")</f>
        <v>WorldCat Record</v>
      </c>
      <c r="AU543" s="3" t="s">
        <v>6798</v>
      </c>
      <c r="AV543" s="3" t="s">
        <v>6799</v>
      </c>
      <c r="AW543" s="3" t="s">
        <v>6800</v>
      </c>
      <c r="AX543" s="3" t="s">
        <v>6800</v>
      </c>
      <c r="AY543" s="3" t="s">
        <v>6801</v>
      </c>
      <c r="AZ543" s="3" t="s">
        <v>73</v>
      </c>
      <c r="BB543" s="3" t="s">
        <v>6802</v>
      </c>
      <c r="BC543" s="3" t="s">
        <v>6803</v>
      </c>
      <c r="BD543" s="3" t="s">
        <v>6804</v>
      </c>
    </row>
    <row r="544" spans="1:56" ht="31.5" customHeight="1" x14ac:dyDescent="0.25">
      <c r="A544" s="7" t="s">
        <v>58</v>
      </c>
      <c r="B544" s="2" t="s">
        <v>6805</v>
      </c>
      <c r="C544" s="2" t="s">
        <v>6806</v>
      </c>
      <c r="D544" s="2" t="s">
        <v>6807</v>
      </c>
      <c r="F544" s="3" t="s">
        <v>58</v>
      </c>
      <c r="G544" s="3" t="s">
        <v>59</v>
      </c>
      <c r="H544" s="3" t="s">
        <v>58</v>
      </c>
      <c r="I544" s="3" t="s">
        <v>58</v>
      </c>
      <c r="J544" s="3" t="s">
        <v>60</v>
      </c>
      <c r="K544" s="2" t="s">
        <v>6808</v>
      </c>
      <c r="L544" s="2" t="s">
        <v>6809</v>
      </c>
      <c r="M544" s="3" t="s">
        <v>201</v>
      </c>
      <c r="O544" s="3" t="s">
        <v>63</v>
      </c>
      <c r="P544" s="3" t="s">
        <v>186</v>
      </c>
      <c r="R544" s="3" t="s">
        <v>65</v>
      </c>
      <c r="S544" s="4">
        <v>5</v>
      </c>
      <c r="T544" s="4">
        <v>5</v>
      </c>
      <c r="U544" s="5" t="s">
        <v>1955</v>
      </c>
      <c r="V544" s="5" t="s">
        <v>1955</v>
      </c>
      <c r="W544" s="5" t="s">
        <v>4002</v>
      </c>
      <c r="X544" s="5" t="s">
        <v>4002</v>
      </c>
      <c r="Y544" s="4">
        <v>631</v>
      </c>
      <c r="Z544" s="4">
        <v>466</v>
      </c>
      <c r="AA544" s="4">
        <v>571</v>
      </c>
      <c r="AB544" s="4">
        <v>3</v>
      </c>
      <c r="AC544" s="4">
        <v>3</v>
      </c>
      <c r="AD544" s="4">
        <v>20</v>
      </c>
      <c r="AE544" s="4">
        <v>28</v>
      </c>
      <c r="AF544" s="4">
        <v>10</v>
      </c>
      <c r="AG544" s="4">
        <v>13</v>
      </c>
      <c r="AH544" s="4">
        <v>3</v>
      </c>
      <c r="AI544" s="4">
        <v>5</v>
      </c>
      <c r="AJ544" s="4">
        <v>10</v>
      </c>
      <c r="AK544" s="4">
        <v>16</v>
      </c>
      <c r="AL544" s="4">
        <v>2</v>
      </c>
      <c r="AM544" s="4">
        <v>2</v>
      </c>
      <c r="AN544" s="4">
        <v>0</v>
      </c>
      <c r="AO544" s="4">
        <v>0</v>
      </c>
      <c r="AP544" s="3" t="s">
        <v>58</v>
      </c>
      <c r="AQ544" s="3" t="s">
        <v>58</v>
      </c>
      <c r="AS544" s="6" t="str">
        <f>HYPERLINK("https://creighton-primo.hosted.exlibrisgroup.com/primo-explore/search?tab=default_tab&amp;search_scope=EVERYTHING&amp;vid=01CRU&amp;lang=en_US&amp;offset=0&amp;query=any,contains,991003951129702656","Catalog Record")</f>
        <v>Catalog Record</v>
      </c>
      <c r="AT544" s="6" t="str">
        <f>HYPERLINK("http://www.worldcat.org/oclc/1958138","WorldCat Record")</f>
        <v>WorldCat Record</v>
      </c>
      <c r="AU544" s="3" t="s">
        <v>6810</v>
      </c>
      <c r="AV544" s="3" t="s">
        <v>6811</v>
      </c>
      <c r="AW544" s="3" t="s">
        <v>6812</v>
      </c>
      <c r="AX544" s="3" t="s">
        <v>6812</v>
      </c>
      <c r="AY544" s="3" t="s">
        <v>6813</v>
      </c>
      <c r="AZ544" s="3" t="s">
        <v>73</v>
      </c>
      <c r="BB544" s="3" t="s">
        <v>6814</v>
      </c>
      <c r="BC544" s="3" t="s">
        <v>6815</v>
      </c>
      <c r="BD544" s="3" t="s">
        <v>6816</v>
      </c>
    </row>
    <row r="545" spans="1:56" ht="31.5" customHeight="1" x14ac:dyDescent="0.25">
      <c r="A545" s="7" t="s">
        <v>58</v>
      </c>
      <c r="B545" s="2" t="s">
        <v>6817</v>
      </c>
      <c r="C545" s="2" t="s">
        <v>6818</v>
      </c>
      <c r="D545" s="2" t="s">
        <v>6819</v>
      </c>
      <c r="F545" s="3" t="s">
        <v>58</v>
      </c>
      <c r="G545" s="3" t="s">
        <v>59</v>
      </c>
      <c r="H545" s="3" t="s">
        <v>58</v>
      </c>
      <c r="I545" s="3" t="s">
        <v>58</v>
      </c>
      <c r="J545" s="3" t="s">
        <v>60</v>
      </c>
      <c r="K545" s="2" t="s">
        <v>6820</v>
      </c>
      <c r="L545" s="2" t="s">
        <v>6821</v>
      </c>
      <c r="M545" s="3" t="s">
        <v>2353</v>
      </c>
      <c r="N545" s="2" t="s">
        <v>566</v>
      </c>
      <c r="O545" s="3" t="s">
        <v>63</v>
      </c>
      <c r="P545" s="3" t="s">
        <v>186</v>
      </c>
      <c r="Q545" s="2" t="s">
        <v>2644</v>
      </c>
      <c r="R545" s="3" t="s">
        <v>65</v>
      </c>
      <c r="S545" s="4">
        <v>1</v>
      </c>
      <c r="T545" s="4">
        <v>1</v>
      </c>
      <c r="U545" s="5" t="s">
        <v>6822</v>
      </c>
      <c r="V545" s="5" t="s">
        <v>6822</v>
      </c>
      <c r="W545" s="5" t="s">
        <v>4002</v>
      </c>
      <c r="X545" s="5" t="s">
        <v>4002</v>
      </c>
      <c r="Y545" s="4">
        <v>271</v>
      </c>
      <c r="Z545" s="4">
        <v>222</v>
      </c>
      <c r="AA545" s="4">
        <v>496</v>
      </c>
      <c r="AB545" s="4">
        <v>2</v>
      </c>
      <c r="AC545" s="4">
        <v>3</v>
      </c>
      <c r="AD545" s="4">
        <v>11</v>
      </c>
      <c r="AE545" s="4">
        <v>26</v>
      </c>
      <c r="AF545" s="4">
        <v>5</v>
      </c>
      <c r="AG545" s="4">
        <v>11</v>
      </c>
      <c r="AH545" s="4">
        <v>1</v>
      </c>
      <c r="AI545" s="4">
        <v>4</v>
      </c>
      <c r="AJ545" s="4">
        <v>6</v>
      </c>
      <c r="AK545" s="4">
        <v>16</v>
      </c>
      <c r="AL545" s="4">
        <v>1</v>
      </c>
      <c r="AM545" s="4">
        <v>2</v>
      </c>
      <c r="AN545" s="4">
        <v>0</v>
      </c>
      <c r="AO545" s="4">
        <v>0</v>
      </c>
      <c r="AP545" s="3" t="s">
        <v>58</v>
      </c>
      <c r="AQ545" s="3" t="s">
        <v>68</v>
      </c>
      <c r="AR545" s="6" t="str">
        <f>HYPERLINK("http://catalog.hathitrust.org/Record/010390152","HathiTrust Record")</f>
        <v>HathiTrust Record</v>
      </c>
      <c r="AS545" s="6" t="str">
        <f>HYPERLINK("https://creighton-primo.hosted.exlibrisgroup.com/primo-explore/search?tab=default_tab&amp;search_scope=EVERYTHING&amp;vid=01CRU&amp;lang=en_US&amp;offset=0&amp;query=any,contains,991003758509702656","Catalog Record")</f>
        <v>Catalog Record</v>
      </c>
      <c r="AT545" s="6" t="str">
        <f>HYPERLINK("http://www.worldcat.org/oclc/1442236","WorldCat Record")</f>
        <v>WorldCat Record</v>
      </c>
      <c r="AU545" s="3" t="s">
        <v>6823</v>
      </c>
      <c r="AV545" s="3" t="s">
        <v>6824</v>
      </c>
      <c r="AW545" s="3" t="s">
        <v>6825</v>
      </c>
      <c r="AX545" s="3" t="s">
        <v>6825</v>
      </c>
      <c r="AY545" s="3" t="s">
        <v>6826</v>
      </c>
      <c r="AZ545" s="3" t="s">
        <v>73</v>
      </c>
      <c r="BC545" s="3" t="s">
        <v>6827</v>
      </c>
      <c r="BD545" s="3" t="s">
        <v>6828</v>
      </c>
    </row>
    <row r="546" spans="1:56" ht="31.5" customHeight="1" x14ac:dyDescent="0.25">
      <c r="A546" s="7" t="s">
        <v>58</v>
      </c>
      <c r="B546" s="2" t="s">
        <v>6829</v>
      </c>
      <c r="C546" s="2" t="s">
        <v>6830</v>
      </c>
      <c r="D546" s="2" t="s">
        <v>6831</v>
      </c>
      <c r="F546" s="3" t="s">
        <v>58</v>
      </c>
      <c r="G546" s="3" t="s">
        <v>59</v>
      </c>
      <c r="H546" s="3" t="s">
        <v>58</v>
      </c>
      <c r="I546" s="3" t="s">
        <v>58</v>
      </c>
      <c r="J546" s="3" t="s">
        <v>60</v>
      </c>
      <c r="K546" s="2" t="s">
        <v>6832</v>
      </c>
      <c r="L546" s="2" t="s">
        <v>6833</v>
      </c>
      <c r="M546" s="3" t="s">
        <v>185</v>
      </c>
      <c r="O546" s="3" t="s">
        <v>63</v>
      </c>
      <c r="P546" s="3" t="s">
        <v>98</v>
      </c>
      <c r="Q546" s="2" t="s">
        <v>6834</v>
      </c>
      <c r="R546" s="3" t="s">
        <v>65</v>
      </c>
      <c r="S546" s="4">
        <v>4</v>
      </c>
      <c r="T546" s="4">
        <v>4</v>
      </c>
      <c r="U546" s="5" t="s">
        <v>6835</v>
      </c>
      <c r="V546" s="5" t="s">
        <v>6835</v>
      </c>
      <c r="W546" s="5" t="s">
        <v>6836</v>
      </c>
      <c r="X546" s="5" t="s">
        <v>6836</v>
      </c>
      <c r="Y546" s="4">
        <v>273</v>
      </c>
      <c r="Z546" s="4">
        <v>171</v>
      </c>
      <c r="AA546" s="4">
        <v>345</v>
      </c>
      <c r="AB546" s="4">
        <v>2</v>
      </c>
      <c r="AC546" s="4">
        <v>2</v>
      </c>
      <c r="AD546" s="4">
        <v>3</v>
      </c>
      <c r="AE546" s="4">
        <v>15</v>
      </c>
      <c r="AF546" s="4">
        <v>1</v>
      </c>
      <c r="AG546" s="4">
        <v>4</v>
      </c>
      <c r="AH546" s="4">
        <v>0</v>
      </c>
      <c r="AI546" s="4">
        <v>3</v>
      </c>
      <c r="AJ546" s="4">
        <v>1</v>
      </c>
      <c r="AK546" s="4">
        <v>11</v>
      </c>
      <c r="AL546" s="4">
        <v>1</v>
      </c>
      <c r="AM546" s="4">
        <v>1</v>
      </c>
      <c r="AN546" s="4">
        <v>0</v>
      </c>
      <c r="AO546" s="4">
        <v>0</v>
      </c>
      <c r="AP546" s="3" t="s">
        <v>58</v>
      </c>
      <c r="AQ546" s="3" t="s">
        <v>68</v>
      </c>
      <c r="AR546" s="6" t="str">
        <f>HYPERLINK("http://catalog.hathitrust.org/Record/001079906","HathiTrust Record")</f>
        <v>HathiTrust Record</v>
      </c>
      <c r="AS546" s="6" t="str">
        <f>HYPERLINK("https://creighton-primo.hosted.exlibrisgroup.com/primo-explore/search?tab=default_tab&amp;search_scope=EVERYTHING&amp;vid=01CRU&amp;lang=en_US&amp;offset=0&amp;query=any,contains,991001249989702656","Catalog Record")</f>
        <v>Catalog Record</v>
      </c>
      <c r="AT546" s="6" t="str">
        <f>HYPERLINK("http://www.worldcat.org/oclc/17674858","WorldCat Record")</f>
        <v>WorldCat Record</v>
      </c>
      <c r="AU546" s="3" t="s">
        <v>6837</v>
      </c>
      <c r="AV546" s="3" t="s">
        <v>6838</v>
      </c>
      <c r="AW546" s="3" t="s">
        <v>6839</v>
      </c>
      <c r="AX546" s="3" t="s">
        <v>6839</v>
      </c>
      <c r="AY546" s="3" t="s">
        <v>6840</v>
      </c>
      <c r="AZ546" s="3" t="s">
        <v>73</v>
      </c>
      <c r="BB546" s="3" t="s">
        <v>6841</v>
      </c>
      <c r="BC546" s="3" t="s">
        <v>6842</v>
      </c>
      <c r="BD546" s="3" t="s">
        <v>6843</v>
      </c>
    </row>
    <row r="547" spans="1:56" ht="31.5" customHeight="1" x14ac:dyDescent="0.25">
      <c r="A547" s="7" t="s">
        <v>58</v>
      </c>
      <c r="B547" s="2" t="s">
        <v>6844</v>
      </c>
      <c r="C547" s="2" t="s">
        <v>6845</v>
      </c>
      <c r="D547" s="2" t="s">
        <v>6846</v>
      </c>
      <c r="F547" s="3" t="s">
        <v>58</v>
      </c>
      <c r="G547" s="3" t="s">
        <v>59</v>
      </c>
      <c r="H547" s="3" t="s">
        <v>58</v>
      </c>
      <c r="I547" s="3" t="s">
        <v>58</v>
      </c>
      <c r="J547" s="3" t="s">
        <v>60</v>
      </c>
      <c r="K547" s="2" t="s">
        <v>6847</v>
      </c>
      <c r="L547" s="2" t="s">
        <v>6848</v>
      </c>
      <c r="M547" s="3" t="s">
        <v>301</v>
      </c>
      <c r="O547" s="3" t="s">
        <v>63</v>
      </c>
      <c r="P547" s="3" t="s">
        <v>129</v>
      </c>
      <c r="R547" s="3" t="s">
        <v>65</v>
      </c>
      <c r="S547" s="4">
        <v>6</v>
      </c>
      <c r="T547" s="4">
        <v>6</v>
      </c>
      <c r="U547" s="5" t="s">
        <v>6849</v>
      </c>
      <c r="V547" s="5" t="s">
        <v>6849</v>
      </c>
      <c r="W547" s="5" t="s">
        <v>6850</v>
      </c>
      <c r="X547" s="5" t="s">
        <v>6850</v>
      </c>
      <c r="Y547" s="4">
        <v>465</v>
      </c>
      <c r="Z547" s="4">
        <v>428</v>
      </c>
      <c r="AA547" s="4">
        <v>437</v>
      </c>
      <c r="AB547" s="4">
        <v>4</v>
      </c>
      <c r="AC547" s="4">
        <v>4</v>
      </c>
      <c r="AD547" s="4">
        <v>13</v>
      </c>
      <c r="AE547" s="4">
        <v>13</v>
      </c>
      <c r="AF547" s="4">
        <v>3</v>
      </c>
      <c r="AG547" s="4">
        <v>3</v>
      </c>
      <c r="AH547" s="4">
        <v>3</v>
      </c>
      <c r="AI547" s="4">
        <v>3</v>
      </c>
      <c r="AJ547" s="4">
        <v>7</v>
      </c>
      <c r="AK547" s="4">
        <v>7</v>
      </c>
      <c r="AL547" s="4">
        <v>2</v>
      </c>
      <c r="AM547" s="4">
        <v>2</v>
      </c>
      <c r="AN547" s="4">
        <v>0</v>
      </c>
      <c r="AO547" s="4">
        <v>0</v>
      </c>
      <c r="AP547" s="3" t="s">
        <v>58</v>
      </c>
      <c r="AQ547" s="3" t="s">
        <v>68</v>
      </c>
      <c r="AR547" s="6" t="str">
        <f>HYPERLINK("http://catalog.hathitrust.org/Record/002551679","HathiTrust Record")</f>
        <v>HathiTrust Record</v>
      </c>
      <c r="AS547" s="6" t="str">
        <f>HYPERLINK("https://creighton-primo.hosted.exlibrisgroup.com/primo-explore/search?tab=default_tab&amp;search_scope=EVERYTHING&amp;vid=01CRU&amp;lang=en_US&amp;offset=0&amp;query=any,contains,991001952199702656","Catalog Record")</f>
        <v>Catalog Record</v>
      </c>
      <c r="AT547" s="6" t="str">
        <f>HYPERLINK("http://www.worldcat.org/oclc/24671889","WorldCat Record")</f>
        <v>WorldCat Record</v>
      </c>
      <c r="AU547" s="3" t="s">
        <v>6851</v>
      </c>
      <c r="AV547" s="3" t="s">
        <v>6852</v>
      </c>
      <c r="AW547" s="3" t="s">
        <v>6853</v>
      </c>
      <c r="AX547" s="3" t="s">
        <v>6853</v>
      </c>
      <c r="AY547" s="3" t="s">
        <v>6854</v>
      </c>
      <c r="AZ547" s="3" t="s">
        <v>73</v>
      </c>
      <c r="BB547" s="3" t="s">
        <v>6855</v>
      </c>
      <c r="BC547" s="3" t="s">
        <v>6856</v>
      </c>
      <c r="BD547" s="3" t="s">
        <v>6857</v>
      </c>
    </row>
    <row r="548" spans="1:56" ht="31.5" customHeight="1" x14ac:dyDescent="0.25">
      <c r="A548" s="7" t="s">
        <v>58</v>
      </c>
      <c r="B548" s="2" t="s">
        <v>6858</v>
      </c>
      <c r="C548" s="2" t="s">
        <v>6859</v>
      </c>
      <c r="D548" s="2" t="s">
        <v>6860</v>
      </c>
      <c r="F548" s="3" t="s">
        <v>58</v>
      </c>
      <c r="G548" s="3" t="s">
        <v>59</v>
      </c>
      <c r="H548" s="3" t="s">
        <v>58</v>
      </c>
      <c r="I548" s="3" t="s">
        <v>58</v>
      </c>
      <c r="J548" s="3" t="s">
        <v>60</v>
      </c>
      <c r="K548" s="2" t="s">
        <v>6861</v>
      </c>
      <c r="L548" s="2" t="s">
        <v>6862</v>
      </c>
      <c r="M548" s="3" t="s">
        <v>835</v>
      </c>
      <c r="O548" s="3" t="s">
        <v>63</v>
      </c>
      <c r="P548" s="3" t="s">
        <v>186</v>
      </c>
      <c r="R548" s="3" t="s">
        <v>65</v>
      </c>
      <c r="S548" s="4">
        <v>4</v>
      </c>
      <c r="T548" s="4">
        <v>4</v>
      </c>
      <c r="U548" s="5" t="s">
        <v>5447</v>
      </c>
      <c r="V548" s="5" t="s">
        <v>5447</v>
      </c>
      <c r="W548" s="5" t="s">
        <v>6863</v>
      </c>
      <c r="X548" s="5" t="s">
        <v>6863</v>
      </c>
      <c r="Y548" s="4">
        <v>413</v>
      </c>
      <c r="Z548" s="4">
        <v>343</v>
      </c>
      <c r="AA548" s="4">
        <v>362</v>
      </c>
      <c r="AB548" s="4">
        <v>3</v>
      </c>
      <c r="AC548" s="4">
        <v>3</v>
      </c>
      <c r="AD548" s="4">
        <v>20</v>
      </c>
      <c r="AE548" s="4">
        <v>20</v>
      </c>
      <c r="AF548" s="4">
        <v>10</v>
      </c>
      <c r="AG548" s="4">
        <v>10</v>
      </c>
      <c r="AH548" s="4">
        <v>5</v>
      </c>
      <c r="AI548" s="4">
        <v>5</v>
      </c>
      <c r="AJ548" s="4">
        <v>10</v>
      </c>
      <c r="AK548" s="4">
        <v>10</v>
      </c>
      <c r="AL548" s="4">
        <v>2</v>
      </c>
      <c r="AM548" s="4">
        <v>2</v>
      </c>
      <c r="AN548" s="4">
        <v>0</v>
      </c>
      <c r="AO548" s="4">
        <v>0</v>
      </c>
      <c r="AP548" s="3" t="s">
        <v>58</v>
      </c>
      <c r="AQ548" s="3" t="s">
        <v>58</v>
      </c>
      <c r="AS548" s="6" t="str">
        <f>HYPERLINK("https://creighton-primo.hosted.exlibrisgroup.com/primo-explore/search?tab=default_tab&amp;search_scope=EVERYTHING&amp;vid=01CRU&amp;lang=en_US&amp;offset=0&amp;query=any,contains,991002939239702656","Catalog Record")</f>
        <v>Catalog Record</v>
      </c>
      <c r="AT548" s="6" t="str">
        <f>HYPERLINK("http://www.worldcat.org/oclc/39106078","WorldCat Record")</f>
        <v>WorldCat Record</v>
      </c>
      <c r="AU548" s="3" t="s">
        <v>6864</v>
      </c>
      <c r="AV548" s="3" t="s">
        <v>6865</v>
      </c>
      <c r="AW548" s="3" t="s">
        <v>6866</v>
      </c>
      <c r="AX548" s="3" t="s">
        <v>6866</v>
      </c>
      <c r="AY548" s="3" t="s">
        <v>6867</v>
      </c>
      <c r="AZ548" s="3" t="s">
        <v>73</v>
      </c>
      <c r="BB548" s="3" t="s">
        <v>6868</v>
      </c>
      <c r="BC548" s="3" t="s">
        <v>6869</v>
      </c>
      <c r="BD548" s="3" t="s">
        <v>6870</v>
      </c>
    </row>
    <row r="549" spans="1:56" ht="31.5" customHeight="1" x14ac:dyDescent="0.25">
      <c r="A549" s="7" t="s">
        <v>58</v>
      </c>
      <c r="B549" s="2" t="s">
        <v>6871</v>
      </c>
      <c r="C549" s="2" t="s">
        <v>6872</v>
      </c>
      <c r="D549" s="2" t="s">
        <v>6873</v>
      </c>
      <c r="F549" s="3" t="s">
        <v>58</v>
      </c>
      <c r="G549" s="3" t="s">
        <v>59</v>
      </c>
      <c r="H549" s="3" t="s">
        <v>58</v>
      </c>
      <c r="I549" s="3" t="s">
        <v>58</v>
      </c>
      <c r="J549" s="3" t="s">
        <v>60</v>
      </c>
      <c r="K549" s="2" t="s">
        <v>6874</v>
      </c>
      <c r="L549" s="2" t="s">
        <v>6875</v>
      </c>
      <c r="M549" s="3" t="s">
        <v>244</v>
      </c>
      <c r="N549" s="2" t="s">
        <v>501</v>
      </c>
      <c r="O549" s="3" t="s">
        <v>63</v>
      </c>
      <c r="P549" s="3" t="s">
        <v>129</v>
      </c>
      <c r="R549" s="3" t="s">
        <v>65</v>
      </c>
      <c r="S549" s="4">
        <v>5</v>
      </c>
      <c r="T549" s="4">
        <v>5</v>
      </c>
      <c r="U549" s="5" t="s">
        <v>6876</v>
      </c>
      <c r="V549" s="5" t="s">
        <v>6876</v>
      </c>
      <c r="W549" s="5" t="s">
        <v>3853</v>
      </c>
      <c r="X549" s="5" t="s">
        <v>3853</v>
      </c>
      <c r="Y549" s="4">
        <v>866</v>
      </c>
      <c r="Z549" s="4">
        <v>798</v>
      </c>
      <c r="AA549" s="4">
        <v>893</v>
      </c>
      <c r="AB549" s="4">
        <v>7</v>
      </c>
      <c r="AC549" s="4">
        <v>7</v>
      </c>
      <c r="AD549" s="4">
        <v>20</v>
      </c>
      <c r="AE549" s="4">
        <v>23</v>
      </c>
      <c r="AF549" s="4">
        <v>5</v>
      </c>
      <c r="AG549" s="4">
        <v>6</v>
      </c>
      <c r="AH549" s="4">
        <v>4</v>
      </c>
      <c r="AI549" s="4">
        <v>6</v>
      </c>
      <c r="AJ549" s="4">
        <v>9</v>
      </c>
      <c r="AK549" s="4">
        <v>12</v>
      </c>
      <c r="AL549" s="4">
        <v>5</v>
      </c>
      <c r="AM549" s="4">
        <v>5</v>
      </c>
      <c r="AN549" s="4">
        <v>0</v>
      </c>
      <c r="AO549" s="4">
        <v>0</v>
      </c>
      <c r="AP549" s="3" t="s">
        <v>58</v>
      </c>
      <c r="AQ549" s="3" t="s">
        <v>58</v>
      </c>
      <c r="AS549" s="6" t="str">
        <f>HYPERLINK("https://creighton-primo.hosted.exlibrisgroup.com/primo-explore/search?tab=default_tab&amp;search_scope=EVERYTHING&amp;vid=01CRU&amp;lang=en_US&amp;offset=0&amp;query=any,contains,991005079759702656","Catalog Record")</f>
        <v>Catalog Record</v>
      </c>
      <c r="AT549" s="6" t="str">
        <f>HYPERLINK("http://www.worldcat.org/oclc/7170243","WorldCat Record")</f>
        <v>WorldCat Record</v>
      </c>
      <c r="AU549" s="3" t="s">
        <v>6877</v>
      </c>
      <c r="AV549" s="3" t="s">
        <v>6878</v>
      </c>
      <c r="AW549" s="3" t="s">
        <v>6879</v>
      </c>
      <c r="AX549" s="3" t="s">
        <v>6879</v>
      </c>
      <c r="AY549" s="3" t="s">
        <v>6880</v>
      </c>
      <c r="AZ549" s="3" t="s">
        <v>73</v>
      </c>
      <c r="BB549" s="3" t="s">
        <v>6881</v>
      </c>
      <c r="BC549" s="3" t="s">
        <v>6882</v>
      </c>
      <c r="BD549" s="3" t="s">
        <v>6883</v>
      </c>
    </row>
    <row r="550" spans="1:56" ht="31.5" customHeight="1" x14ac:dyDescent="0.25">
      <c r="A550" s="7" t="s">
        <v>58</v>
      </c>
      <c r="B550" s="2" t="s">
        <v>6884</v>
      </c>
      <c r="C550" s="2" t="s">
        <v>6885</v>
      </c>
      <c r="D550" s="2" t="s">
        <v>6886</v>
      </c>
      <c r="F550" s="3" t="s">
        <v>58</v>
      </c>
      <c r="G550" s="3" t="s">
        <v>59</v>
      </c>
      <c r="H550" s="3" t="s">
        <v>58</v>
      </c>
      <c r="I550" s="3" t="s">
        <v>58</v>
      </c>
      <c r="J550" s="3" t="s">
        <v>60</v>
      </c>
      <c r="K550" s="2" t="s">
        <v>6874</v>
      </c>
      <c r="L550" s="2" t="s">
        <v>2545</v>
      </c>
      <c r="M550" s="3" t="s">
        <v>2546</v>
      </c>
      <c r="O550" s="3" t="s">
        <v>63</v>
      </c>
      <c r="P550" s="3" t="s">
        <v>129</v>
      </c>
      <c r="R550" s="3" t="s">
        <v>65</v>
      </c>
      <c r="S550" s="4">
        <v>2</v>
      </c>
      <c r="T550" s="4">
        <v>2</v>
      </c>
      <c r="U550" s="5" t="s">
        <v>6887</v>
      </c>
      <c r="V550" s="5" t="s">
        <v>6887</v>
      </c>
      <c r="W550" s="5" t="s">
        <v>6888</v>
      </c>
      <c r="X550" s="5" t="s">
        <v>6888</v>
      </c>
      <c r="Y550" s="4">
        <v>568</v>
      </c>
      <c r="Z550" s="4">
        <v>475</v>
      </c>
      <c r="AA550" s="4">
        <v>484</v>
      </c>
      <c r="AB550" s="4">
        <v>5</v>
      </c>
      <c r="AC550" s="4">
        <v>5</v>
      </c>
      <c r="AD550" s="4">
        <v>22</v>
      </c>
      <c r="AE550" s="4">
        <v>22</v>
      </c>
      <c r="AF550" s="4">
        <v>8</v>
      </c>
      <c r="AG550" s="4">
        <v>8</v>
      </c>
      <c r="AH550" s="4">
        <v>4</v>
      </c>
      <c r="AI550" s="4">
        <v>4</v>
      </c>
      <c r="AJ550" s="4">
        <v>11</v>
      </c>
      <c r="AK550" s="4">
        <v>11</v>
      </c>
      <c r="AL550" s="4">
        <v>4</v>
      </c>
      <c r="AM550" s="4">
        <v>4</v>
      </c>
      <c r="AN550" s="4">
        <v>0</v>
      </c>
      <c r="AO550" s="4">
        <v>0</v>
      </c>
      <c r="AP550" s="3" t="s">
        <v>58</v>
      </c>
      <c r="AQ550" s="3" t="s">
        <v>68</v>
      </c>
      <c r="AR550" s="6" t="str">
        <f>HYPERLINK("http://catalog.hathitrust.org/Record/004144170","HathiTrust Record")</f>
        <v>HathiTrust Record</v>
      </c>
      <c r="AS550" s="6" t="str">
        <f>HYPERLINK("https://creighton-primo.hosted.exlibrisgroup.com/primo-explore/search?tab=default_tab&amp;search_scope=EVERYTHING&amp;vid=01CRU&amp;lang=en_US&amp;offset=0&amp;query=any,contains,991003537389702656","Catalog Record")</f>
        <v>Catalog Record</v>
      </c>
      <c r="AT550" s="6" t="str">
        <f>HYPERLINK("http://www.worldcat.org/oclc/44613085","WorldCat Record")</f>
        <v>WorldCat Record</v>
      </c>
      <c r="AU550" s="3" t="s">
        <v>6889</v>
      </c>
      <c r="AV550" s="3" t="s">
        <v>6890</v>
      </c>
      <c r="AW550" s="3" t="s">
        <v>6891</v>
      </c>
      <c r="AX550" s="3" t="s">
        <v>6891</v>
      </c>
      <c r="AY550" s="3" t="s">
        <v>6892</v>
      </c>
      <c r="AZ550" s="3" t="s">
        <v>73</v>
      </c>
      <c r="BB550" s="3" t="s">
        <v>6893</v>
      </c>
      <c r="BC550" s="3" t="s">
        <v>6894</v>
      </c>
      <c r="BD550" s="3" t="s">
        <v>6895</v>
      </c>
    </row>
    <row r="551" spans="1:56" ht="31.5" customHeight="1" x14ac:dyDescent="0.25">
      <c r="A551" s="7" t="s">
        <v>58</v>
      </c>
      <c r="B551" s="2" t="s">
        <v>6896</v>
      </c>
      <c r="C551" s="2" t="s">
        <v>6897</v>
      </c>
      <c r="D551" s="2" t="s">
        <v>6898</v>
      </c>
      <c r="F551" s="3" t="s">
        <v>58</v>
      </c>
      <c r="G551" s="3" t="s">
        <v>59</v>
      </c>
      <c r="H551" s="3" t="s">
        <v>58</v>
      </c>
      <c r="I551" s="3" t="s">
        <v>58</v>
      </c>
      <c r="J551" s="3" t="s">
        <v>60</v>
      </c>
      <c r="K551" s="2" t="s">
        <v>6899</v>
      </c>
      <c r="L551" s="2" t="s">
        <v>6900</v>
      </c>
      <c r="M551" s="3" t="s">
        <v>1370</v>
      </c>
      <c r="O551" s="3" t="s">
        <v>63</v>
      </c>
      <c r="P551" s="3" t="s">
        <v>64</v>
      </c>
      <c r="R551" s="3" t="s">
        <v>65</v>
      </c>
      <c r="S551" s="4">
        <v>1</v>
      </c>
      <c r="T551" s="4">
        <v>1</v>
      </c>
      <c r="U551" s="5" t="s">
        <v>6901</v>
      </c>
      <c r="V551" s="5" t="s">
        <v>6901</v>
      </c>
      <c r="W551" s="5" t="s">
        <v>4002</v>
      </c>
      <c r="X551" s="5" t="s">
        <v>4002</v>
      </c>
      <c r="Y551" s="4">
        <v>537</v>
      </c>
      <c r="Z551" s="4">
        <v>472</v>
      </c>
      <c r="AA551" s="4">
        <v>479</v>
      </c>
      <c r="AB551" s="4">
        <v>3</v>
      </c>
      <c r="AC551" s="4">
        <v>3</v>
      </c>
      <c r="AD551" s="4">
        <v>9</v>
      </c>
      <c r="AE551" s="4">
        <v>9</v>
      </c>
      <c r="AF551" s="4">
        <v>1</v>
      </c>
      <c r="AG551" s="4">
        <v>1</v>
      </c>
      <c r="AH551" s="4">
        <v>2</v>
      </c>
      <c r="AI551" s="4">
        <v>2</v>
      </c>
      <c r="AJ551" s="4">
        <v>6</v>
      </c>
      <c r="AK551" s="4">
        <v>6</v>
      </c>
      <c r="AL551" s="4">
        <v>1</v>
      </c>
      <c r="AM551" s="4">
        <v>1</v>
      </c>
      <c r="AN551" s="4">
        <v>0</v>
      </c>
      <c r="AO551" s="4">
        <v>0</v>
      </c>
      <c r="AP551" s="3" t="s">
        <v>58</v>
      </c>
      <c r="AQ551" s="3" t="s">
        <v>68</v>
      </c>
      <c r="AR551" s="6" t="str">
        <f>HYPERLINK("http://catalog.hathitrust.org/Record/000034209","HathiTrust Record")</f>
        <v>HathiTrust Record</v>
      </c>
      <c r="AS551" s="6" t="str">
        <f>HYPERLINK("https://creighton-primo.hosted.exlibrisgroup.com/primo-explore/search?tab=default_tab&amp;search_scope=EVERYTHING&amp;vid=01CRU&amp;lang=en_US&amp;offset=0&amp;query=any,contains,991003784449702656","Catalog Record")</f>
        <v>Catalog Record</v>
      </c>
      <c r="AT551" s="6" t="str">
        <f>HYPERLINK("http://www.worldcat.org/oclc/1500072","WorldCat Record")</f>
        <v>WorldCat Record</v>
      </c>
      <c r="AU551" s="3" t="s">
        <v>6902</v>
      </c>
      <c r="AV551" s="3" t="s">
        <v>6903</v>
      </c>
      <c r="AW551" s="3" t="s">
        <v>6904</v>
      </c>
      <c r="AX551" s="3" t="s">
        <v>6904</v>
      </c>
      <c r="AY551" s="3" t="s">
        <v>6905</v>
      </c>
      <c r="AZ551" s="3" t="s">
        <v>73</v>
      </c>
      <c r="BB551" s="3" t="s">
        <v>6906</v>
      </c>
      <c r="BC551" s="3" t="s">
        <v>6907</v>
      </c>
      <c r="BD551" s="3" t="s">
        <v>6908</v>
      </c>
    </row>
    <row r="552" spans="1:56" ht="31.5" customHeight="1" x14ac:dyDescent="0.25">
      <c r="A552" s="7" t="s">
        <v>58</v>
      </c>
      <c r="B552" s="2" t="s">
        <v>6909</v>
      </c>
      <c r="C552" s="2" t="s">
        <v>6910</v>
      </c>
      <c r="D552" s="2" t="s">
        <v>6911</v>
      </c>
      <c r="F552" s="3" t="s">
        <v>58</v>
      </c>
      <c r="G552" s="3" t="s">
        <v>59</v>
      </c>
      <c r="H552" s="3" t="s">
        <v>58</v>
      </c>
      <c r="I552" s="3" t="s">
        <v>58</v>
      </c>
      <c r="J552" s="3" t="s">
        <v>60</v>
      </c>
      <c r="L552" s="2" t="s">
        <v>6912</v>
      </c>
      <c r="M552" s="3" t="s">
        <v>537</v>
      </c>
      <c r="O552" s="3" t="s">
        <v>63</v>
      </c>
      <c r="P552" s="3" t="s">
        <v>83</v>
      </c>
      <c r="R552" s="3" t="s">
        <v>65</v>
      </c>
      <c r="S552" s="4">
        <v>2</v>
      </c>
      <c r="T552" s="4">
        <v>2</v>
      </c>
      <c r="U552" s="5" t="s">
        <v>6913</v>
      </c>
      <c r="V552" s="5" t="s">
        <v>6913</v>
      </c>
      <c r="W552" s="5" t="s">
        <v>5520</v>
      </c>
      <c r="X552" s="5" t="s">
        <v>5520</v>
      </c>
      <c r="Y552" s="4">
        <v>55</v>
      </c>
      <c r="Z552" s="4">
        <v>47</v>
      </c>
      <c r="AA552" s="4">
        <v>47</v>
      </c>
      <c r="AB552" s="4">
        <v>1</v>
      </c>
      <c r="AC552" s="4">
        <v>1</v>
      </c>
      <c r="AD552" s="4">
        <v>3</v>
      </c>
      <c r="AE552" s="4">
        <v>3</v>
      </c>
      <c r="AF552" s="4">
        <v>1</v>
      </c>
      <c r="AG552" s="4">
        <v>1</v>
      </c>
      <c r="AH552" s="4">
        <v>0</v>
      </c>
      <c r="AI552" s="4">
        <v>0</v>
      </c>
      <c r="AJ552" s="4">
        <v>3</v>
      </c>
      <c r="AK552" s="4">
        <v>3</v>
      </c>
      <c r="AL552" s="4">
        <v>0</v>
      </c>
      <c r="AM552" s="4">
        <v>0</v>
      </c>
      <c r="AN552" s="4">
        <v>0</v>
      </c>
      <c r="AO552" s="4">
        <v>0</v>
      </c>
      <c r="AP552" s="3" t="s">
        <v>58</v>
      </c>
      <c r="AQ552" s="3" t="s">
        <v>58</v>
      </c>
      <c r="AS552" s="6" t="str">
        <f>HYPERLINK("https://creighton-primo.hosted.exlibrisgroup.com/primo-explore/search?tab=default_tab&amp;search_scope=EVERYTHING&amp;vid=01CRU&amp;lang=en_US&amp;offset=0&amp;query=any,contains,991001981439702656","Catalog Record")</f>
        <v>Catalog Record</v>
      </c>
      <c r="AT552" s="6" t="str">
        <f>HYPERLINK("http://www.worldcat.org/oclc/25150204","WorldCat Record")</f>
        <v>WorldCat Record</v>
      </c>
      <c r="AU552" s="3" t="s">
        <v>6914</v>
      </c>
      <c r="AV552" s="3" t="s">
        <v>6915</v>
      </c>
      <c r="AW552" s="3" t="s">
        <v>6916</v>
      </c>
      <c r="AX552" s="3" t="s">
        <v>6916</v>
      </c>
      <c r="AY552" s="3" t="s">
        <v>6917</v>
      </c>
      <c r="AZ552" s="3" t="s">
        <v>73</v>
      </c>
      <c r="BB552" s="3" t="s">
        <v>6918</v>
      </c>
      <c r="BC552" s="3" t="s">
        <v>6919</v>
      </c>
      <c r="BD552" s="3" t="s">
        <v>6920</v>
      </c>
    </row>
    <row r="553" spans="1:56" ht="31.5" customHeight="1" x14ac:dyDescent="0.25">
      <c r="A553" s="7" t="s">
        <v>58</v>
      </c>
      <c r="B553" s="2" t="s">
        <v>6921</v>
      </c>
      <c r="C553" s="2" t="s">
        <v>6922</v>
      </c>
      <c r="D553" s="2" t="s">
        <v>6923</v>
      </c>
      <c r="F553" s="3" t="s">
        <v>58</v>
      </c>
      <c r="G553" s="3" t="s">
        <v>59</v>
      </c>
      <c r="H553" s="3" t="s">
        <v>58</v>
      </c>
      <c r="I553" s="3" t="s">
        <v>58</v>
      </c>
      <c r="J553" s="3" t="s">
        <v>60</v>
      </c>
      <c r="L553" s="2" t="s">
        <v>6924</v>
      </c>
      <c r="M553" s="3" t="s">
        <v>565</v>
      </c>
      <c r="O553" s="3" t="s">
        <v>63</v>
      </c>
      <c r="P553" s="3" t="s">
        <v>459</v>
      </c>
      <c r="R553" s="3" t="s">
        <v>65</v>
      </c>
      <c r="S553" s="4">
        <v>1</v>
      </c>
      <c r="T553" s="4">
        <v>1</v>
      </c>
      <c r="U553" s="5" t="s">
        <v>6925</v>
      </c>
      <c r="V553" s="5" t="s">
        <v>6925</v>
      </c>
      <c r="W553" s="5" t="s">
        <v>3853</v>
      </c>
      <c r="X553" s="5" t="s">
        <v>3853</v>
      </c>
      <c r="Y553" s="4">
        <v>179</v>
      </c>
      <c r="Z553" s="4">
        <v>124</v>
      </c>
      <c r="AA553" s="4">
        <v>128</v>
      </c>
      <c r="AB553" s="4">
        <v>2</v>
      </c>
      <c r="AC553" s="4">
        <v>2</v>
      </c>
      <c r="AD553" s="4">
        <v>3</v>
      </c>
      <c r="AE553" s="4">
        <v>3</v>
      </c>
      <c r="AF553" s="4">
        <v>0</v>
      </c>
      <c r="AG553" s="4">
        <v>0</v>
      </c>
      <c r="AH553" s="4">
        <v>1</v>
      </c>
      <c r="AI553" s="4">
        <v>1</v>
      </c>
      <c r="AJ553" s="4">
        <v>2</v>
      </c>
      <c r="AK553" s="4">
        <v>2</v>
      </c>
      <c r="AL553" s="4">
        <v>1</v>
      </c>
      <c r="AM553" s="4">
        <v>1</v>
      </c>
      <c r="AN553" s="4">
        <v>0</v>
      </c>
      <c r="AO553" s="4">
        <v>0</v>
      </c>
      <c r="AP553" s="3" t="s">
        <v>58</v>
      </c>
      <c r="AQ553" s="3" t="s">
        <v>68</v>
      </c>
      <c r="AR553" s="6" t="str">
        <f>HYPERLINK("http://catalog.hathitrust.org/Record/000706073","HathiTrust Record")</f>
        <v>HathiTrust Record</v>
      </c>
      <c r="AS553" s="6" t="str">
        <f>HYPERLINK("https://creighton-primo.hosted.exlibrisgroup.com/primo-explore/search?tab=default_tab&amp;search_scope=EVERYTHING&amp;vid=01CRU&amp;lang=en_US&amp;offset=0&amp;query=any,contains,991004974519702656","Catalog Record")</f>
        <v>Catalog Record</v>
      </c>
      <c r="AT553" s="6" t="str">
        <f>HYPERLINK("http://www.worldcat.org/oclc/6379015","WorldCat Record")</f>
        <v>WorldCat Record</v>
      </c>
      <c r="AU553" s="3" t="s">
        <v>6926</v>
      </c>
      <c r="AV553" s="3" t="s">
        <v>6927</v>
      </c>
      <c r="AW553" s="3" t="s">
        <v>6928</v>
      </c>
      <c r="AX553" s="3" t="s">
        <v>6928</v>
      </c>
      <c r="AY553" s="3" t="s">
        <v>6929</v>
      </c>
      <c r="AZ553" s="3" t="s">
        <v>73</v>
      </c>
      <c r="BB553" s="3" t="s">
        <v>6930</v>
      </c>
      <c r="BC553" s="3" t="s">
        <v>6931</v>
      </c>
      <c r="BD553" s="3" t="s">
        <v>6932</v>
      </c>
    </row>
    <row r="554" spans="1:56" ht="31.5" customHeight="1" x14ac:dyDescent="0.25">
      <c r="A554" s="7" t="s">
        <v>58</v>
      </c>
      <c r="B554" s="2" t="s">
        <v>6933</v>
      </c>
      <c r="C554" s="2" t="s">
        <v>6934</v>
      </c>
      <c r="D554" s="2" t="s">
        <v>6935</v>
      </c>
      <c r="F554" s="3" t="s">
        <v>58</v>
      </c>
      <c r="G554" s="3" t="s">
        <v>59</v>
      </c>
      <c r="H554" s="3" t="s">
        <v>58</v>
      </c>
      <c r="I554" s="3" t="s">
        <v>58</v>
      </c>
      <c r="J554" s="3" t="s">
        <v>60</v>
      </c>
      <c r="L554" s="2" t="s">
        <v>6936</v>
      </c>
      <c r="M554" s="3" t="s">
        <v>443</v>
      </c>
      <c r="O554" s="3" t="s">
        <v>63</v>
      </c>
      <c r="P554" s="3" t="s">
        <v>64</v>
      </c>
      <c r="R554" s="3" t="s">
        <v>65</v>
      </c>
      <c r="S554" s="4">
        <v>7</v>
      </c>
      <c r="T554" s="4">
        <v>7</v>
      </c>
      <c r="U554" s="5" t="s">
        <v>6937</v>
      </c>
      <c r="V554" s="5" t="s">
        <v>6937</v>
      </c>
      <c r="W554" s="5" t="s">
        <v>6938</v>
      </c>
      <c r="X554" s="5" t="s">
        <v>6938</v>
      </c>
      <c r="Y554" s="4">
        <v>573</v>
      </c>
      <c r="Z554" s="4">
        <v>454</v>
      </c>
      <c r="AA554" s="4">
        <v>466</v>
      </c>
      <c r="AB554" s="4">
        <v>4</v>
      </c>
      <c r="AC554" s="4">
        <v>4</v>
      </c>
      <c r="AD554" s="4">
        <v>21</v>
      </c>
      <c r="AE554" s="4">
        <v>22</v>
      </c>
      <c r="AF554" s="4">
        <v>6</v>
      </c>
      <c r="AG554" s="4">
        <v>7</v>
      </c>
      <c r="AH554" s="4">
        <v>6</v>
      </c>
      <c r="AI554" s="4">
        <v>6</v>
      </c>
      <c r="AJ554" s="4">
        <v>10</v>
      </c>
      <c r="AK554" s="4">
        <v>11</v>
      </c>
      <c r="AL554" s="4">
        <v>3</v>
      </c>
      <c r="AM554" s="4">
        <v>3</v>
      </c>
      <c r="AN554" s="4">
        <v>0</v>
      </c>
      <c r="AO554" s="4">
        <v>0</v>
      </c>
      <c r="AP554" s="3" t="s">
        <v>58</v>
      </c>
      <c r="AQ554" s="3" t="s">
        <v>68</v>
      </c>
      <c r="AR554" s="6" t="str">
        <f>HYPERLINK("http://catalog.hathitrust.org/Record/000086622","HathiTrust Record")</f>
        <v>HathiTrust Record</v>
      </c>
      <c r="AS554" s="6" t="str">
        <f>HYPERLINK("https://creighton-primo.hosted.exlibrisgroup.com/primo-explore/search?tab=default_tab&amp;search_scope=EVERYTHING&amp;vid=01CRU&amp;lang=en_US&amp;offset=0&amp;query=any,contains,991004177059702656","Catalog Record")</f>
        <v>Catalog Record</v>
      </c>
      <c r="AT554" s="6" t="str">
        <f>HYPERLINK("http://www.worldcat.org/oclc/2597346","WorldCat Record")</f>
        <v>WorldCat Record</v>
      </c>
      <c r="AU554" s="3" t="s">
        <v>6939</v>
      </c>
      <c r="AV554" s="3" t="s">
        <v>6940</v>
      </c>
      <c r="AW554" s="3" t="s">
        <v>6941</v>
      </c>
      <c r="AX554" s="3" t="s">
        <v>6941</v>
      </c>
      <c r="AY554" s="3" t="s">
        <v>6942</v>
      </c>
      <c r="AZ554" s="3" t="s">
        <v>73</v>
      </c>
      <c r="BB554" s="3" t="s">
        <v>6943</v>
      </c>
      <c r="BC554" s="3" t="s">
        <v>6944</v>
      </c>
      <c r="BD554" s="3" t="s">
        <v>6945</v>
      </c>
    </row>
    <row r="555" spans="1:56" ht="31.5" customHeight="1" x14ac:dyDescent="0.25">
      <c r="A555" s="7" t="s">
        <v>58</v>
      </c>
      <c r="B555" s="2" t="s">
        <v>6946</v>
      </c>
      <c r="C555" s="2" t="s">
        <v>6947</v>
      </c>
      <c r="D555" s="2" t="s">
        <v>6948</v>
      </c>
      <c r="F555" s="3" t="s">
        <v>58</v>
      </c>
      <c r="G555" s="3" t="s">
        <v>59</v>
      </c>
      <c r="H555" s="3" t="s">
        <v>58</v>
      </c>
      <c r="I555" s="3" t="s">
        <v>58</v>
      </c>
      <c r="J555" s="3" t="s">
        <v>60</v>
      </c>
      <c r="K555" s="2" t="s">
        <v>6949</v>
      </c>
      <c r="L555" s="2" t="s">
        <v>6950</v>
      </c>
      <c r="M555" s="3" t="s">
        <v>2546</v>
      </c>
      <c r="O555" s="3" t="s">
        <v>63</v>
      </c>
      <c r="P555" s="3" t="s">
        <v>64</v>
      </c>
      <c r="R555" s="3" t="s">
        <v>65</v>
      </c>
      <c r="S555" s="4">
        <v>2</v>
      </c>
      <c r="T555" s="4">
        <v>2</v>
      </c>
      <c r="U555" s="5" t="s">
        <v>6951</v>
      </c>
      <c r="V555" s="5" t="s">
        <v>6951</v>
      </c>
      <c r="W555" s="5" t="s">
        <v>6952</v>
      </c>
      <c r="X555" s="5" t="s">
        <v>6952</v>
      </c>
      <c r="Y555" s="4">
        <v>513</v>
      </c>
      <c r="Z555" s="4">
        <v>476</v>
      </c>
      <c r="AA555" s="4">
        <v>482</v>
      </c>
      <c r="AB555" s="4">
        <v>4</v>
      </c>
      <c r="AC555" s="4">
        <v>4</v>
      </c>
      <c r="AD555" s="4">
        <v>14</v>
      </c>
      <c r="AE555" s="4">
        <v>14</v>
      </c>
      <c r="AF555" s="4">
        <v>5</v>
      </c>
      <c r="AG555" s="4">
        <v>5</v>
      </c>
      <c r="AH555" s="4">
        <v>1</v>
      </c>
      <c r="AI555" s="4">
        <v>1</v>
      </c>
      <c r="AJ555" s="4">
        <v>10</v>
      </c>
      <c r="AK555" s="4">
        <v>10</v>
      </c>
      <c r="AL555" s="4">
        <v>3</v>
      </c>
      <c r="AM555" s="4">
        <v>3</v>
      </c>
      <c r="AN555" s="4">
        <v>0</v>
      </c>
      <c r="AO555" s="4">
        <v>0</v>
      </c>
      <c r="AP555" s="3" t="s">
        <v>58</v>
      </c>
      <c r="AQ555" s="3" t="s">
        <v>68</v>
      </c>
      <c r="AR555" s="6" t="str">
        <f>HYPERLINK("http://catalog.hathitrust.org/Record/004198233","HathiTrust Record")</f>
        <v>HathiTrust Record</v>
      </c>
      <c r="AS555" s="6" t="str">
        <f>HYPERLINK("https://creighton-primo.hosted.exlibrisgroup.com/primo-explore/search?tab=default_tab&amp;search_scope=EVERYTHING&amp;vid=01CRU&amp;lang=en_US&amp;offset=0&amp;query=any,contains,991004163009702656","Catalog Record")</f>
        <v>Catalog Record</v>
      </c>
      <c r="AT555" s="6" t="str">
        <f>HYPERLINK("http://www.worldcat.org/oclc/47073310","WorldCat Record")</f>
        <v>WorldCat Record</v>
      </c>
      <c r="AU555" s="3" t="s">
        <v>6953</v>
      </c>
      <c r="AV555" s="3" t="s">
        <v>6954</v>
      </c>
      <c r="AW555" s="3" t="s">
        <v>6955</v>
      </c>
      <c r="AX555" s="3" t="s">
        <v>6955</v>
      </c>
      <c r="AY555" s="3" t="s">
        <v>6956</v>
      </c>
      <c r="AZ555" s="3" t="s">
        <v>73</v>
      </c>
      <c r="BB555" s="3" t="s">
        <v>6957</v>
      </c>
      <c r="BC555" s="3" t="s">
        <v>6958</v>
      </c>
      <c r="BD555" s="3" t="s">
        <v>6959</v>
      </c>
    </row>
    <row r="556" spans="1:56" ht="31.5" customHeight="1" x14ac:dyDescent="0.25">
      <c r="A556" s="7" t="s">
        <v>58</v>
      </c>
      <c r="B556" s="2" t="s">
        <v>6960</v>
      </c>
      <c r="C556" s="2" t="s">
        <v>6961</v>
      </c>
      <c r="D556" s="2" t="s">
        <v>6962</v>
      </c>
      <c r="F556" s="3" t="s">
        <v>58</v>
      </c>
      <c r="G556" s="3" t="s">
        <v>59</v>
      </c>
      <c r="H556" s="3" t="s">
        <v>58</v>
      </c>
      <c r="I556" s="3" t="s">
        <v>58</v>
      </c>
      <c r="J556" s="3" t="s">
        <v>60</v>
      </c>
      <c r="K556" s="2" t="s">
        <v>6963</v>
      </c>
      <c r="L556" s="2" t="s">
        <v>6964</v>
      </c>
      <c r="M556" s="3" t="s">
        <v>2546</v>
      </c>
      <c r="N556" s="2" t="s">
        <v>501</v>
      </c>
      <c r="O556" s="3" t="s">
        <v>63</v>
      </c>
      <c r="P556" s="3" t="s">
        <v>64</v>
      </c>
      <c r="Q556" s="2" t="s">
        <v>6965</v>
      </c>
      <c r="R556" s="3" t="s">
        <v>65</v>
      </c>
      <c r="S556" s="4">
        <v>2</v>
      </c>
      <c r="T556" s="4">
        <v>2</v>
      </c>
      <c r="U556" s="5" t="s">
        <v>6966</v>
      </c>
      <c r="V556" s="5" t="s">
        <v>6966</v>
      </c>
      <c r="W556" s="5" t="s">
        <v>6967</v>
      </c>
      <c r="X556" s="5" t="s">
        <v>6967</v>
      </c>
      <c r="Y556" s="4">
        <v>1016</v>
      </c>
      <c r="Z556" s="4">
        <v>971</v>
      </c>
      <c r="AA556" s="4">
        <v>1042</v>
      </c>
      <c r="AB556" s="4">
        <v>7</v>
      </c>
      <c r="AC556" s="4">
        <v>7</v>
      </c>
      <c r="AD556" s="4">
        <v>4</v>
      </c>
      <c r="AE556" s="4">
        <v>4</v>
      </c>
      <c r="AF556" s="4">
        <v>2</v>
      </c>
      <c r="AG556" s="4">
        <v>2</v>
      </c>
      <c r="AH556" s="4">
        <v>1</v>
      </c>
      <c r="AI556" s="4">
        <v>1</v>
      </c>
      <c r="AJ556" s="4">
        <v>2</v>
      </c>
      <c r="AK556" s="4">
        <v>2</v>
      </c>
      <c r="AL556" s="4">
        <v>1</v>
      </c>
      <c r="AM556" s="4">
        <v>1</v>
      </c>
      <c r="AN556" s="4">
        <v>0</v>
      </c>
      <c r="AO556" s="4">
        <v>0</v>
      </c>
      <c r="AP556" s="3" t="s">
        <v>58</v>
      </c>
      <c r="AQ556" s="3" t="s">
        <v>58</v>
      </c>
      <c r="AS556" s="6" t="str">
        <f>HYPERLINK("https://creighton-primo.hosted.exlibrisgroup.com/primo-explore/search?tab=default_tab&amp;search_scope=EVERYTHING&amp;vid=01CRU&amp;lang=en_US&amp;offset=0&amp;query=any,contains,991003794539702656","Catalog Record")</f>
        <v>Catalog Record</v>
      </c>
      <c r="AT556" s="6" t="str">
        <f>HYPERLINK("http://www.worldcat.org/oclc/46812091","WorldCat Record")</f>
        <v>WorldCat Record</v>
      </c>
      <c r="AU556" s="3" t="s">
        <v>6968</v>
      </c>
      <c r="AV556" s="3" t="s">
        <v>6969</v>
      </c>
      <c r="AW556" s="3" t="s">
        <v>6970</v>
      </c>
      <c r="AX556" s="3" t="s">
        <v>6970</v>
      </c>
      <c r="AY556" s="3" t="s">
        <v>6971</v>
      </c>
      <c r="AZ556" s="3" t="s">
        <v>73</v>
      </c>
      <c r="BB556" s="3" t="s">
        <v>6972</v>
      </c>
      <c r="BC556" s="3" t="s">
        <v>6973</v>
      </c>
      <c r="BD556" s="3" t="s">
        <v>6974</v>
      </c>
    </row>
    <row r="557" spans="1:56" ht="31.5" customHeight="1" x14ac:dyDescent="0.25">
      <c r="A557" s="7" t="s">
        <v>58</v>
      </c>
      <c r="B557" s="2" t="s">
        <v>6975</v>
      </c>
      <c r="C557" s="2" t="s">
        <v>6976</v>
      </c>
      <c r="D557" s="2" t="s">
        <v>6977</v>
      </c>
      <c r="F557" s="3" t="s">
        <v>58</v>
      </c>
      <c r="G557" s="3" t="s">
        <v>59</v>
      </c>
      <c r="H557" s="3" t="s">
        <v>58</v>
      </c>
      <c r="I557" s="3" t="s">
        <v>58</v>
      </c>
      <c r="J557" s="3" t="s">
        <v>60</v>
      </c>
      <c r="K557" s="2" t="s">
        <v>6978</v>
      </c>
      <c r="L557" s="2" t="s">
        <v>3629</v>
      </c>
      <c r="M557" s="3" t="s">
        <v>835</v>
      </c>
      <c r="O557" s="3" t="s">
        <v>63</v>
      </c>
      <c r="P557" s="3" t="s">
        <v>186</v>
      </c>
      <c r="R557" s="3" t="s">
        <v>65</v>
      </c>
      <c r="S557" s="4">
        <v>3</v>
      </c>
      <c r="T557" s="4">
        <v>3</v>
      </c>
      <c r="U557" s="5" t="s">
        <v>6129</v>
      </c>
      <c r="V557" s="5" t="s">
        <v>6129</v>
      </c>
      <c r="W557" s="5" t="s">
        <v>6979</v>
      </c>
      <c r="X557" s="5" t="s">
        <v>6979</v>
      </c>
      <c r="Y557" s="4">
        <v>700</v>
      </c>
      <c r="Z557" s="4">
        <v>575</v>
      </c>
      <c r="AA557" s="4">
        <v>621</v>
      </c>
      <c r="AB557" s="4">
        <v>5</v>
      </c>
      <c r="AC557" s="4">
        <v>5</v>
      </c>
      <c r="AD557" s="4">
        <v>23</v>
      </c>
      <c r="AE557" s="4">
        <v>23</v>
      </c>
      <c r="AF557" s="4">
        <v>9</v>
      </c>
      <c r="AG557" s="4">
        <v>9</v>
      </c>
      <c r="AH557" s="4">
        <v>3</v>
      </c>
      <c r="AI557" s="4">
        <v>3</v>
      </c>
      <c r="AJ557" s="4">
        <v>12</v>
      </c>
      <c r="AK557" s="4">
        <v>12</v>
      </c>
      <c r="AL557" s="4">
        <v>4</v>
      </c>
      <c r="AM557" s="4">
        <v>4</v>
      </c>
      <c r="AN557" s="4">
        <v>0</v>
      </c>
      <c r="AO557" s="4">
        <v>0</v>
      </c>
      <c r="AP557" s="3" t="s">
        <v>58</v>
      </c>
      <c r="AQ557" s="3" t="s">
        <v>58</v>
      </c>
      <c r="AS557" s="6" t="str">
        <f>HYPERLINK("https://creighton-primo.hosted.exlibrisgroup.com/primo-explore/search?tab=default_tab&amp;search_scope=EVERYTHING&amp;vid=01CRU&amp;lang=en_US&amp;offset=0&amp;query=any,contains,991002842739702656","Catalog Record")</f>
        <v>Catalog Record</v>
      </c>
      <c r="AT557" s="6" t="str">
        <f>HYPERLINK("http://www.worldcat.org/oclc/37451824","WorldCat Record")</f>
        <v>WorldCat Record</v>
      </c>
      <c r="AU557" s="3" t="s">
        <v>6980</v>
      </c>
      <c r="AV557" s="3" t="s">
        <v>6981</v>
      </c>
      <c r="AW557" s="3" t="s">
        <v>6982</v>
      </c>
      <c r="AX557" s="3" t="s">
        <v>6982</v>
      </c>
      <c r="AY557" s="3" t="s">
        <v>6983</v>
      </c>
      <c r="AZ557" s="3" t="s">
        <v>73</v>
      </c>
      <c r="BB557" s="3" t="s">
        <v>6984</v>
      </c>
      <c r="BC557" s="3" t="s">
        <v>6985</v>
      </c>
      <c r="BD557" s="3" t="s">
        <v>6986</v>
      </c>
    </row>
    <row r="558" spans="1:56" ht="31.5" customHeight="1" x14ac:dyDescent="0.25">
      <c r="A558" s="7" t="s">
        <v>58</v>
      </c>
      <c r="B558" s="2" t="s">
        <v>6987</v>
      </c>
      <c r="C558" s="2" t="s">
        <v>6988</v>
      </c>
      <c r="D558" s="2" t="s">
        <v>6989</v>
      </c>
      <c r="F558" s="3" t="s">
        <v>58</v>
      </c>
      <c r="G558" s="3" t="s">
        <v>59</v>
      </c>
      <c r="H558" s="3" t="s">
        <v>58</v>
      </c>
      <c r="I558" s="3" t="s">
        <v>58</v>
      </c>
      <c r="J558" s="3" t="s">
        <v>60</v>
      </c>
      <c r="K558" s="2" t="s">
        <v>6990</v>
      </c>
      <c r="L558" s="2" t="s">
        <v>6991</v>
      </c>
      <c r="M558" s="3" t="s">
        <v>159</v>
      </c>
      <c r="O558" s="3" t="s">
        <v>63</v>
      </c>
      <c r="P558" s="3" t="s">
        <v>64</v>
      </c>
      <c r="R558" s="3" t="s">
        <v>65</v>
      </c>
      <c r="S558" s="4">
        <v>3</v>
      </c>
      <c r="T558" s="4">
        <v>3</v>
      </c>
      <c r="U558" s="5" t="s">
        <v>6992</v>
      </c>
      <c r="V558" s="5" t="s">
        <v>6992</v>
      </c>
      <c r="W558" s="5" t="s">
        <v>3853</v>
      </c>
      <c r="X558" s="5" t="s">
        <v>3853</v>
      </c>
      <c r="Y558" s="4">
        <v>859</v>
      </c>
      <c r="Z558" s="4">
        <v>754</v>
      </c>
      <c r="AA558" s="4">
        <v>761</v>
      </c>
      <c r="AB558" s="4">
        <v>5</v>
      </c>
      <c r="AC558" s="4">
        <v>5</v>
      </c>
      <c r="AD558" s="4">
        <v>33</v>
      </c>
      <c r="AE558" s="4">
        <v>33</v>
      </c>
      <c r="AF558" s="4">
        <v>11</v>
      </c>
      <c r="AG558" s="4">
        <v>11</v>
      </c>
      <c r="AH558" s="4">
        <v>7</v>
      </c>
      <c r="AI558" s="4">
        <v>7</v>
      </c>
      <c r="AJ558" s="4">
        <v>17</v>
      </c>
      <c r="AK558" s="4">
        <v>17</v>
      </c>
      <c r="AL558" s="4">
        <v>4</v>
      </c>
      <c r="AM558" s="4">
        <v>4</v>
      </c>
      <c r="AN558" s="4">
        <v>0</v>
      </c>
      <c r="AO558" s="4">
        <v>0</v>
      </c>
      <c r="AP558" s="3" t="s">
        <v>58</v>
      </c>
      <c r="AQ558" s="3" t="s">
        <v>58</v>
      </c>
      <c r="AS558" s="6" t="str">
        <f>HYPERLINK("https://creighton-primo.hosted.exlibrisgroup.com/primo-explore/search?tab=default_tab&amp;search_scope=EVERYTHING&amp;vid=01CRU&amp;lang=en_US&amp;offset=0&amp;query=any,contains,991000052229702656","Catalog Record")</f>
        <v>Catalog Record</v>
      </c>
      <c r="AT558" s="6" t="str">
        <f>HYPERLINK("http://www.worldcat.org/oclc/8689434","WorldCat Record")</f>
        <v>WorldCat Record</v>
      </c>
      <c r="AU558" s="3" t="s">
        <v>6993</v>
      </c>
      <c r="AV558" s="3" t="s">
        <v>6994</v>
      </c>
      <c r="AW558" s="3" t="s">
        <v>6995</v>
      </c>
      <c r="AX558" s="3" t="s">
        <v>6995</v>
      </c>
      <c r="AY558" s="3" t="s">
        <v>6996</v>
      </c>
      <c r="AZ558" s="3" t="s">
        <v>73</v>
      </c>
      <c r="BB558" s="3" t="s">
        <v>6997</v>
      </c>
      <c r="BC558" s="3" t="s">
        <v>6998</v>
      </c>
      <c r="BD558" s="3" t="s">
        <v>6999</v>
      </c>
    </row>
    <row r="559" spans="1:56" ht="31.5" customHeight="1" x14ac:dyDescent="0.25">
      <c r="A559" s="7" t="s">
        <v>58</v>
      </c>
      <c r="B559" s="2" t="s">
        <v>7000</v>
      </c>
      <c r="C559" s="2" t="s">
        <v>7001</v>
      </c>
      <c r="D559" s="2" t="s">
        <v>7002</v>
      </c>
      <c r="F559" s="3" t="s">
        <v>58</v>
      </c>
      <c r="G559" s="3" t="s">
        <v>59</v>
      </c>
      <c r="H559" s="3" t="s">
        <v>58</v>
      </c>
      <c r="I559" s="3" t="s">
        <v>58</v>
      </c>
      <c r="J559" s="3" t="s">
        <v>60</v>
      </c>
      <c r="K559" s="2" t="s">
        <v>4605</v>
      </c>
      <c r="L559" s="2" t="s">
        <v>5223</v>
      </c>
      <c r="M559" s="3" t="s">
        <v>185</v>
      </c>
      <c r="O559" s="3" t="s">
        <v>63</v>
      </c>
      <c r="P559" s="3" t="s">
        <v>64</v>
      </c>
      <c r="Q559" s="2" t="s">
        <v>5224</v>
      </c>
      <c r="R559" s="3" t="s">
        <v>65</v>
      </c>
      <c r="S559" s="4">
        <v>7</v>
      </c>
      <c r="T559" s="4">
        <v>7</v>
      </c>
      <c r="U559" s="5" t="s">
        <v>7003</v>
      </c>
      <c r="V559" s="5" t="s">
        <v>7003</v>
      </c>
      <c r="W559" s="5" t="s">
        <v>7004</v>
      </c>
      <c r="X559" s="5" t="s">
        <v>7004</v>
      </c>
      <c r="Y559" s="4">
        <v>482</v>
      </c>
      <c r="Z559" s="4">
        <v>391</v>
      </c>
      <c r="AA559" s="4">
        <v>623</v>
      </c>
      <c r="AB559" s="4">
        <v>3</v>
      </c>
      <c r="AC559" s="4">
        <v>4</v>
      </c>
      <c r="AD559" s="4">
        <v>9</v>
      </c>
      <c r="AE559" s="4">
        <v>17</v>
      </c>
      <c r="AF559" s="4">
        <v>4</v>
      </c>
      <c r="AG559" s="4">
        <v>7</v>
      </c>
      <c r="AH559" s="4">
        <v>0</v>
      </c>
      <c r="AI559" s="4">
        <v>2</v>
      </c>
      <c r="AJ559" s="4">
        <v>6</v>
      </c>
      <c r="AK559" s="4">
        <v>11</v>
      </c>
      <c r="AL559" s="4">
        <v>1</v>
      </c>
      <c r="AM559" s="4">
        <v>1</v>
      </c>
      <c r="AN559" s="4">
        <v>0</v>
      </c>
      <c r="AO559" s="4">
        <v>0</v>
      </c>
      <c r="AP559" s="3" t="s">
        <v>58</v>
      </c>
      <c r="AQ559" s="3" t="s">
        <v>68</v>
      </c>
      <c r="AR559" s="6" t="str">
        <f>HYPERLINK("http://catalog.hathitrust.org/Record/000906963","HathiTrust Record")</f>
        <v>HathiTrust Record</v>
      </c>
      <c r="AS559" s="6" t="str">
        <f>HYPERLINK("https://creighton-primo.hosted.exlibrisgroup.com/primo-explore/search?tab=default_tab&amp;search_scope=EVERYTHING&amp;vid=01CRU&amp;lang=en_US&amp;offset=0&amp;query=any,contains,991001065699702656","Catalog Record")</f>
        <v>Catalog Record</v>
      </c>
      <c r="AT559" s="6" t="str">
        <f>HYPERLINK("http://www.worldcat.org/oclc/15793300","WorldCat Record")</f>
        <v>WorldCat Record</v>
      </c>
      <c r="AU559" s="3" t="s">
        <v>7005</v>
      </c>
      <c r="AV559" s="3" t="s">
        <v>7006</v>
      </c>
      <c r="AW559" s="3" t="s">
        <v>7007</v>
      </c>
      <c r="AX559" s="3" t="s">
        <v>7007</v>
      </c>
      <c r="AY559" s="3" t="s">
        <v>7008</v>
      </c>
      <c r="AZ559" s="3" t="s">
        <v>73</v>
      </c>
      <c r="BB559" s="3" t="s">
        <v>7009</v>
      </c>
      <c r="BC559" s="3" t="s">
        <v>7010</v>
      </c>
      <c r="BD559" s="3" t="s">
        <v>7011</v>
      </c>
    </row>
    <row r="560" spans="1:56" ht="31.5" customHeight="1" x14ac:dyDescent="0.25">
      <c r="A560" s="7" t="s">
        <v>58</v>
      </c>
      <c r="B560" s="2" t="s">
        <v>7012</v>
      </c>
      <c r="C560" s="2" t="s">
        <v>7013</v>
      </c>
      <c r="D560" s="2" t="s">
        <v>7014</v>
      </c>
      <c r="F560" s="3" t="s">
        <v>58</v>
      </c>
      <c r="G560" s="3" t="s">
        <v>59</v>
      </c>
      <c r="H560" s="3" t="s">
        <v>58</v>
      </c>
      <c r="I560" s="3" t="s">
        <v>58</v>
      </c>
      <c r="J560" s="3" t="s">
        <v>60</v>
      </c>
      <c r="L560" s="2" t="s">
        <v>7015</v>
      </c>
      <c r="M560" s="3" t="s">
        <v>82</v>
      </c>
      <c r="O560" s="3" t="s">
        <v>63</v>
      </c>
      <c r="P560" s="3" t="s">
        <v>2174</v>
      </c>
      <c r="R560" s="3" t="s">
        <v>65</v>
      </c>
      <c r="S560" s="4">
        <v>1</v>
      </c>
      <c r="T560" s="4">
        <v>1</v>
      </c>
      <c r="U560" s="5" t="s">
        <v>7016</v>
      </c>
      <c r="V560" s="5" t="s">
        <v>7016</v>
      </c>
      <c r="W560" s="5" t="s">
        <v>7016</v>
      </c>
      <c r="X560" s="5" t="s">
        <v>7016</v>
      </c>
      <c r="Y560" s="4">
        <v>214</v>
      </c>
      <c r="Z560" s="4">
        <v>176</v>
      </c>
      <c r="AA560" s="4">
        <v>176</v>
      </c>
      <c r="AB560" s="4">
        <v>3</v>
      </c>
      <c r="AC560" s="4">
        <v>3</v>
      </c>
      <c r="AD560" s="4">
        <v>15</v>
      </c>
      <c r="AE560" s="4">
        <v>15</v>
      </c>
      <c r="AF560" s="4">
        <v>4</v>
      </c>
      <c r="AG560" s="4">
        <v>4</v>
      </c>
      <c r="AH560" s="4">
        <v>5</v>
      </c>
      <c r="AI560" s="4">
        <v>5</v>
      </c>
      <c r="AJ560" s="4">
        <v>10</v>
      </c>
      <c r="AK560" s="4">
        <v>10</v>
      </c>
      <c r="AL560" s="4">
        <v>2</v>
      </c>
      <c r="AM560" s="4">
        <v>2</v>
      </c>
      <c r="AN560" s="4">
        <v>0</v>
      </c>
      <c r="AO560" s="4">
        <v>0</v>
      </c>
      <c r="AP560" s="3" t="s">
        <v>58</v>
      </c>
      <c r="AQ560" s="3" t="s">
        <v>58</v>
      </c>
      <c r="AS560" s="6" t="str">
        <f>HYPERLINK("https://creighton-primo.hosted.exlibrisgroup.com/primo-explore/search?tab=default_tab&amp;search_scope=EVERYTHING&amp;vid=01CRU&amp;lang=en_US&amp;offset=0&amp;query=any,contains,991004728009702656","Catalog Record")</f>
        <v>Catalog Record</v>
      </c>
      <c r="AT560" s="6" t="str">
        <f>HYPERLINK("http://www.worldcat.org/oclc/49260974","WorldCat Record")</f>
        <v>WorldCat Record</v>
      </c>
      <c r="AU560" s="3" t="s">
        <v>7017</v>
      </c>
      <c r="AV560" s="3" t="s">
        <v>7018</v>
      </c>
      <c r="AW560" s="3" t="s">
        <v>7019</v>
      </c>
      <c r="AX560" s="3" t="s">
        <v>7019</v>
      </c>
      <c r="AY560" s="3" t="s">
        <v>7020</v>
      </c>
      <c r="AZ560" s="3" t="s">
        <v>73</v>
      </c>
      <c r="BB560" s="3" t="s">
        <v>7021</v>
      </c>
      <c r="BC560" s="3" t="s">
        <v>7022</v>
      </c>
      <c r="BD560" s="3" t="s">
        <v>7023</v>
      </c>
    </row>
    <row r="561" spans="1:56" ht="31.5" customHeight="1" x14ac:dyDescent="0.25">
      <c r="A561" s="7" t="s">
        <v>58</v>
      </c>
      <c r="B561" s="2" t="s">
        <v>7024</v>
      </c>
      <c r="C561" s="2" t="s">
        <v>7025</v>
      </c>
      <c r="D561" s="2" t="s">
        <v>7026</v>
      </c>
      <c r="F561" s="3" t="s">
        <v>58</v>
      </c>
      <c r="G561" s="3" t="s">
        <v>59</v>
      </c>
      <c r="H561" s="3" t="s">
        <v>58</v>
      </c>
      <c r="I561" s="3" t="s">
        <v>58</v>
      </c>
      <c r="J561" s="3" t="s">
        <v>60</v>
      </c>
      <c r="K561" s="2" t="s">
        <v>6354</v>
      </c>
      <c r="L561" s="2" t="s">
        <v>7027</v>
      </c>
      <c r="M561" s="3" t="s">
        <v>257</v>
      </c>
      <c r="O561" s="3" t="s">
        <v>63</v>
      </c>
      <c r="P561" s="3" t="s">
        <v>64</v>
      </c>
      <c r="R561" s="3" t="s">
        <v>65</v>
      </c>
      <c r="S561" s="4">
        <v>13</v>
      </c>
      <c r="T561" s="4">
        <v>13</v>
      </c>
      <c r="U561" s="5" t="s">
        <v>7028</v>
      </c>
      <c r="V561" s="5" t="s">
        <v>7028</v>
      </c>
      <c r="W561" s="5" t="s">
        <v>7029</v>
      </c>
      <c r="X561" s="5" t="s">
        <v>7029</v>
      </c>
      <c r="Y561" s="4">
        <v>1667</v>
      </c>
      <c r="Z561" s="4">
        <v>1569</v>
      </c>
      <c r="AA561" s="4">
        <v>1701</v>
      </c>
      <c r="AB561" s="4">
        <v>12</v>
      </c>
      <c r="AC561" s="4">
        <v>14</v>
      </c>
      <c r="AD561" s="4">
        <v>40</v>
      </c>
      <c r="AE561" s="4">
        <v>44</v>
      </c>
      <c r="AF561" s="4">
        <v>15</v>
      </c>
      <c r="AG561" s="4">
        <v>17</v>
      </c>
      <c r="AH561" s="4">
        <v>10</v>
      </c>
      <c r="AI561" s="4">
        <v>10</v>
      </c>
      <c r="AJ561" s="4">
        <v>19</v>
      </c>
      <c r="AK561" s="4">
        <v>21</v>
      </c>
      <c r="AL561" s="4">
        <v>5</v>
      </c>
      <c r="AM561" s="4">
        <v>6</v>
      </c>
      <c r="AN561" s="4">
        <v>0</v>
      </c>
      <c r="AO561" s="4">
        <v>0</v>
      </c>
      <c r="AP561" s="3" t="s">
        <v>58</v>
      </c>
      <c r="AQ561" s="3" t="s">
        <v>68</v>
      </c>
      <c r="AR561" s="6" t="str">
        <f>HYPERLINK("http://catalog.hathitrust.org/Record/003148710","HathiTrust Record")</f>
        <v>HathiTrust Record</v>
      </c>
      <c r="AS561" s="6" t="str">
        <f>HYPERLINK("https://creighton-primo.hosted.exlibrisgroup.com/primo-explore/search?tab=default_tab&amp;search_scope=EVERYTHING&amp;vid=01CRU&amp;lang=en_US&amp;offset=0&amp;query=any,contains,991002740739702656","Catalog Record")</f>
        <v>Catalog Record</v>
      </c>
      <c r="AT561" s="6" t="str">
        <f>HYPERLINK("http://www.worldcat.org/oclc/35990287","WorldCat Record")</f>
        <v>WorldCat Record</v>
      </c>
      <c r="AU561" s="3" t="s">
        <v>7030</v>
      </c>
      <c r="AV561" s="3" t="s">
        <v>7031</v>
      </c>
      <c r="AW561" s="3" t="s">
        <v>7032</v>
      </c>
      <c r="AX561" s="3" t="s">
        <v>7032</v>
      </c>
      <c r="AY561" s="3" t="s">
        <v>7033</v>
      </c>
      <c r="AZ561" s="3" t="s">
        <v>73</v>
      </c>
      <c r="BB561" s="3" t="s">
        <v>7034</v>
      </c>
      <c r="BC561" s="3" t="s">
        <v>7035</v>
      </c>
      <c r="BD561" s="3" t="s">
        <v>7036</v>
      </c>
    </row>
    <row r="562" spans="1:56" ht="31.5" customHeight="1" x14ac:dyDescent="0.25">
      <c r="A562" s="7" t="s">
        <v>58</v>
      </c>
      <c r="B562" s="2" t="s">
        <v>7037</v>
      </c>
      <c r="C562" s="2" t="s">
        <v>7038</v>
      </c>
      <c r="D562" s="2" t="s">
        <v>7039</v>
      </c>
      <c r="F562" s="3" t="s">
        <v>58</v>
      </c>
      <c r="G562" s="3" t="s">
        <v>59</v>
      </c>
      <c r="H562" s="3" t="s">
        <v>58</v>
      </c>
      <c r="I562" s="3" t="s">
        <v>58</v>
      </c>
      <c r="J562" s="3" t="s">
        <v>60</v>
      </c>
      <c r="K562" s="2" t="s">
        <v>7040</v>
      </c>
      <c r="L562" s="2" t="s">
        <v>7041</v>
      </c>
      <c r="M562" s="3" t="s">
        <v>821</v>
      </c>
      <c r="O562" s="3" t="s">
        <v>63</v>
      </c>
      <c r="P562" s="3" t="s">
        <v>64</v>
      </c>
      <c r="R562" s="3" t="s">
        <v>65</v>
      </c>
      <c r="S562" s="4">
        <v>2</v>
      </c>
      <c r="T562" s="4">
        <v>2</v>
      </c>
      <c r="U562" s="5" t="s">
        <v>7042</v>
      </c>
      <c r="V562" s="5" t="s">
        <v>7042</v>
      </c>
      <c r="W562" s="5" t="s">
        <v>3853</v>
      </c>
      <c r="X562" s="5" t="s">
        <v>3853</v>
      </c>
      <c r="Y562" s="4">
        <v>896</v>
      </c>
      <c r="Z562" s="4">
        <v>823</v>
      </c>
      <c r="AA562" s="4">
        <v>830</v>
      </c>
      <c r="AB562" s="4">
        <v>4</v>
      </c>
      <c r="AC562" s="4">
        <v>4</v>
      </c>
      <c r="AD562" s="4">
        <v>18</v>
      </c>
      <c r="AE562" s="4">
        <v>18</v>
      </c>
      <c r="AF562" s="4">
        <v>9</v>
      </c>
      <c r="AG562" s="4">
        <v>9</v>
      </c>
      <c r="AH562" s="4">
        <v>4</v>
      </c>
      <c r="AI562" s="4">
        <v>4</v>
      </c>
      <c r="AJ562" s="4">
        <v>9</v>
      </c>
      <c r="AK562" s="4">
        <v>9</v>
      </c>
      <c r="AL562" s="4">
        <v>1</v>
      </c>
      <c r="AM562" s="4">
        <v>1</v>
      </c>
      <c r="AN562" s="4">
        <v>0</v>
      </c>
      <c r="AO562" s="4">
        <v>0</v>
      </c>
      <c r="AP562" s="3" t="s">
        <v>58</v>
      </c>
      <c r="AQ562" s="3" t="s">
        <v>68</v>
      </c>
      <c r="AR562" s="6" t="str">
        <f>HYPERLINK("http://catalog.hathitrust.org/Record/000291779","HathiTrust Record")</f>
        <v>HathiTrust Record</v>
      </c>
      <c r="AS562" s="6" t="str">
        <f>HYPERLINK("https://creighton-primo.hosted.exlibrisgroup.com/primo-explore/search?tab=default_tab&amp;search_scope=EVERYTHING&amp;vid=01CRU&amp;lang=en_US&amp;offset=0&amp;query=any,contains,991000548849702656","Catalog Record")</f>
        <v>Catalog Record</v>
      </c>
      <c r="AT562" s="6" t="str">
        <f>HYPERLINK("http://www.worldcat.org/oclc/11523835","WorldCat Record")</f>
        <v>WorldCat Record</v>
      </c>
      <c r="AU562" s="3" t="s">
        <v>7043</v>
      </c>
      <c r="AV562" s="3" t="s">
        <v>7044</v>
      </c>
      <c r="AW562" s="3" t="s">
        <v>7045</v>
      </c>
      <c r="AX562" s="3" t="s">
        <v>7045</v>
      </c>
      <c r="AY562" s="3" t="s">
        <v>7046</v>
      </c>
      <c r="AZ562" s="3" t="s">
        <v>73</v>
      </c>
      <c r="BB562" s="3" t="s">
        <v>7047</v>
      </c>
      <c r="BC562" s="3" t="s">
        <v>7048</v>
      </c>
      <c r="BD562" s="3" t="s">
        <v>7049</v>
      </c>
    </row>
    <row r="563" spans="1:56" ht="31.5" customHeight="1" x14ac:dyDescent="0.25">
      <c r="A563" s="7" t="s">
        <v>58</v>
      </c>
      <c r="B563" s="2" t="s">
        <v>7050</v>
      </c>
      <c r="C563" s="2" t="s">
        <v>7051</v>
      </c>
      <c r="D563" s="2" t="s">
        <v>7052</v>
      </c>
      <c r="F563" s="3" t="s">
        <v>58</v>
      </c>
      <c r="G563" s="3" t="s">
        <v>59</v>
      </c>
      <c r="H563" s="3" t="s">
        <v>58</v>
      </c>
      <c r="I563" s="3" t="s">
        <v>58</v>
      </c>
      <c r="J563" s="3" t="s">
        <v>60</v>
      </c>
      <c r="K563" s="2" t="s">
        <v>3188</v>
      </c>
      <c r="L563" s="2" t="s">
        <v>7053</v>
      </c>
      <c r="M563" s="3" t="s">
        <v>2353</v>
      </c>
      <c r="N563" s="2" t="s">
        <v>2985</v>
      </c>
      <c r="O563" s="3" t="s">
        <v>63</v>
      </c>
      <c r="P563" s="3" t="s">
        <v>64</v>
      </c>
      <c r="R563" s="3" t="s">
        <v>65</v>
      </c>
      <c r="S563" s="4">
        <v>1</v>
      </c>
      <c r="T563" s="4">
        <v>1</v>
      </c>
      <c r="U563" s="5" t="s">
        <v>6951</v>
      </c>
      <c r="V563" s="5" t="s">
        <v>6951</v>
      </c>
      <c r="W563" s="5" t="s">
        <v>7054</v>
      </c>
      <c r="X563" s="5" t="s">
        <v>7054</v>
      </c>
      <c r="Y563" s="4">
        <v>720</v>
      </c>
      <c r="Z563" s="4">
        <v>662</v>
      </c>
      <c r="AA563" s="4">
        <v>1087</v>
      </c>
      <c r="AB563" s="4">
        <v>6</v>
      </c>
      <c r="AC563" s="4">
        <v>12</v>
      </c>
      <c r="AD563" s="4">
        <v>17</v>
      </c>
      <c r="AE563" s="4">
        <v>43</v>
      </c>
      <c r="AF563" s="4">
        <v>8</v>
      </c>
      <c r="AG563" s="4">
        <v>16</v>
      </c>
      <c r="AH563" s="4">
        <v>2</v>
      </c>
      <c r="AI563" s="4">
        <v>9</v>
      </c>
      <c r="AJ563" s="4">
        <v>7</v>
      </c>
      <c r="AK563" s="4">
        <v>19</v>
      </c>
      <c r="AL563" s="4">
        <v>4</v>
      </c>
      <c r="AM563" s="4">
        <v>8</v>
      </c>
      <c r="AN563" s="4">
        <v>0</v>
      </c>
      <c r="AO563" s="4">
        <v>1</v>
      </c>
      <c r="AP563" s="3" t="s">
        <v>58</v>
      </c>
      <c r="AQ563" s="3" t="s">
        <v>58</v>
      </c>
      <c r="AR563" s="6" t="str">
        <f>HYPERLINK("http://catalog.hathitrust.org/Record/001477344","HathiTrust Record")</f>
        <v>HathiTrust Record</v>
      </c>
      <c r="AS563" s="6" t="str">
        <f>HYPERLINK("https://creighton-primo.hosted.exlibrisgroup.com/primo-explore/search?tab=default_tab&amp;search_scope=EVERYTHING&amp;vid=01CRU&amp;lang=en_US&amp;offset=0&amp;query=any,contains,991002929809702656","Catalog Record")</f>
        <v>Catalog Record</v>
      </c>
      <c r="AT563" s="6" t="str">
        <f>HYPERLINK("http://www.worldcat.org/oclc/530555","WorldCat Record")</f>
        <v>WorldCat Record</v>
      </c>
      <c r="AU563" s="3" t="s">
        <v>7055</v>
      </c>
      <c r="AV563" s="3" t="s">
        <v>7056</v>
      </c>
      <c r="AW563" s="3" t="s">
        <v>7057</v>
      </c>
      <c r="AX563" s="3" t="s">
        <v>7057</v>
      </c>
      <c r="AY563" s="3" t="s">
        <v>7058</v>
      </c>
      <c r="AZ563" s="3" t="s">
        <v>73</v>
      </c>
      <c r="BC563" s="3" t="s">
        <v>7059</v>
      </c>
      <c r="BD563" s="3" t="s">
        <v>7060</v>
      </c>
    </row>
    <row r="564" spans="1:56" ht="31.5" customHeight="1" x14ac:dyDescent="0.25">
      <c r="A564" s="7" t="s">
        <v>58</v>
      </c>
      <c r="B564" s="2" t="s">
        <v>7061</v>
      </c>
      <c r="C564" s="2" t="s">
        <v>7062</v>
      </c>
      <c r="D564" s="2" t="s">
        <v>7063</v>
      </c>
      <c r="F564" s="3" t="s">
        <v>58</v>
      </c>
      <c r="G564" s="3" t="s">
        <v>59</v>
      </c>
      <c r="H564" s="3" t="s">
        <v>58</v>
      </c>
      <c r="I564" s="3" t="s">
        <v>58</v>
      </c>
      <c r="J564" s="3" t="s">
        <v>60</v>
      </c>
      <c r="K564" s="2" t="s">
        <v>7064</v>
      </c>
      <c r="L564" s="2" t="s">
        <v>7065</v>
      </c>
      <c r="M564" s="3" t="s">
        <v>82</v>
      </c>
      <c r="O564" s="3" t="s">
        <v>63</v>
      </c>
      <c r="P564" s="3" t="s">
        <v>64</v>
      </c>
      <c r="R564" s="3" t="s">
        <v>65</v>
      </c>
      <c r="S564" s="4">
        <v>1</v>
      </c>
      <c r="T564" s="4">
        <v>1</v>
      </c>
      <c r="U564" s="5" t="s">
        <v>7066</v>
      </c>
      <c r="V564" s="5" t="s">
        <v>7066</v>
      </c>
      <c r="W564" s="5" t="s">
        <v>7067</v>
      </c>
      <c r="X564" s="5" t="s">
        <v>7067</v>
      </c>
      <c r="Y564" s="4">
        <v>797</v>
      </c>
      <c r="Z564" s="4">
        <v>747</v>
      </c>
      <c r="AA564" s="4">
        <v>804</v>
      </c>
      <c r="AB564" s="4">
        <v>10</v>
      </c>
      <c r="AC564" s="4">
        <v>10</v>
      </c>
      <c r="AD564" s="4">
        <v>18</v>
      </c>
      <c r="AE564" s="4">
        <v>18</v>
      </c>
      <c r="AF564" s="4">
        <v>7</v>
      </c>
      <c r="AG564" s="4">
        <v>7</v>
      </c>
      <c r="AH564" s="4">
        <v>3</v>
      </c>
      <c r="AI564" s="4">
        <v>3</v>
      </c>
      <c r="AJ564" s="4">
        <v>8</v>
      </c>
      <c r="AK564" s="4">
        <v>8</v>
      </c>
      <c r="AL564" s="4">
        <v>3</v>
      </c>
      <c r="AM564" s="4">
        <v>3</v>
      </c>
      <c r="AN564" s="4">
        <v>0</v>
      </c>
      <c r="AO564" s="4">
        <v>0</v>
      </c>
      <c r="AP564" s="3" t="s">
        <v>58</v>
      </c>
      <c r="AQ564" s="3" t="s">
        <v>58</v>
      </c>
      <c r="AS564" s="6" t="str">
        <f>HYPERLINK("https://creighton-primo.hosted.exlibrisgroup.com/primo-explore/search?tab=default_tab&amp;search_scope=EVERYTHING&amp;vid=01CRU&amp;lang=en_US&amp;offset=0&amp;query=any,contains,991003823939702656","Catalog Record")</f>
        <v>Catalog Record</v>
      </c>
      <c r="AT564" s="6" t="str">
        <f>HYPERLINK("http://www.worldcat.org/oclc/48811197","WorldCat Record")</f>
        <v>WorldCat Record</v>
      </c>
      <c r="AU564" s="3" t="s">
        <v>7068</v>
      </c>
      <c r="AV564" s="3" t="s">
        <v>7069</v>
      </c>
      <c r="AW564" s="3" t="s">
        <v>7070</v>
      </c>
      <c r="AX564" s="3" t="s">
        <v>7070</v>
      </c>
      <c r="AY564" s="3" t="s">
        <v>7071</v>
      </c>
      <c r="AZ564" s="3" t="s">
        <v>73</v>
      </c>
      <c r="BB564" s="3" t="s">
        <v>7072</v>
      </c>
      <c r="BC564" s="3" t="s">
        <v>7073</v>
      </c>
      <c r="BD564" s="3" t="s">
        <v>7074</v>
      </c>
    </row>
    <row r="565" spans="1:56" ht="31.5" customHeight="1" x14ac:dyDescent="0.25">
      <c r="A565" s="7" t="s">
        <v>58</v>
      </c>
      <c r="B565" s="2" t="s">
        <v>7075</v>
      </c>
      <c r="C565" s="2" t="s">
        <v>7076</v>
      </c>
      <c r="D565" s="2" t="s">
        <v>7077</v>
      </c>
      <c r="F565" s="3" t="s">
        <v>58</v>
      </c>
      <c r="G565" s="3" t="s">
        <v>59</v>
      </c>
      <c r="H565" s="3" t="s">
        <v>58</v>
      </c>
      <c r="I565" s="3" t="s">
        <v>58</v>
      </c>
      <c r="J565" s="3" t="s">
        <v>60</v>
      </c>
      <c r="K565" s="2" t="s">
        <v>2075</v>
      </c>
      <c r="L565" s="2" t="s">
        <v>7078</v>
      </c>
      <c r="M565" s="3" t="s">
        <v>633</v>
      </c>
      <c r="O565" s="3" t="s">
        <v>63</v>
      </c>
      <c r="P565" s="3" t="s">
        <v>129</v>
      </c>
      <c r="R565" s="3" t="s">
        <v>65</v>
      </c>
      <c r="S565" s="4">
        <v>6</v>
      </c>
      <c r="T565" s="4">
        <v>6</v>
      </c>
      <c r="U565" s="5" t="s">
        <v>3905</v>
      </c>
      <c r="V565" s="5" t="s">
        <v>3905</v>
      </c>
      <c r="W565" s="5" t="s">
        <v>7079</v>
      </c>
      <c r="X565" s="5" t="s">
        <v>7079</v>
      </c>
      <c r="Y565" s="4">
        <v>802</v>
      </c>
      <c r="Z565" s="4">
        <v>708</v>
      </c>
      <c r="AA565" s="4">
        <v>736</v>
      </c>
      <c r="AB565" s="4">
        <v>4</v>
      </c>
      <c r="AC565" s="4">
        <v>4</v>
      </c>
      <c r="AD565" s="4">
        <v>30</v>
      </c>
      <c r="AE565" s="4">
        <v>31</v>
      </c>
      <c r="AF565" s="4">
        <v>11</v>
      </c>
      <c r="AG565" s="4">
        <v>11</v>
      </c>
      <c r="AH565" s="4">
        <v>6</v>
      </c>
      <c r="AI565" s="4">
        <v>7</v>
      </c>
      <c r="AJ565" s="4">
        <v>15</v>
      </c>
      <c r="AK565" s="4">
        <v>15</v>
      </c>
      <c r="AL565" s="4">
        <v>3</v>
      </c>
      <c r="AM565" s="4">
        <v>3</v>
      </c>
      <c r="AN565" s="4">
        <v>0</v>
      </c>
      <c r="AO565" s="4">
        <v>0</v>
      </c>
      <c r="AP565" s="3" t="s">
        <v>58</v>
      </c>
      <c r="AQ565" s="3" t="s">
        <v>68</v>
      </c>
      <c r="AR565" s="6" t="str">
        <f>HYPERLINK("http://catalog.hathitrust.org/Record/003001224","HathiTrust Record")</f>
        <v>HathiTrust Record</v>
      </c>
      <c r="AS565" s="6" t="str">
        <f>HYPERLINK("https://creighton-primo.hosted.exlibrisgroup.com/primo-explore/search?tab=default_tab&amp;search_scope=EVERYTHING&amp;vid=01CRU&amp;lang=en_US&amp;offset=0&amp;query=any,contains,991002484629702656","Catalog Record")</f>
        <v>Catalog Record</v>
      </c>
      <c r="AT565" s="6" t="str">
        <f>HYPERLINK("http://www.worldcat.org/oclc/32347251","WorldCat Record")</f>
        <v>WorldCat Record</v>
      </c>
      <c r="AU565" s="3" t="s">
        <v>7080</v>
      </c>
      <c r="AV565" s="3" t="s">
        <v>7081</v>
      </c>
      <c r="AW565" s="3" t="s">
        <v>7082</v>
      </c>
      <c r="AX565" s="3" t="s">
        <v>7082</v>
      </c>
      <c r="AY565" s="3" t="s">
        <v>7083</v>
      </c>
      <c r="AZ565" s="3" t="s">
        <v>73</v>
      </c>
      <c r="BB565" s="3" t="s">
        <v>7084</v>
      </c>
      <c r="BC565" s="3" t="s">
        <v>7085</v>
      </c>
      <c r="BD565" s="3" t="s">
        <v>7086</v>
      </c>
    </row>
    <row r="566" spans="1:56" ht="31.5" customHeight="1" x14ac:dyDescent="0.25">
      <c r="A566" s="7" t="s">
        <v>58</v>
      </c>
      <c r="B566" s="2" t="s">
        <v>7087</v>
      </c>
      <c r="C566" s="2" t="s">
        <v>7088</v>
      </c>
      <c r="D566" s="2" t="s">
        <v>7089</v>
      </c>
      <c r="F566" s="3" t="s">
        <v>58</v>
      </c>
      <c r="G566" s="3" t="s">
        <v>59</v>
      </c>
      <c r="H566" s="3" t="s">
        <v>58</v>
      </c>
      <c r="I566" s="3" t="s">
        <v>58</v>
      </c>
      <c r="J566" s="3" t="s">
        <v>60</v>
      </c>
      <c r="K566" s="2" t="s">
        <v>2075</v>
      </c>
      <c r="L566" s="2" t="s">
        <v>7090</v>
      </c>
      <c r="M566" s="3" t="s">
        <v>62</v>
      </c>
      <c r="O566" s="3" t="s">
        <v>63</v>
      </c>
      <c r="P566" s="3" t="s">
        <v>129</v>
      </c>
      <c r="R566" s="3" t="s">
        <v>65</v>
      </c>
      <c r="S566" s="4">
        <v>1</v>
      </c>
      <c r="T566" s="4">
        <v>1</v>
      </c>
      <c r="U566" s="5" t="s">
        <v>7091</v>
      </c>
      <c r="V566" s="5" t="s">
        <v>7091</v>
      </c>
      <c r="W566" s="5" t="s">
        <v>7092</v>
      </c>
      <c r="X566" s="5" t="s">
        <v>7092</v>
      </c>
      <c r="Y566" s="4">
        <v>678</v>
      </c>
      <c r="Z566" s="4">
        <v>609</v>
      </c>
      <c r="AA566" s="4">
        <v>638</v>
      </c>
      <c r="AB566" s="4">
        <v>5</v>
      </c>
      <c r="AC566" s="4">
        <v>5</v>
      </c>
      <c r="AD566" s="4">
        <v>19</v>
      </c>
      <c r="AE566" s="4">
        <v>19</v>
      </c>
      <c r="AF566" s="4">
        <v>5</v>
      </c>
      <c r="AG566" s="4">
        <v>5</v>
      </c>
      <c r="AH566" s="4">
        <v>5</v>
      </c>
      <c r="AI566" s="4">
        <v>5</v>
      </c>
      <c r="AJ566" s="4">
        <v>9</v>
      </c>
      <c r="AK566" s="4">
        <v>9</v>
      </c>
      <c r="AL566" s="4">
        <v>4</v>
      </c>
      <c r="AM566" s="4">
        <v>4</v>
      </c>
      <c r="AN566" s="4">
        <v>0</v>
      </c>
      <c r="AO566" s="4">
        <v>0</v>
      </c>
      <c r="AP566" s="3" t="s">
        <v>58</v>
      </c>
      <c r="AQ566" s="3" t="s">
        <v>68</v>
      </c>
      <c r="AR566" s="6" t="str">
        <f>HYPERLINK("http://catalog.hathitrust.org/Record/004071240","HathiTrust Record")</f>
        <v>HathiTrust Record</v>
      </c>
      <c r="AS566" s="6" t="str">
        <f>HYPERLINK("https://creighton-primo.hosted.exlibrisgroup.com/primo-explore/search?tab=default_tab&amp;search_scope=EVERYTHING&amp;vid=01CRU&amp;lang=en_US&amp;offset=0&amp;query=any,contains,991003052519702656","Catalog Record")</f>
        <v>Catalog Record</v>
      </c>
      <c r="AT566" s="6" t="str">
        <f>HYPERLINK("http://www.worldcat.org/oclc/43336503","WorldCat Record")</f>
        <v>WorldCat Record</v>
      </c>
      <c r="AU566" s="3" t="s">
        <v>7093</v>
      </c>
      <c r="AV566" s="3" t="s">
        <v>7094</v>
      </c>
      <c r="AW566" s="3" t="s">
        <v>7095</v>
      </c>
      <c r="AX566" s="3" t="s">
        <v>7095</v>
      </c>
      <c r="AY566" s="3" t="s">
        <v>7096</v>
      </c>
      <c r="AZ566" s="3" t="s">
        <v>73</v>
      </c>
      <c r="BB566" s="3" t="s">
        <v>7097</v>
      </c>
      <c r="BC566" s="3" t="s">
        <v>7098</v>
      </c>
      <c r="BD566" s="3" t="s">
        <v>7099</v>
      </c>
    </row>
    <row r="567" spans="1:56" ht="31.5" customHeight="1" x14ac:dyDescent="0.25">
      <c r="A567" s="7" t="s">
        <v>58</v>
      </c>
      <c r="B567" s="2" t="s">
        <v>7100</v>
      </c>
      <c r="C567" s="2" t="s">
        <v>7101</v>
      </c>
      <c r="D567" s="2" t="s">
        <v>7102</v>
      </c>
      <c r="F567" s="3" t="s">
        <v>58</v>
      </c>
      <c r="G567" s="3" t="s">
        <v>59</v>
      </c>
      <c r="H567" s="3" t="s">
        <v>58</v>
      </c>
      <c r="I567" s="3" t="s">
        <v>58</v>
      </c>
      <c r="J567" s="3" t="s">
        <v>60</v>
      </c>
      <c r="K567" s="2" t="s">
        <v>7103</v>
      </c>
      <c r="L567" s="2" t="s">
        <v>7104</v>
      </c>
      <c r="M567" s="3" t="s">
        <v>344</v>
      </c>
      <c r="O567" s="3" t="s">
        <v>63</v>
      </c>
      <c r="P567" s="3" t="s">
        <v>186</v>
      </c>
      <c r="R567" s="3" t="s">
        <v>65</v>
      </c>
      <c r="S567" s="4">
        <v>6</v>
      </c>
      <c r="T567" s="4">
        <v>6</v>
      </c>
      <c r="U567" s="5" t="s">
        <v>7105</v>
      </c>
      <c r="V567" s="5" t="s">
        <v>7105</v>
      </c>
      <c r="W567" s="5" t="s">
        <v>7106</v>
      </c>
      <c r="X567" s="5" t="s">
        <v>7106</v>
      </c>
      <c r="Y567" s="4">
        <v>488</v>
      </c>
      <c r="Z567" s="4">
        <v>364</v>
      </c>
      <c r="AA567" s="4">
        <v>423</v>
      </c>
      <c r="AB567" s="4">
        <v>3</v>
      </c>
      <c r="AC567" s="4">
        <v>3</v>
      </c>
      <c r="AD567" s="4">
        <v>23</v>
      </c>
      <c r="AE567" s="4">
        <v>24</v>
      </c>
      <c r="AF567" s="4">
        <v>5</v>
      </c>
      <c r="AG567" s="4">
        <v>5</v>
      </c>
      <c r="AH567" s="4">
        <v>8</v>
      </c>
      <c r="AI567" s="4">
        <v>8</v>
      </c>
      <c r="AJ567" s="4">
        <v>15</v>
      </c>
      <c r="AK567" s="4">
        <v>16</v>
      </c>
      <c r="AL567" s="4">
        <v>2</v>
      </c>
      <c r="AM567" s="4">
        <v>2</v>
      </c>
      <c r="AN567" s="4">
        <v>0</v>
      </c>
      <c r="AO567" s="4">
        <v>0</v>
      </c>
      <c r="AP567" s="3" t="s">
        <v>58</v>
      </c>
      <c r="AQ567" s="3" t="s">
        <v>58</v>
      </c>
      <c r="AS567" s="6" t="str">
        <f>HYPERLINK("https://creighton-primo.hosted.exlibrisgroup.com/primo-explore/search?tab=default_tab&amp;search_scope=EVERYTHING&amp;vid=01CRU&amp;lang=en_US&amp;offset=0&amp;query=any,contains,991002205649702656","Catalog Record")</f>
        <v>Catalog Record</v>
      </c>
      <c r="AT567" s="6" t="str">
        <f>HYPERLINK("http://www.worldcat.org/oclc/28376647","WorldCat Record")</f>
        <v>WorldCat Record</v>
      </c>
      <c r="AU567" s="3" t="s">
        <v>7107</v>
      </c>
      <c r="AV567" s="3" t="s">
        <v>7108</v>
      </c>
      <c r="AW567" s="3" t="s">
        <v>7109</v>
      </c>
      <c r="AX567" s="3" t="s">
        <v>7109</v>
      </c>
      <c r="AY567" s="3" t="s">
        <v>7110</v>
      </c>
      <c r="AZ567" s="3" t="s">
        <v>73</v>
      </c>
      <c r="BB567" s="3" t="s">
        <v>7111</v>
      </c>
      <c r="BC567" s="3" t="s">
        <v>7112</v>
      </c>
      <c r="BD567" s="3" t="s">
        <v>7113</v>
      </c>
    </row>
    <row r="568" spans="1:56" ht="31.5" customHeight="1" x14ac:dyDescent="0.25">
      <c r="A568" s="7" t="s">
        <v>58</v>
      </c>
      <c r="B568" s="2" t="s">
        <v>7114</v>
      </c>
      <c r="C568" s="2" t="s">
        <v>7115</v>
      </c>
      <c r="D568" s="2" t="s">
        <v>7116</v>
      </c>
      <c r="F568" s="3" t="s">
        <v>58</v>
      </c>
      <c r="G568" s="3" t="s">
        <v>59</v>
      </c>
      <c r="H568" s="3" t="s">
        <v>58</v>
      </c>
      <c r="I568" s="3" t="s">
        <v>58</v>
      </c>
      <c r="J568" s="3" t="s">
        <v>60</v>
      </c>
      <c r="K568" s="2" t="s">
        <v>7117</v>
      </c>
      <c r="L568" s="2" t="s">
        <v>7118</v>
      </c>
      <c r="M568" s="3" t="s">
        <v>185</v>
      </c>
      <c r="N568" s="2" t="s">
        <v>501</v>
      </c>
      <c r="O568" s="3" t="s">
        <v>63</v>
      </c>
      <c r="P568" s="3" t="s">
        <v>64</v>
      </c>
      <c r="R568" s="3" t="s">
        <v>65</v>
      </c>
      <c r="S568" s="4">
        <v>4</v>
      </c>
      <c r="T568" s="4">
        <v>4</v>
      </c>
      <c r="U568" s="5" t="s">
        <v>7119</v>
      </c>
      <c r="V568" s="5" t="s">
        <v>7119</v>
      </c>
      <c r="W568" s="5" t="s">
        <v>4171</v>
      </c>
      <c r="X568" s="5" t="s">
        <v>4171</v>
      </c>
      <c r="Y568" s="4">
        <v>785</v>
      </c>
      <c r="Z568" s="4">
        <v>742</v>
      </c>
      <c r="AA568" s="4">
        <v>802</v>
      </c>
      <c r="AB568" s="4">
        <v>3</v>
      </c>
      <c r="AC568" s="4">
        <v>3</v>
      </c>
      <c r="AD568" s="4">
        <v>18</v>
      </c>
      <c r="AE568" s="4">
        <v>20</v>
      </c>
      <c r="AF568" s="4">
        <v>7</v>
      </c>
      <c r="AG568" s="4">
        <v>8</v>
      </c>
      <c r="AH568" s="4">
        <v>3</v>
      </c>
      <c r="AI568" s="4">
        <v>3</v>
      </c>
      <c r="AJ568" s="4">
        <v>10</v>
      </c>
      <c r="AK568" s="4">
        <v>12</v>
      </c>
      <c r="AL568" s="4">
        <v>1</v>
      </c>
      <c r="AM568" s="4">
        <v>1</v>
      </c>
      <c r="AN568" s="4">
        <v>0</v>
      </c>
      <c r="AO568" s="4">
        <v>0</v>
      </c>
      <c r="AP568" s="3" t="s">
        <v>58</v>
      </c>
      <c r="AQ568" s="3" t="s">
        <v>68</v>
      </c>
      <c r="AR568" s="6" t="str">
        <f>HYPERLINK("http://catalog.hathitrust.org/Record/000844027","HathiTrust Record")</f>
        <v>HathiTrust Record</v>
      </c>
      <c r="AS568" s="6" t="str">
        <f>HYPERLINK("https://creighton-primo.hosted.exlibrisgroup.com/primo-explore/search?tab=default_tab&amp;search_scope=EVERYTHING&amp;vid=01CRU&amp;lang=en_US&amp;offset=0&amp;query=any,contains,991001091729702656","Catalog Record")</f>
        <v>Catalog Record</v>
      </c>
      <c r="AT568" s="6" t="str">
        <f>HYPERLINK("http://www.worldcat.org/oclc/16224995","WorldCat Record")</f>
        <v>WorldCat Record</v>
      </c>
      <c r="AU568" s="3" t="s">
        <v>7120</v>
      </c>
      <c r="AV568" s="3" t="s">
        <v>7121</v>
      </c>
      <c r="AW568" s="3" t="s">
        <v>7122</v>
      </c>
      <c r="AX568" s="3" t="s">
        <v>7122</v>
      </c>
      <c r="AY568" s="3" t="s">
        <v>7123</v>
      </c>
      <c r="AZ568" s="3" t="s">
        <v>73</v>
      </c>
      <c r="BB568" s="3" t="s">
        <v>7124</v>
      </c>
      <c r="BC568" s="3" t="s">
        <v>7125</v>
      </c>
      <c r="BD568" s="3" t="s">
        <v>7126</v>
      </c>
    </row>
    <row r="569" spans="1:56" ht="31.5" customHeight="1" x14ac:dyDescent="0.25">
      <c r="A569" s="7" t="s">
        <v>58</v>
      </c>
      <c r="B569" s="2" t="s">
        <v>7127</v>
      </c>
      <c r="C569" s="2" t="s">
        <v>7128</v>
      </c>
      <c r="D569" s="2" t="s">
        <v>7129</v>
      </c>
      <c r="F569" s="3" t="s">
        <v>58</v>
      </c>
      <c r="G569" s="3" t="s">
        <v>59</v>
      </c>
      <c r="H569" s="3" t="s">
        <v>58</v>
      </c>
      <c r="I569" s="3" t="s">
        <v>58</v>
      </c>
      <c r="J569" s="3" t="s">
        <v>60</v>
      </c>
      <c r="K569" s="2" t="s">
        <v>2102</v>
      </c>
      <c r="L569" s="2" t="s">
        <v>7130</v>
      </c>
      <c r="M569" s="3" t="s">
        <v>537</v>
      </c>
      <c r="O569" s="3" t="s">
        <v>63</v>
      </c>
      <c r="P569" s="3" t="s">
        <v>186</v>
      </c>
      <c r="R569" s="3" t="s">
        <v>65</v>
      </c>
      <c r="S569" s="4">
        <v>3</v>
      </c>
      <c r="T569" s="4">
        <v>3</v>
      </c>
      <c r="U569" s="5" t="s">
        <v>7131</v>
      </c>
      <c r="V569" s="5" t="s">
        <v>7131</v>
      </c>
      <c r="W569" s="5" t="s">
        <v>2283</v>
      </c>
      <c r="X569" s="5" t="s">
        <v>2283</v>
      </c>
      <c r="Y569" s="4">
        <v>17</v>
      </c>
      <c r="Z569" s="4">
        <v>1</v>
      </c>
      <c r="AA569" s="4">
        <v>383</v>
      </c>
      <c r="AB569" s="4">
        <v>1</v>
      </c>
      <c r="AC569" s="4">
        <v>2</v>
      </c>
      <c r="AD569" s="4">
        <v>0</v>
      </c>
      <c r="AE569" s="4">
        <v>7</v>
      </c>
      <c r="AF569" s="4">
        <v>0</v>
      </c>
      <c r="AG569" s="4">
        <v>2</v>
      </c>
      <c r="AH569" s="4">
        <v>0</v>
      </c>
      <c r="AI569" s="4">
        <v>3</v>
      </c>
      <c r="AJ569" s="4">
        <v>0</v>
      </c>
      <c r="AK569" s="4">
        <v>3</v>
      </c>
      <c r="AL569" s="4">
        <v>0</v>
      </c>
      <c r="AM569" s="4">
        <v>1</v>
      </c>
      <c r="AN569" s="4">
        <v>0</v>
      </c>
      <c r="AO569" s="4">
        <v>0</v>
      </c>
      <c r="AP569" s="3" t="s">
        <v>58</v>
      </c>
      <c r="AQ569" s="3" t="s">
        <v>58</v>
      </c>
      <c r="AS569" s="6" t="str">
        <f>HYPERLINK("https://creighton-primo.hosted.exlibrisgroup.com/primo-explore/search?tab=default_tab&amp;search_scope=EVERYTHING&amp;vid=01CRU&amp;lang=en_US&amp;offset=0&amp;query=any,contains,991001955209702656","Catalog Record")</f>
        <v>Catalog Record</v>
      </c>
      <c r="AT569" s="6" t="str">
        <f>HYPERLINK("http://www.worldcat.org/oclc/24719926","WorldCat Record")</f>
        <v>WorldCat Record</v>
      </c>
      <c r="AU569" s="3" t="s">
        <v>7132</v>
      </c>
      <c r="AV569" s="3" t="s">
        <v>7133</v>
      </c>
      <c r="AW569" s="3" t="s">
        <v>7134</v>
      </c>
      <c r="AX569" s="3" t="s">
        <v>7134</v>
      </c>
      <c r="AY569" s="3" t="s">
        <v>7135</v>
      </c>
      <c r="AZ569" s="3" t="s">
        <v>73</v>
      </c>
      <c r="BB569" s="3" t="s">
        <v>7136</v>
      </c>
      <c r="BC569" s="3" t="s">
        <v>7137</v>
      </c>
      <c r="BD569" s="3" t="s">
        <v>7138</v>
      </c>
    </row>
    <row r="570" spans="1:56" ht="31.5" customHeight="1" x14ac:dyDescent="0.25">
      <c r="A570" s="7" t="s">
        <v>58</v>
      </c>
      <c r="B570" s="2" t="s">
        <v>7139</v>
      </c>
      <c r="C570" s="2" t="s">
        <v>7140</v>
      </c>
      <c r="D570" s="2" t="s">
        <v>7141</v>
      </c>
      <c r="F570" s="3" t="s">
        <v>58</v>
      </c>
      <c r="G570" s="3" t="s">
        <v>59</v>
      </c>
      <c r="H570" s="3" t="s">
        <v>58</v>
      </c>
      <c r="I570" s="3" t="s">
        <v>58</v>
      </c>
      <c r="J570" s="3" t="s">
        <v>60</v>
      </c>
      <c r="K570" s="2" t="s">
        <v>7142</v>
      </c>
      <c r="L570" s="2" t="s">
        <v>7143</v>
      </c>
      <c r="M570" s="3" t="s">
        <v>257</v>
      </c>
      <c r="N570" s="2" t="s">
        <v>501</v>
      </c>
      <c r="O570" s="3" t="s">
        <v>63</v>
      </c>
      <c r="P570" s="3" t="s">
        <v>64</v>
      </c>
      <c r="Q570" s="2" t="s">
        <v>7144</v>
      </c>
      <c r="R570" s="3" t="s">
        <v>65</v>
      </c>
      <c r="S570" s="4">
        <v>1</v>
      </c>
      <c r="T570" s="4">
        <v>1</v>
      </c>
      <c r="U570" s="5" t="s">
        <v>7145</v>
      </c>
      <c r="V570" s="5" t="s">
        <v>7145</v>
      </c>
      <c r="W570" s="5" t="s">
        <v>7146</v>
      </c>
      <c r="X570" s="5" t="s">
        <v>7146</v>
      </c>
      <c r="Y570" s="4">
        <v>187</v>
      </c>
      <c r="Z570" s="4">
        <v>174</v>
      </c>
      <c r="AA570" s="4">
        <v>185</v>
      </c>
      <c r="AB570" s="4">
        <v>3</v>
      </c>
      <c r="AC570" s="4">
        <v>3</v>
      </c>
      <c r="AD570" s="4">
        <v>5</v>
      </c>
      <c r="AE570" s="4">
        <v>5</v>
      </c>
      <c r="AF570" s="4">
        <v>1</v>
      </c>
      <c r="AG570" s="4">
        <v>1</v>
      </c>
      <c r="AH570" s="4">
        <v>2</v>
      </c>
      <c r="AI570" s="4">
        <v>2</v>
      </c>
      <c r="AJ570" s="4">
        <v>3</v>
      </c>
      <c r="AK570" s="4">
        <v>3</v>
      </c>
      <c r="AL570" s="4">
        <v>1</v>
      </c>
      <c r="AM570" s="4">
        <v>1</v>
      </c>
      <c r="AN570" s="4">
        <v>0</v>
      </c>
      <c r="AO570" s="4">
        <v>0</v>
      </c>
      <c r="AP570" s="3" t="s">
        <v>58</v>
      </c>
      <c r="AQ570" s="3" t="s">
        <v>58</v>
      </c>
      <c r="AS570" s="6" t="str">
        <f>HYPERLINK("https://creighton-primo.hosted.exlibrisgroup.com/primo-explore/search?tab=default_tab&amp;search_scope=EVERYTHING&amp;vid=01CRU&amp;lang=en_US&amp;offset=0&amp;query=any,contains,991002705799702656","Catalog Record")</f>
        <v>Catalog Record</v>
      </c>
      <c r="AT570" s="6" t="str">
        <f>HYPERLINK("http://www.worldcat.org/oclc/35318981","WorldCat Record")</f>
        <v>WorldCat Record</v>
      </c>
      <c r="AU570" s="3" t="s">
        <v>7147</v>
      </c>
      <c r="AV570" s="3" t="s">
        <v>7148</v>
      </c>
      <c r="AW570" s="3" t="s">
        <v>7149</v>
      </c>
      <c r="AX570" s="3" t="s">
        <v>7149</v>
      </c>
      <c r="AY570" s="3" t="s">
        <v>7150</v>
      </c>
      <c r="AZ570" s="3" t="s">
        <v>73</v>
      </c>
      <c r="BB570" s="3" t="s">
        <v>7151</v>
      </c>
      <c r="BC570" s="3" t="s">
        <v>7152</v>
      </c>
      <c r="BD570" s="3" t="s">
        <v>7153</v>
      </c>
    </row>
    <row r="571" spans="1:56" ht="31.5" customHeight="1" x14ac:dyDescent="0.25">
      <c r="A571" s="7" t="s">
        <v>58</v>
      </c>
      <c r="B571" s="2" t="s">
        <v>7154</v>
      </c>
      <c r="C571" s="2" t="s">
        <v>7155</v>
      </c>
      <c r="D571" s="2" t="s">
        <v>7156</v>
      </c>
      <c r="F571" s="3" t="s">
        <v>58</v>
      </c>
      <c r="G571" s="3" t="s">
        <v>59</v>
      </c>
      <c r="H571" s="3" t="s">
        <v>58</v>
      </c>
      <c r="I571" s="3" t="s">
        <v>58</v>
      </c>
      <c r="J571" s="3" t="s">
        <v>60</v>
      </c>
      <c r="K571" s="2" t="s">
        <v>7157</v>
      </c>
      <c r="L571" s="2" t="s">
        <v>7158</v>
      </c>
      <c r="M571" s="3" t="s">
        <v>144</v>
      </c>
      <c r="O571" s="3" t="s">
        <v>63</v>
      </c>
      <c r="P571" s="3" t="s">
        <v>1014</v>
      </c>
      <c r="Q571" s="2" t="s">
        <v>7159</v>
      </c>
      <c r="R571" s="3" t="s">
        <v>65</v>
      </c>
      <c r="S571" s="4">
        <v>5</v>
      </c>
      <c r="T571" s="4">
        <v>5</v>
      </c>
      <c r="U571" s="5" t="s">
        <v>7160</v>
      </c>
      <c r="V571" s="5" t="s">
        <v>7160</v>
      </c>
      <c r="W571" s="5" t="s">
        <v>1016</v>
      </c>
      <c r="X571" s="5" t="s">
        <v>1016</v>
      </c>
      <c r="Y571" s="4">
        <v>96</v>
      </c>
      <c r="Z571" s="4">
        <v>76</v>
      </c>
      <c r="AA571" s="4">
        <v>78</v>
      </c>
      <c r="AB571" s="4">
        <v>1</v>
      </c>
      <c r="AC571" s="4">
        <v>1</v>
      </c>
      <c r="AD571" s="4">
        <v>3</v>
      </c>
      <c r="AE571" s="4">
        <v>3</v>
      </c>
      <c r="AF571" s="4">
        <v>0</v>
      </c>
      <c r="AG571" s="4">
        <v>0</v>
      </c>
      <c r="AH571" s="4">
        <v>2</v>
      </c>
      <c r="AI571" s="4">
        <v>2</v>
      </c>
      <c r="AJ571" s="4">
        <v>2</v>
      </c>
      <c r="AK571" s="4">
        <v>2</v>
      </c>
      <c r="AL571" s="4">
        <v>0</v>
      </c>
      <c r="AM571" s="4">
        <v>0</v>
      </c>
      <c r="AN571" s="4">
        <v>0</v>
      </c>
      <c r="AO571" s="4">
        <v>0</v>
      </c>
      <c r="AP571" s="3" t="s">
        <v>58</v>
      </c>
      <c r="AQ571" s="3" t="s">
        <v>68</v>
      </c>
      <c r="AR571" s="6" t="str">
        <f>HYPERLINK("http://catalog.hathitrust.org/Record/006255925","HathiTrust Record")</f>
        <v>HathiTrust Record</v>
      </c>
      <c r="AS571" s="6" t="str">
        <f>HYPERLINK("https://creighton-primo.hosted.exlibrisgroup.com/primo-explore/search?tab=default_tab&amp;search_scope=EVERYTHING&amp;vid=01CRU&amp;lang=en_US&amp;offset=0&amp;query=any,contains,991000169589702656","Catalog Record")</f>
        <v>Catalog Record</v>
      </c>
      <c r="AT571" s="6" t="str">
        <f>HYPERLINK("http://www.worldcat.org/oclc/9323022","WorldCat Record")</f>
        <v>WorldCat Record</v>
      </c>
      <c r="AU571" s="3" t="s">
        <v>7161</v>
      </c>
      <c r="AV571" s="3" t="s">
        <v>7162</v>
      </c>
      <c r="AW571" s="3" t="s">
        <v>7163</v>
      </c>
      <c r="AX571" s="3" t="s">
        <v>7163</v>
      </c>
      <c r="AY571" s="3" t="s">
        <v>7164</v>
      </c>
      <c r="AZ571" s="3" t="s">
        <v>73</v>
      </c>
      <c r="BB571" s="3" t="s">
        <v>7165</v>
      </c>
      <c r="BC571" s="3" t="s">
        <v>7166</v>
      </c>
      <c r="BD571" s="3" t="s">
        <v>7167</v>
      </c>
    </row>
    <row r="572" spans="1:56" ht="31.5" customHeight="1" x14ac:dyDescent="0.25">
      <c r="A572" s="7" t="s">
        <v>58</v>
      </c>
      <c r="B572" s="2" t="s">
        <v>7168</v>
      </c>
      <c r="C572" s="2" t="s">
        <v>7169</v>
      </c>
      <c r="D572" s="2" t="s">
        <v>7170</v>
      </c>
      <c r="F572" s="3" t="s">
        <v>58</v>
      </c>
      <c r="G572" s="3" t="s">
        <v>59</v>
      </c>
      <c r="H572" s="3" t="s">
        <v>58</v>
      </c>
      <c r="I572" s="3" t="s">
        <v>58</v>
      </c>
      <c r="J572" s="3" t="s">
        <v>60</v>
      </c>
      <c r="K572" s="2" t="s">
        <v>7157</v>
      </c>
      <c r="L572" s="2" t="s">
        <v>7171</v>
      </c>
      <c r="M572" s="3" t="s">
        <v>1939</v>
      </c>
      <c r="O572" s="3" t="s">
        <v>63</v>
      </c>
      <c r="P572" s="3" t="s">
        <v>1014</v>
      </c>
      <c r="Q572" s="2" t="s">
        <v>7172</v>
      </c>
      <c r="R572" s="3" t="s">
        <v>65</v>
      </c>
      <c r="S572" s="4">
        <v>8</v>
      </c>
      <c r="T572" s="4">
        <v>8</v>
      </c>
      <c r="U572" s="5" t="s">
        <v>3905</v>
      </c>
      <c r="V572" s="5" t="s">
        <v>3905</v>
      </c>
      <c r="W572" s="5" t="s">
        <v>7173</v>
      </c>
      <c r="X572" s="5" t="s">
        <v>7173</v>
      </c>
      <c r="Y572" s="4">
        <v>85</v>
      </c>
      <c r="Z572" s="4">
        <v>67</v>
      </c>
      <c r="AA572" s="4">
        <v>68</v>
      </c>
      <c r="AB572" s="4">
        <v>1</v>
      </c>
      <c r="AC572" s="4">
        <v>1</v>
      </c>
      <c r="AD572" s="4">
        <v>4</v>
      </c>
      <c r="AE572" s="4">
        <v>4</v>
      </c>
      <c r="AF572" s="4">
        <v>0</v>
      </c>
      <c r="AG572" s="4">
        <v>0</v>
      </c>
      <c r="AH572" s="4">
        <v>2</v>
      </c>
      <c r="AI572" s="4">
        <v>2</v>
      </c>
      <c r="AJ572" s="4">
        <v>3</v>
      </c>
      <c r="AK572" s="4">
        <v>3</v>
      </c>
      <c r="AL572" s="4">
        <v>0</v>
      </c>
      <c r="AM572" s="4">
        <v>0</v>
      </c>
      <c r="AN572" s="4">
        <v>0</v>
      </c>
      <c r="AO572" s="4">
        <v>0</v>
      </c>
      <c r="AP572" s="3" t="s">
        <v>58</v>
      </c>
      <c r="AQ572" s="3" t="s">
        <v>68</v>
      </c>
      <c r="AR572" s="6" t="str">
        <f>HYPERLINK("http://catalog.hathitrust.org/Record/003101073","HathiTrust Record")</f>
        <v>HathiTrust Record</v>
      </c>
      <c r="AS572" s="6" t="str">
        <f>HYPERLINK("https://creighton-primo.hosted.exlibrisgroup.com/primo-explore/search?tab=default_tab&amp;search_scope=EVERYTHING&amp;vid=01CRU&amp;lang=en_US&amp;offset=0&amp;query=any,contains,991002708749702656","Catalog Record")</f>
        <v>Catalog Record</v>
      </c>
      <c r="AT572" s="6" t="str">
        <f>HYPERLINK("http://www.worldcat.org/oclc/35446655","WorldCat Record")</f>
        <v>WorldCat Record</v>
      </c>
      <c r="AU572" s="3" t="s">
        <v>7174</v>
      </c>
      <c r="AV572" s="3" t="s">
        <v>7175</v>
      </c>
      <c r="AW572" s="3" t="s">
        <v>7176</v>
      </c>
      <c r="AX572" s="3" t="s">
        <v>7176</v>
      </c>
      <c r="AY572" s="3" t="s">
        <v>7177</v>
      </c>
      <c r="AZ572" s="3" t="s">
        <v>73</v>
      </c>
      <c r="BB572" s="3" t="s">
        <v>7178</v>
      </c>
      <c r="BC572" s="3" t="s">
        <v>7179</v>
      </c>
      <c r="BD572" s="3" t="s">
        <v>7180</v>
      </c>
    </row>
    <row r="573" spans="1:56" ht="31.5" customHeight="1" x14ac:dyDescent="0.25">
      <c r="A573" s="7" t="s">
        <v>58</v>
      </c>
      <c r="B573" s="2" t="s">
        <v>7181</v>
      </c>
      <c r="C573" s="2" t="s">
        <v>7182</v>
      </c>
      <c r="D573" s="2" t="s">
        <v>7183</v>
      </c>
      <c r="F573" s="3" t="s">
        <v>58</v>
      </c>
      <c r="G573" s="3" t="s">
        <v>59</v>
      </c>
      <c r="H573" s="3" t="s">
        <v>58</v>
      </c>
      <c r="I573" s="3" t="s">
        <v>58</v>
      </c>
      <c r="J573" s="3" t="s">
        <v>60</v>
      </c>
      <c r="K573" s="2" t="s">
        <v>7184</v>
      </c>
      <c r="L573" s="2" t="s">
        <v>7185</v>
      </c>
      <c r="M573" s="3" t="s">
        <v>835</v>
      </c>
      <c r="O573" s="3" t="s">
        <v>63</v>
      </c>
      <c r="P573" s="3" t="s">
        <v>64</v>
      </c>
      <c r="R573" s="3" t="s">
        <v>65</v>
      </c>
      <c r="S573" s="4">
        <v>2</v>
      </c>
      <c r="T573" s="4">
        <v>2</v>
      </c>
      <c r="U573" s="5" t="s">
        <v>3787</v>
      </c>
      <c r="V573" s="5" t="s">
        <v>3787</v>
      </c>
      <c r="W573" s="5" t="s">
        <v>2684</v>
      </c>
      <c r="X573" s="5" t="s">
        <v>2684</v>
      </c>
      <c r="Y573" s="4">
        <v>588</v>
      </c>
      <c r="Z573" s="4">
        <v>496</v>
      </c>
      <c r="AA573" s="4">
        <v>518</v>
      </c>
      <c r="AB573" s="4">
        <v>5</v>
      </c>
      <c r="AC573" s="4">
        <v>5</v>
      </c>
      <c r="AD573" s="4">
        <v>17</v>
      </c>
      <c r="AE573" s="4">
        <v>17</v>
      </c>
      <c r="AF573" s="4">
        <v>4</v>
      </c>
      <c r="AG573" s="4">
        <v>4</v>
      </c>
      <c r="AH573" s="4">
        <v>5</v>
      </c>
      <c r="AI573" s="4">
        <v>5</v>
      </c>
      <c r="AJ573" s="4">
        <v>8</v>
      </c>
      <c r="AK573" s="4">
        <v>8</v>
      </c>
      <c r="AL573" s="4">
        <v>4</v>
      </c>
      <c r="AM573" s="4">
        <v>4</v>
      </c>
      <c r="AN573" s="4">
        <v>0</v>
      </c>
      <c r="AO573" s="4">
        <v>0</v>
      </c>
      <c r="AP573" s="3" t="s">
        <v>58</v>
      </c>
      <c r="AQ573" s="3" t="s">
        <v>58</v>
      </c>
      <c r="AS573" s="6" t="str">
        <f>HYPERLINK("https://creighton-primo.hosted.exlibrisgroup.com/primo-explore/search?tab=default_tab&amp;search_scope=EVERYTHING&amp;vid=01CRU&amp;lang=en_US&amp;offset=0&amp;query=any,contains,991002879539702656","Catalog Record")</f>
        <v>Catalog Record</v>
      </c>
      <c r="AT573" s="6" t="str">
        <f>HYPERLINK("http://www.worldcat.org/oclc/37947572","WorldCat Record")</f>
        <v>WorldCat Record</v>
      </c>
      <c r="AU573" s="3" t="s">
        <v>7186</v>
      </c>
      <c r="AV573" s="3" t="s">
        <v>7187</v>
      </c>
      <c r="AW573" s="3" t="s">
        <v>7188</v>
      </c>
      <c r="AX573" s="3" t="s">
        <v>7188</v>
      </c>
      <c r="AY573" s="3" t="s">
        <v>7189</v>
      </c>
      <c r="AZ573" s="3" t="s">
        <v>73</v>
      </c>
      <c r="BB573" s="3" t="s">
        <v>7190</v>
      </c>
      <c r="BC573" s="3" t="s">
        <v>7191</v>
      </c>
      <c r="BD573" s="3" t="s">
        <v>7192</v>
      </c>
    </row>
    <row r="574" spans="1:56" ht="31.5" customHeight="1" x14ac:dyDescent="0.25">
      <c r="A574" s="7" t="s">
        <v>58</v>
      </c>
      <c r="B574" s="2" t="s">
        <v>7193</v>
      </c>
      <c r="C574" s="2" t="s">
        <v>7194</v>
      </c>
      <c r="D574" s="2" t="s">
        <v>7195</v>
      </c>
      <c r="F574" s="3" t="s">
        <v>58</v>
      </c>
      <c r="G574" s="3" t="s">
        <v>59</v>
      </c>
      <c r="H574" s="3" t="s">
        <v>58</v>
      </c>
      <c r="I574" s="3" t="s">
        <v>58</v>
      </c>
      <c r="J574" s="3" t="s">
        <v>60</v>
      </c>
      <c r="K574" s="2" t="s">
        <v>7196</v>
      </c>
      <c r="L574" s="2" t="s">
        <v>7197</v>
      </c>
      <c r="M574" s="3" t="s">
        <v>2253</v>
      </c>
      <c r="O574" s="3" t="s">
        <v>63</v>
      </c>
      <c r="P574" s="3" t="s">
        <v>186</v>
      </c>
      <c r="R574" s="3" t="s">
        <v>65</v>
      </c>
      <c r="S574" s="4">
        <v>2</v>
      </c>
      <c r="T574" s="4">
        <v>2</v>
      </c>
      <c r="U574" s="5" t="s">
        <v>7198</v>
      </c>
      <c r="V574" s="5" t="s">
        <v>7198</v>
      </c>
      <c r="W574" s="5" t="s">
        <v>3853</v>
      </c>
      <c r="X574" s="5" t="s">
        <v>3853</v>
      </c>
      <c r="Y574" s="4">
        <v>27</v>
      </c>
      <c r="Z574" s="4">
        <v>14</v>
      </c>
      <c r="AA574" s="4">
        <v>497</v>
      </c>
      <c r="AB574" s="4">
        <v>1</v>
      </c>
      <c r="AC574" s="4">
        <v>4</v>
      </c>
      <c r="AD574" s="4">
        <v>0</v>
      </c>
      <c r="AE574" s="4">
        <v>9</v>
      </c>
      <c r="AF574" s="4">
        <v>0</v>
      </c>
      <c r="AG574" s="4">
        <v>3</v>
      </c>
      <c r="AH574" s="4">
        <v>0</v>
      </c>
      <c r="AI574" s="4">
        <v>1</v>
      </c>
      <c r="AJ574" s="4">
        <v>0</v>
      </c>
      <c r="AK574" s="4">
        <v>7</v>
      </c>
      <c r="AL574" s="4">
        <v>0</v>
      </c>
      <c r="AM574" s="4">
        <v>2</v>
      </c>
      <c r="AN574" s="4">
        <v>0</v>
      </c>
      <c r="AO574" s="4">
        <v>0</v>
      </c>
      <c r="AP574" s="3" t="s">
        <v>58</v>
      </c>
      <c r="AQ574" s="3" t="s">
        <v>58</v>
      </c>
      <c r="AS574" s="6" t="str">
        <f>HYPERLINK("https://creighton-primo.hosted.exlibrisgroup.com/primo-explore/search?tab=default_tab&amp;search_scope=EVERYTHING&amp;vid=01CRU&amp;lang=en_US&amp;offset=0&amp;query=any,contains,991001082239702656","Catalog Record")</f>
        <v>Catalog Record</v>
      </c>
      <c r="AT574" s="6" t="str">
        <f>HYPERLINK("http://www.worldcat.org/oclc/16089887","WorldCat Record")</f>
        <v>WorldCat Record</v>
      </c>
      <c r="AU574" s="3" t="s">
        <v>7199</v>
      </c>
      <c r="AV574" s="3" t="s">
        <v>7200</v>
      </c>
      <c r="AW574" s="3" t="s">
        <v>7201</v>
      </c>
      <c r="AX574" s="3" t="s">
        <v>7201</v>
      </c>
      <c r="AY574" s="3" t="s">
        <v>7202</v>
      </c>
      <c r="AZ574" s="3" t="s">
        <v>73</v>
      </c>
      <c r="BB574" s="3" t="s">
        <v>7203</v>
      </c>
      <c r="BC574" s="3" t="s">
        <v>7204</v>
      </c>
      <c r="BD574" s="3" t="s">
        <v>7205</v>
      </c>
    </row>
    <row r="575" spans="1:56" ht="31.5" customHeight="1" x14ac:dyDescent="0.25">
      <c r="A575" s="7" t="s">
        <v>58</v>
      </c>
      <c r="B575" s="2" t="s">
        <v>7206</v>
      </c>
      <c r="C575" s="2" t="s">
        <v>7207</v>
      </c>
      <c r="D575" s="2" t="s">
        <v>7208</v>
      </c>
      <c r="F575" s="3" t="s">
        <v>58</v>
      </c>
      <c r="G575" s="3" t="s">
        <v>59</v>
      </c>
      <c r="H575" s="3" t="s">
        <v>58</v>
      </c>
      <c r="I575" s="3" t="s">
        <v>58</v>
      </c>
      <c r="J575" s="3" t="s">
        <v>60</v>
      </c>
      <c r="K575" s="2" t="s">
        <v>2518</v>
      </c>
      <c r="L575" s="2" t="s">
        <v>7209</v>
      </c>
      <c r="M575" s="3" t="s">
        <v>607</v>
      </c>
      <c r="O575" s="3" t="s">
        <v>63</v>
      </c>
      <c r="P575" s="3" t="s">
        <v>64</v>
      </c>
      <c r="R575" s="3" t="s">
        <v>65</v>
      </c>
      <c r="S575" s="4">
        <v>2</v>
      </c>
      <c r="T575" s="4">
        <v>2</v>
      </c>
      <c r="U575" s="5" t="s">
        <v>7210</v>
      </c>
      <c r="V575" s="5" t="s">
        <v>7210</v>
      </c>
      <c r="W575" s="5" t="s">
        <v>4002</v>
      </c>
      <c r="X575" s="5" t="s">
        <v>4002</v>
      </c>
      <c r="Y575" s="4">
        <v>534</v>
      </c>
      <c r="Z575" s="4">
        <v>433</v>
      </c>
      <c r="AA575" s="4">
        <v>628</v>
      </c>
      <c r="AB575" s="4">
        <v>3</v>
      </c>
      <c r="AC575" s="4">
        <v>3</v>
      </c>
      <c r="AD575" s="4">
        <v>14</v>
      </c>
      <c r="AE575" s="4">
        <v>20</v>
      </c>
      <c r="AF575" s="4">
        <v>5</v>
      </c>
      <c r="AG575" s="4">
        <v>8</v>
      </c>
      <c r="AH575" s="4">
        <v>0</v>
      </c>
      <c r="AI575" s="4">
        <v>2</v>
      </c>
      <c r="AJ575" s="4">
        <v>10</v>
      </c>
      <c r="AK575" s="4">
        <v>12</v>
      </c>
      <c r="AL575" s="4">
        <v>2</v>
      </c>
      <c r="AM575" s="4">
        <v>2</v>
      </c>
      <c r="AN575" s="4">
        <v>0</v>
      </c>
      <c r="AO575" s="4">
        <v>0</v>
      </c>
      <c r="AP575" s="3" t="s">
        <v>58</v>
      </c>
      <c r="AQ575" s="3" t="s">
        <v>68</v>
      </c>
      <c r="AR575" s="6" t="str">
        <f>HYPERLINK("http://catalog.hathitrust.org/Record/001477360","HathiTrust Record")</f>
        <v>HathiTrust Record</v>
      </c>
      <c r="AS575" s="6" t="str">
        <f>HYPERLINK("https://creighton-primo.hosted.exlibrisgroup.com/primo-explore/search?tab=default_tab&amp;search_scope=EVERYTHING&amp;vid=01CRU&amp;lang=en_US&amp;offset=0&amp;query=any,contains,991003112969702656","Catalog Record")</f>
        <v>Catalog Record</v>
      </c>
      <c r="AT575" s="6" t="str">
        <f>HYPERLINK("http://www.worldcat.org/oclc/658036","WorldCat Record")</f>
        <v>WorldCat Record</v>
      </c>
      <c r="AU575" s="3" t="s">
        <v>7211</v>
      </c>
      <c r="AV575" s="3" t="s">
        <v>7212</v>
      </c>
      <c r="AW575" s="3" t="s">
        <v>7213</v>
      </c>
      <c r="AX575" s="3" t="s">
        <v>7213</v>
      </c>
      <c r="AY575" s="3" t="s">
        <v>7214</v>
      </c>
      <c r="AZ575" s="3" t="s">
        <v>73</v>
      </c>
      <c r="BB575" s="3" t="s">
        <v>7215</v>
      </c>
      <c r="BC575" s="3" t="s">
        <v>7216</v>
      </c>
      <c r="BD575" s="3" t="s">
        <v>7217</v>
      </c>
    </row>
    <row r="576" spans="1:56" ht="31.5" customHeight="1" x14ac:dyDescent="0.25">
      <c r="A576" s="7" t="s">
        <v>58</v>
      </c>
      <c r="B576" s="2" t="s">
        <v>7218</v>
      </c>
      <c r="C576" s="2" t="s">
        <v>7219</v>
      </c>
      <c r="D576" s="2" t="s">
        <v>7220</v>
      </c>
      <c r="F576" s="3" t="s">
        <v>58</v>
      </c>
      <c r="G576" s="3" t="s">
        <v>59</v>
      </c>
      <c r="H576" s="3" t="s">
        <v>58</v>
      </c>
      <c r="I576" s="3" t="s">
        <v>58</v>
      </c>
      <c r="J576" s="3" t="s">
        <v>60</v>
      </c>
      <c r="K576" s="2" t="s">
        <v>7221</v>
      </c>
      <c r="L576" s="2" t="s">
        <v>7222</v>
      </c>
      <c r="M576" s="3" t="s">
        <v>97</v>
      </c>
      <c r="O576" s="3" t="s">
        <v>63</v>
      </c>
      <c r="P576" s="3" t="s">
        <v>186</v>
      </c>
      <c r="Q576" s="2" t="s">
        <v>660</v>
      </c>
      <c r="R576" s="3" t="s">
        <v>65</v>
      </c>
      <c r="S576" s="4">
        <v>9</v>
      </c>
      <c r="T576" s="4">
        <v>9</v>
      </c>
      <c r="U576" s="5" t="s">
        <v>2723</v>
      </c>
      <c r="V576" s="5" t="s">
        <v>2723</v>
      </c>
      <c r="W576" s="5" t="s">
        <v>7223</v>
      </c>
      <c r="X576" s="5" t="s">
        <v>7223</v>
      </c>
      <c r="Y576" s="4">
        <v>360</v>
      </c>
      <c r="Z576" s="4">
        <v>252</v>
      </c>
      <c r="AA576" s="4">
        <v>258</v>
      </c>
      <c r="AB576" s="4">
        <v>3</v>
      </c>
      <c r="AC576" s="4">
        <v>3</v>
      </c>
      <c r="AD576" s="4">
        <v>15</v>
      </c>
      <c r="AE576" s="4">
        <v>15</v>
      </c>
      <c r="AF576" s="4">
        <v>3</v>
      </c>
      <c r="AG576" s="4">
        <v>3</v>
      </c>
      <c r="AH576" s="4">
        <v>4</v>
      </c>
      <c r="AI576" s="4">
        <v>4</v>
      </c>
      <c r="AJ576" s="4">
        <v>10</v>
      </c>
      <c r="AK576" s="4">
        <v>10</v>
      </c>
      <c r="AL576" s="4">
        <v>2</v>
      </c>
      <c r="AM576" s="4">
        <v>2</v>
      </c>
      <c r="AN576" s="4">
        <v>0</v>
      </c>
      <c r="AO576" s="4">
        <v>0</v>
      </c>
      <c r="AP576" s="3" t="s">
        <v>58</v>
      </c>
      <c r="AQ576" s="3" t="s">
        <v>68</v>
      </c>
      <c r="AR576" s="6" t="str">
        <f>HYPERLINK("http://catalog.hathitrust.org/Record/001826731","HathiTrust Record")</f>
        <v>HathiTrust Record</v>
      </c>
      <c r="AS576" s="6" t="str">
        <f>HYPERLINK("https://creighton-primo.hosted.exlibrisgroup.com/primo-explore/search?tab=default_tab&amp;search_scope=EVERYTHING&amp;vid=01CRU&amp;lang=en_US&amp;offset=0&amp;query=any,contains,991001409779702656","Catalog Record")</f>
        <v>Catalog Record</v>
      </c>
      <c r="AT576" s="6" t="str">
        <f>HYPERLINK("http://www.worldcat.org/oclc/18879120","WorldCat Record")</f>
        <v>WorldCat Record</v>
      </c>
      <c r="AU576" s="3" t="s">
        <v>7224</v>
      </c>
      <c r="AV576" s="3" t="s">
        <v>7225</v>
      </c>
      <c r="AW576" s="3" t="s">
        <v>7226</v>
      </c>
      <c r="AX576" s="3" t="s">
        <v>7226</v>
      </c>
      <c r="AY576" s="3" t="s">
        <v>7227</v>
      </c>
      <c r="AZ576" s="3" t="s">
        <v>73</v>
      </c>
      <c r="BB576" s="3" t="s">
        <v>7228</v>
      </c>
      <c r="BC576" s="3" t="s">
        <v>7229</v>
      </c>
      <c r="BD576" s="3" t="s">
        <v>7230</v>
      </c>
    </row>
    <row r="577" spans="1:56" ht="31.5" customHeight="1" x14ac:dyDescent="0.25">
      <c r="A577" s="7" t="s">
        <v>58</v>
      </c>
      <c r="B577" s="2" t="s">
        <v>7231</v>
      </c>
      <c r="C577" s="2" t="s">
        <v>7232</v>
      </c>
      <c r="D577" s="2" t="s">
        <v>7233</v>
      </c>
      <c r="F577" s="3" t="s">
        <v>58</v>
      </c>
      <c r="G577" s="3" t="s">
        <v>59</v>
      </c>
      <c r="H577" s="3" t="s">
        <v>58</v>
      </c>
      <c r="I577" s="3" t="s">
        <v>58</v>
      </c>
      <c r="J577" s="3" t="s">
        <v>60</v>
      </c>
      <c r="K577" s="2" t="s">
        <v>7234</v>
      </c>
      <c r="L577" s="2" t="s">
        <v>7235</v>
      </c>
      <c r="M577" s="3" t="s">
        <v>2253</v>
      </c>
      <c r="N577" s="2" t="s">
        <v>7236</v>
      </c>
      <c r="O577" s="3" t="s">
        <v>63</v>
      </c>
      <c r="P577" s="3" t="s">
        <v>98</v>
      </c>
      <c r="R577" s="3" t="s">
        <v>65</v>
      </c>
      <c r="S577" s="4">
        <v>4</v>
      </c>
      <c r="T577" s="4">
        <v>4</v>
      </c>
      <c r="U577" s="5" t="s">
        <v>7237</v>
      </c>
      <c r="V577" s="5" t="s">
        <v>7237</v>
      </c>
      <c r="W577" s="5" t="s">
        <v>3853</v>
      </c>
      <c r="X577" s="5" t="s">
        <v>3853</v>
      </c>
      <c r="Y577" s="4">
        <v>290</v>
      </c>
      <c r="Z577" s="4">
        <v>218</v>
      </c>
      <c r="AA577" s="4">
        <v>234</v>
      </c>
      <c r="AB577" s="4">
        <v>2</v>
      </c>
      <c r="AC577" s="4">
        <v>2</v>
      </c>
      <c r="AD577" s="4">
        <v>6</v>
      </c>
      <c r="AE577" s="4">
        <v>7</v>
      </c>
      <c r="AF577" s="4">
        <v>2</v>
      </c>
      <c r="AG577" s="4">
        <v>2</v>
      </c>
      <c r="AH577" s="4">
        <v>1</v>
      </c>
      <c r="AI577" s="4">
        <v>2</v>
      </c>
      <c r="AJ577" s="4">
        <v>2</v>
      </c>
      <c r="AK577" s="4">
        <v>3</v>
      </c>
      <c r="AL577" s="4">
        <v>1</v>
      </c>
      <c r="AM577" s="4">
        <v>1</v>
      </c>
      <c r="AN577" s="4">
        <v>0</v>
      </c>
      <c r="AO577" s="4">
        <v>0</v>
      </c>
      <c r="AP577" s="3" t="s">
        <v>58</v>
      </c>
      <c r="AQ577" s="3" t="s">
        <v>68</v>
      </c>
      <c r="AR577" s="6" t="str">
        <f>HYPERLINK("http://catalog.hathitrust.org/Record/000821095","HathiTrust Record")</f>
        <v>HathiTrust Record</v>
      </c>
      <c r="AS577" s="6" t="str">
        <f>HYPERLINK("https://creighton-primo.hosted.exlibrisgroup.com/primo-explore/search?tab=default_tab&amp;search_scope=EVERYTHING&amp;vid=01CRU&amp;lang=en_US&amp;offset=0&amp;query=any,contains,991000914649702656","Catalog Record")</f>
        <v>Catalog Record</v>
      </c>
      <c r="AT577" s="6" t="str">
        <f>HYPERLINK("http://www.worldcat.org/oclc/14166672","WorldCat Record")</f>
        <v>WorldCat Record</v>
      </c>
      <c r="AU577" s="3" t="s">
        <v>7238</v>
      </c>
      <c r="AV577" s="3" t="s">
        <v>7239</v>
      </c>
      <c r="AW577" s="3" t="s">
        <v>7240</v>
      </c>
      <c r="AX577" s="3" t="s">
        <v>7240</v>
      </c>
      <c r="AY577" s="3" t="s">
        <v>7241</v>
      </c>
      <c r="AZ577" s="3" t="s">
        <v>73</v>
      </c>
      <c r="BB577" s="3" t="s">
        <v>7242</v>
      </c>
      <c r="BC577" s="3" t="s">
        <v>7243</v>
      </c>
      <c r="BD577" s="3" t="s">
        <v>7244</v>
      </c>
    </row>
    <row r="578" spans="1:56" ht="31.5" customHeight="1" x14ac:dyDescent="0.25">
      <c r="A578" s="7" t="s">
        <v>58</v>
      </c>
      <c r="B578" s="2" t="s">
        <v>7245</v>
      </c>
      <c r="C578" s="2" t="s">
        <v>7246</v>
      </c>
      <c r="D578" s="2" t="s">
        <v>7247</v>
      </c>
      <c r="F578" s="3" t="s">
        <v>58</v>
      </c>
      <c r="G578" s="3" t="s">
        <v>59</v>
      </c>
      <c r="H578" s="3" t="s">
        <v>58</v>
      </c>
      <c r="I578" s="3" t="s">
        <v>58</v>
      </c>
      <c r="J578" s="3" t="s">
        <v>60</v>
      </c>
      <c r="K578" s="2" t="s">
        <v>7248</v>
      </c>
      <c r="L578" s="2" t="s">
        <v>7249</v>
      </c>
      <c r="M578" s="3" t="s">
        <v>1939</v>
      </c>
      <c r="O578" s="3" t="s">
        <v>63</v>
      </c>
      <c r="P578" s="3" t="s">
        <v>360</v>
      </c>
      <c r="R578" s="3" t="s">
        <v>65</v>
      </c>
      <c r="S578" s="4">
        <v>7</v>
      </c>
      <c r="T578" s="4">
        <v>7</v>
      </c>
      <c r="U578" s="5" t="s">
        <v>6887</v>
      </c>
      <c r="V578" s="5" t="s">
        <v>6887</v>
      </c>
      <c r="W578" s="5" t="s">
        <v>5374</v>
      </c>
      <c r="X578" s="5" t="s">
        <v>5374</v>
      </c>
      <c r="Y578" s="4">
        <v>749</v>
      </c>
      <c r="Z578" s="4">
        <v>652</v>
      </c>
      <c r="AA578" s="4">
        <v>697</v>
      </c>
      <c r="AB578" s="4">
        <v>4</v>
      </c>
      <c r="AC578" s="4">
        <v>4</v>
      </c>
      <c r="AD578" s="4">
        <v>27</v>
      </c>
      <c r="AE578" s="4">
        <v>27</v>
      </c>
      <c r="AF578" s="4">
        <v>9</v>
      </c>
      <c r="AG578" s="4">
        <v>9</v>
      </c>
      <c r="AH578" s="4">
        <v>5</v>
      </c>
      <c r="AI578" s="4">
        <v>5</v>
      </c>
      <c r="AJ578" s="4">
        <v>14</v>
      </c>
      <c r="AK578" s="4">
        <v>14</v>
      </c>
      <c r="AL578" s="4">
        <v>3</v>
      </c>
      <c r="AM578" s="4">
        <v>3</v>
      </c>
      <c r="AN578" s="4">
        <v>0</v>
      </c>
      <c r="AO578" s="4">
        <v>0</v>
      </c>
      <c r="AP578" s="3" t="s">
        <v>58</v>
      </c>
      <c r="AQ578" s="3" t="s">
        <v>58</v>
      </c>
      <c r="AS578" s="6" t="str">
        <f>HYPERLINK("https://creighton-primo.hosted.exlibrisgroup.com/primo-explore/search?tab=default_tab&amp;search_scope=EVERYTHING&amp;vid=01CRU&amp;lang=en_US&amp;offset=0&amp;query=any,contains,991002628919702656","Catalog Record")</f>
        <v>Catalog Record</v>
      </c>
      <c r="AT578" s="6" t="str">
        <f>HYPERLINK("http://www.worldcat.org/oclc/34473321","WorldCat Record")</f>
        <v>WorldCat Record</v>
      </c>
      <c r="AU578" s="3" t="s">
        <v>7250</v>
      </c>
      <c r="AV578" s="3" t="s">
        <v>7251</v>
      </c>
      <c r="AW578" s="3" t="s">
        <v>7252</v>
      </c>
      <c r="AX578" s="3" t="s">
        <v>7252</v>
      </c>
      <c r="AY578" s="3" t="s">
        <v>7253</v>
      </c>
      <c r="AZ578" s="3" t="s">
        <v>73</v>
      </c>
      <c r="BB578" s="3" t="s">
        <v>7254</v>
      </c>
      <c r="BC578" s="3" t="s">
        <v>7255</v>
      </c>
      <c r="BD578" s="3" t="s">
        <v>7256</v>
      </c>
    </row>
    <row r="579" spans="1:56" ht="31.5" customHeight="1" x14ac:dyDescent="0.25">
      <c r="A579" s="7" t="s">
        <v>58</v>
      </c>
      <c r="B579" s="2" t="s">
        <v>7257</v>
      </c>
      <c r="C579" s="2" t="s">
        <v>7258</v>
      </c>
      <c r="D579" s="2" t="s">
        <v>7259</v>
      </c>
      <c r="F579" s="3" t="s">
        <v>58</v>
      </c>
      <c r="G579" s="3" t="s">
        <v>59</v>
      </c>
      <c r="H579" s="3" t="s">
        <v>58</v>
      </c>
      <c r="I579" s="3" t="s">
        <v>58</v>
      </c>
      <c r="J579" s="3" t="s">
        <v>60</v>
      </c>
      <c r="K579" s="2" t="s">
        <v>2681</v>
      </c>
      <c r="L579" s="2" t="s">
        <v>7260</v>
      </c>
      <c r="M579" s="3" t="s">
        <v>2546</v>
      </c>
      <c r="N579" s="2" t="s">
        <v>501</v>
      </c>
      <c r="O579" s="3" t="s">
        <v>63</v>
      </c>
      <c r="P579" s="3" t="s">
        <v>129</v>
      </c>
      <c r="R579" s="3" t="s">
        <v>65</v>
      </c>
      <c r="S579" s="4">
        <v>2</v>
      </c>
      <c r="T579" s="4">
        <v>2</v>
      </c>
      <c r="U579" s="5" t="s">
        <v>7261</v>
      </c>
      <c r="V579" s="5" t="s">
        <v>7261</v>
      </c>
      <c r="W579" s="5" t="s">
        <v>7262</v>
      </c>
      <c r="X579" s="5" t="s">
        <v>7262</v>
      </c>
      <c r="Y579" s="4">
        <v>1102</v>
      </c>
      <c r="Z579" s="4">
        <v>1027</v>
      </c>
      <c r="AA579" s="4">
        <v>1069</v>
      </c>
      <c r="AB579" s="4">
        <v>7</v>
      </c>
      <c r="AC579" s="4">
        <v>7</v>
      </c>
      <c r="AD579" s="4">
        <v>19</v>
      </c>
      <c r="AE579" s="4">
        <v>19</v>
      </c>
      <c r="AF579" s="4">
        <v>8</v>
      </c>
      <c r="AG579" s="4">
        <v>8</v>
      </c>
      <c r="AH579" s="4">
        <v>3</v>
      </c>
      <c r="AI579" s="4">
        <v>3</v>
      </c>
      <c r="AJ579" s="4">
        <v>8</v>
      </c>
      <c r="AK579" s="4">
        <v>8</v>
      </c>
      <c r="AL579" s="4">
        <v>4</v>
      </c>
      <c r="AM579" s="4">
        <v>4</v>
      </c>
      <c r="AN579" s="4">
        <v>0</v>
      </c>
      <c r="AO579" s="4">
        <v>0</v>
      </c>
      <c r="AP579" s="3" t="s">
        <v>58</v>
      </c>
      <c r="AQ579" s="3" t="s">
        <v>58</v>
      </c>
      <c r="AS579" s="6" t="str">
        <f>HYPERLINK("https://creighton-primo.hosted.exlibrisgroup.com/primo-explore/search?tab=default_tab&amp;search_scope=EVERYTHING&amp;vid=01CRU&amp;lang=en_US&amp;offset=0&amp;query=any,contains,991003597269702656","Catalog Record")</f>
        <v>Catalog Record</v>
      </c>
      <c r="AT579" s="6" t="str">
        <f>HYPERLINK("http://www.worldcat.org/oclc/44467528","WorldCat Record")</f>
        <v>WorldCat Record</v>
      </c>
      <c r="AU579" s="3" t="s">
        <v>7263</v>
      </c>
      <c r="AV579" s="3" t="s">
        <v>7264</v>
      </c>
      <c r="AW579" s="3" t="s">
        <v>7265</v>
      </c>
      <c r="AX579" s="3" t="s">
        <v>7265</v>
      </c>
      <c r="AY579" s="3" t="s">
        <v>7266</v>
      </c>
      <c r="AZ579" s="3" t="s">
        <v>73</v>
      </c>
      <c r="BB579" s="3" t="s">
        <v>7267</v>
      </c>
      <c r="BC579" s="3" t="s">
        <v>7268</v>
      </c>
      <c r="BD579" s="3" t="s">
        <v>7269</v>
      </c>
    </row>
    <row r="580" spans="1:56" ht="31.5" customHeight="1" x14ac:dyDescent="0.25">
      <c r="A580" s="7" t="s">
        <v>58</v>
      </c>
      <c r="B580" s="2" t="s">
        <v>7270</v>
      </c>
      <c r="C580" s="2" t="s">
        <v>7271</v>
      </c>
      <c r="D580" s="2" t="s">
        <v>7272</v>
      </c>
      <c r="F580" s="3" t="s">
        <v>58</v>
      </c>
      <c r="G580" s="3" t="s">
        <v>59</v>
      </c>
      <c r="H580" s="3" t="s">
        <v>58</v>
      </c>
      <c r="I580" s="3" t="s">
        <v>58</v>
      </c>
      <c r="J580" s="3" t="s">
        <v>60</v>
      </c>
      <c r="K580" s="2" t="s">
        <v>7273</v>
      </c>
      <c r="L580" s="2" t="s">
        <v>7274</v>
      </c>
      <c r="M580" s="3" t="s">
        <v>2253</v>
      </c>
      <c r="O580" s="3" t="s">
        <v>63</v>
      </c>
      <c r="P580" s="3" t="s">
        <v>129</v>
      </c>
      <c r="R580" s="3" t="s">
        <v>65</v>
      </c>
      <c r="S580" s="4">
        <v>10</v>
      </c>
      <c r="T580" s="4">
        <v>10</v>
      </c>
      <c r="U580" s="5" t="s">
        <v>7198</v>
      </c>
      <c r="V580" s="5" t="s">
        <v>7198</v>
      </c>
      <c r="W580" s="5" t="s">
        <v>6130</v>
      </c>
      <c r="X580" s="5" t="s">
        <v>6130</v>
      </c>
      <c r="Y580" s="4">
        <v>305</v>
      </c>
      <c r="Z580" s="4">
        <v>252</v>
      </c>
      <c r="AA580" s="4">
        <v>254</v>
      </c>
      <c r="AB580" s="4">
        <v>3</v>
      </c>
      <c r="AC580" s="4">
        <v>3</v>
      </c>
      <c r="AD580" s="4">
        <v>15</v>
      </c>
      <c r="AE580" s="4">
        <v>15</v>
      </c>
      <c r="AF580" s="4">
        <v>4</v>
      </c>
      <c r="AG580" s="4">
        <v>4</v>
      </c>
      <c r="AH580" s="4">
        <v>5</v>
      </c>
      <c r="AI580" s="4">
        <v>5</v>
      </c>
      <c r="AJ580" s="4">
        <v>8</v>
      </c>
      <c r="AK580" s="4">
        <v>8</v>
      </c>
      <c r="AL580" s="4">
        <v>2</v>
      </c>
      <c r="AM580" s="4">
        <v>2</v>
      </c>
      <c r="AN580" s="4">
        <v>0</v>
      </c>
      <c r="AO580" s="4">
        <v>0</v>
      </c>
      <c r="AP580" s="3" t="s">
        <v>58</v>
      </c>
      <c r="AQ580" s="3" t="s">
        <v>58</v>
      </c>
      <c r="AS580" s="6" t="str">
        <f>HYPERLINK("https://creighton-primo.hosted.exlibrisgroup.com/primo-explore/search?tab=default_tab&amp;search_scope=EVERYTHING&amp;vid=01CRU&amp;lang=en_US&amp;offset=0&amp;query=any,contains,991000724429702656","Catalog Record")</f>
        <v>Catalog Record</v>
      </c>
      <c r="AT580" s="6" t="str">
        <f>HYPERLINK("http://www.worldcat.org/oclc/12692612","WorldCat Record")</f>
        <v>WorldCat Record</v>
      </c>
      <c r="AU580" s="3" t="s">
        <v>7275</v>
      </c>
      <c r="AV580" s="3" t="s">
        <v>7276</v>
      </c>
      <c r="AW580" s="3" t="s">
        <v>7277</v>
      </c>
      <c r="AX580" s="3" t="s">
        <v>7277</v>
      </c>
      <c r="AY580" s="3" t="s">
        <v>7278</v>
      </c>
      <c r="AZ580" s="3" t="s">
        <v>73</v>
      </c>
      <c r="BB580" s="3" t="s">
        <v>7279</v>
      </c>
      <c r="BC580" s="3" t="s">
        <v>7280</v>
      </c>
      <c r="BD580" s="3" t="s">
        <v>7281</v>
      </c>
    </row>
    <row r="581" spans="1:56" ht="31.5" customHeight="1" x14ac:dyDescent="0.25">
      <c r="A581" s="7" t="s">
        <v>58</v>
      </c>
      <c r="B581" s="2" t="s">
        <v>7282</v>
      </c>
      <c r="C581" s="2" t="s">
        <v>7283</v>
      </c>
      <c r="D581" s="2" t="s">
        <v>7284</v>
      </c>
      <c r="F581" s="3" t="s">
        <v>58</v>
      </c>
      <c r="G581" s="3" t="s">
        <v>59</v>
      </c>
      <c r="H581" s="3" t="s">
        <v>58</v>
      </c>
      <c r="I581" s="3" t="s">
        <v>58</v>
      </c>
      <c r="J581" s="3" t="s">
        <v>60</v>
      </c>
      <c r="K581" s="2" t="s">
        <v>7285</v>
      </c>
      <c r="L581" s="2" t="s">
        <v>7286</v>
      </c>
      <c r="M581" s="3" t="s">
        <v>443</v>
      </c>
      <c r="O581" s="3" t="s">
        <v>63</v>
      </c>
      <c r="P581" s="3" t="s">
        <v>186</v>
      </c>
      <c r="R581" s="3" t="s">
        <v>65</v>
      </c>
      <c r="S581" s="4">
        <v>1</v>
      </c>
      <c r="T581" s="4">
        <v>1</v>
      </c>
      <c r="U581" s="5" t="s">
        <v>7287</v>
      </c>
      <c r="V581" s="5" t="s">
        <v>7287</v>
      </c>
      <c r="W581" s="5" t="s">
        <v>3853</v>
      </c>
      <c r="X581" s="5" t="s">
        <v>3853</v>
      </c>
      <c r="Y581" s="4">
        <v>468</v>
      </c>
      <c r="Z581" s="4">
        <v>336</v>
      </c>
      <c r="AA581" s="4">
        <v>453</v>
      </c>
      <c r="AB581" s="4">
        <v>2</v>
      </c>
      <c r="AC581" s="4">
        <v>3</v>
      </c>
      <c r="AD581" s="4">
        <v>12</v>
      </c>
      <c r="AE581" s="4">
        <v>18</v>
      </c>
      <c r="AF581" s="4">
        <v>2</v>
      </c>
      <c r="AG581" s="4">
        <v>3</v>
      </c>
      <c r="AH581" s="4">
        <v>6</v>
      </c>
      <c r="AI581" s="4">
        <v>7</v>
      </c>
      <c r="AJ581" s="4">
        <v>6</v>
      </c>
      <c r="AK581" s="4">
        <v>9</v>
      </c>
      <c r="AL581" s="4">
        <v>1</v>
      </c>
      <c r="AM581" s="4">
        <v>2</v>
      </c>
      <c r="AN581" s="4">
        <v>0</v>
      </c>
      <c r="AO581" s="4">
        <v>0</v>
      </c>
      <c r="AP581" s="3" t="s">
        <v>58</v>
      </c>
      <c r="AQ581" s="3" t="s">
        <v>58</v>
      </c>
      <c r="AS581" s="6" t="str">
        <f>HYPERLINK("https://creighton-primo.hosted.exlibrisgroup.com/primo-explore/search?tab=default_tab&amp;search_scope=EVERYTHING&amp;vid=01CRU&amp;lang=en_US&amp;offset=0&amp;query=any,contains,991004592159702656","Catalog Record")</f>
        <v>Catalog Record</v>
      </c>
      <c r="AT581" s="6" t="str">
        <f>HYPERLINK("http://www.worldcat.org/oclc/4134944","WorldCat Record")</f>
        <v>WorldCat Record</v>
      </c>
      <c r="AU581" s="3" t="s">
        <v>7288</v>
      </c>
      <c r="AV581" s="3" t="s">
        <v>7289</v>
      </c>
      <c r="AW581" s="3" t="s">
        <v>7290</v>
      </c>
      <c r="AX581" s="3" t="s">
        <v>7290</v>
      </c>
      <c r="AY581" s="3" t="s">
        <v>7291</v>
      </c>
      <c r="AZ581" s="3" t="s">
        <v>73</v>
      </c>
      <c r="BB581" s="3" t="s">
        <v>7292</v>
      </c>
      <c r="BC581" s="3" t="s">
        <v>7293</v>
      </c>
      <c r="BD581" s="3" t="s">
        <v>7294</v>
      </c>
    </row>
    <row r="582" spans="1:56" ht="31.5" customHeight="1" x14ac:dyDescent="0.25">
      <c r="A582" s="7" t="s">
        <v>58</v>
      </c>
      <c r="B582" s="2" t="s">
        <v>7295</v>
      </c>
      <c r="C582" s="2" t="s">
        <v>7296</v>
      </c>
      <c r="D582" s="2" t="s">
        <v>7297</v>
      </c>
      <c r="F582" s="3" t="s">
        <v>58</v>
      </c>
      <c r="G582" s="3" t="s">
        <v>59</v>
      </c>
      <c r="H582" s="3" t="s">
        <v>58</v>
      </c>
      <c r="I582" s="3" t="s">
        <v>58</v>
      </c>
      <c r="J582" s="3" t="s">
        <v>60</v>
      </c>
      <c r="K582" s="2" t="s">
        <v>7298</v>
      </c>
      <c r="L582" s="2" t="s">
        <v>7299</v>
      </c>
      <c r="M582" s="3" t="s">
        <v>821</v>
      </c>
      <c r="O582" s="3" t="s">
        <v>63</v>
      </c>
      <c r="P582" s="3" t="s">
        <v>64</v>
      </c>
      <c r="R582" s="3" t="s">
        <v>65</v>
      </c>
      <c r="S582" s="4">
        <v>7</v>
      </c>
      <c r="T582" s="4">
        <v>7</v>
      </c>
      <c r="U582" s="5" t="s">
        <v>7300</v>
      </c>
      <c r="V582" s="5" t="s">
        <v>7300</v>
      </c>
      <c r="W582" s="5" t="s">
        <v>7301</v>
      </c>
      <c r="X582" s="5" t="s">
        <v>7301</v>
      </c>
      <c r="Y582" s="4">
        <v>847</v>
      </c>
      <c r="Z582" s="4">
        <v>741</v>
      </c>
      <c r="AA582" s="4">
        <v>747</v>
      </c>
      <c r="AB582" s="4">
        <v>5</v>
      </c>
      <c r="AC582" s="4">
        <v>5</v>
      </c>
      <c r="AD582" s="4">
        <v>23</v>
      </c>
      <c r="AE582" s="4">
        <v>23</v>
      </c>
      <c r="AF582" s="4">
        <v>7</v>
      </c>
      <c r="AG582" s="4">
        <v>7</v>
      </c>
      <c r="AH582" s="4">
        <v>5</v>
      </c>
      <c r="AI582" s="4">
        <v>5</v>
      </c>
      <c r="AJ582" s="4">
        <v>13</v>
      </c>
      <c r="AK582" s="4">
        <v>13</v>
      </c>
      <c r="AL582" s="4">
        <v>4</v>
      </c>
      <c r="AM582" s="4">
        <v>4</v>
      </c>
      <c r="AN582" s="4">
        <v>0</v>
      </c>
      <c r="AO582" s="4">
        <v>0</v>
      </c>
      <c r="AP582" s="3" t="s">
        <v>58</v>
      </c>
      <c r="AQ582" s="3" t="s">
        <v>58</v>
      </c>
      <c r="AS582" s="6" t="str">
        <f>HYPERLINK("https://creighton-primo.hosted.exlibrisgroup.com/primo-explore/search?tab=default_tab&amp;search_scope=EVERYTHING&amp;vid=01CRU&amp;lang=en_US&amp;offset=0&amp;query=any,contains,991000399519702656","Catalog Record")</f>
        <v>Catalog Record</v>
      </c>
      <c r="AT582" s="6" t="str">
        <f>HYPERLINK("http://www.worldcat.org/oclc/10605693","WorldCat Record")</f>
        <v>WorldCat Record</v>
      </c>
      <c r="AU582" s="3" t="s">
        <v>7302</v>
      </c>
      <c r="AV582" s="3" t="s">
        <v>7303</v>
      </c>
      <c r="AW582" s="3" t="s">
        <v>7304</v>
      </c>
      <c r="AX582" s="3" t="s">
        <v>7304</v>
      </c>
      <c r="AY582" s="3" t="s">
        <v>7305</v>
      </c>
      <c r="AZ582" s="3" t="s">
        <v>73</v>
      </c>
      <c r="BB582" s="3" t="s">
        <v>7306</v>
      </c>
      <c r="BC582" s="3" t="s">
        <v>7307</v>
      </c>
      <c r="BD582" s="3" t="s">
        <v>7308</v>
      </c>
    </row>
    <row r="583" spans="1:56" ht="31.5" customHeight="1" x14ac:dyDescent="0.25">
      <c r="A583" s="7" t="s">
        <v>58</v>
      </c>
      <c r="B583" s="2" t="s">
        <v>7309</v>
      </c>
      <c r="C583" s="2" t="s">
        <v>7310</v>
      </c>
      <c r="D583" s="2" t="s">
        <v>7311</v>
      </c>
      <c r="F583" s="3" t="s">
        <v>58</v>
      </c>
      <c r="G583" s="3" t="s">
        <v>59</v>
      </c>
      <c r="H583" s="3" t="s">
        <v>58</v>
      </c>
      <c r="I583" s="3" t="s">
        <v>58</v>
      </c>
      <c r="J583" s="3" t="s">
        <v>60</v>
      </c>
      <c r="K583" s="2" t="s">
        <v>3734</v>
      </c>
      <c r="L583" s="2" t="s">
        <v>7312</v>
      </c>
      <c r="M583" s="3" t="s">
        <v>128</v>
      </c>
      <c r="N583" s="2" t="s">
        <v>501</v>
      </c>
      <c r="O583" s="3" t="s">
        <v>63</v>
      </c>
      <c r="P583" s="3" t="s">
        <v>64</v>
      </c>
      <c r="R583" s="3" t="s">
        <v>65</v>
      </c>
      <c r="S583" s="4">
        <v>3</v>
      </c>
      <c r="T583" s="4">
        <v>3</v>
      </c>
      <c r="U583" s="5" t="s">
        <v>7313</v>
      </c>
      <c r="V583" s="5" t="s">
        <v>7313</v>
      </c>
      <c r="W583" s="5" t="s">
        <v>4109</v>
      </c>
      <c r="X583" s="5" t="s">
        <v>4109</v>
      </c>
      <c r="Y583" s="4">
        <v>570</v>
      </c>
      <c r="Z583" s="4">
        <v>527</v>
      </c>
      <c r="AA583" s="4">
        <v>554</v>
      </c>
      <c r="AB583" s="4">
        <v>3</v>
      </c>
      <c r="AC583" s="4">
        <v>3</v>
      </c>
      <c r="AD583" s="4">
        <v>17</v>
      </c>
      <c r="AE583" s="4">
        <v>17</v>
      </c>
      <c r="AF583" s="4">
        <v>6</v>
      </c>
      <c r="AG583" s="4">
        <v>6</v>
      </c>
      <c r="AH583" s="4">
        <v>5</v>
      </c>
      <c r="AI583" s="4">
        <v>5</v>
      </c>
      <c r="AJ583" s="4">
        <v>8</v>
      </c>
      <c r="AK583" s="4">
        <v>8</v>
      </c>
      <c r="AL583" s="4">
        <v>2</v>
      </c>
      <c r="AM583" s="4">
        <v>2</v>
      </c>
      <c r="AN583" s="4">
        <v>0</v>
      </c>
      <c r="AO583" s="4">
        <v>0</v>
      </c>
      <c r="AP583" s="3" t="s">
        <v>58</v>
      </c>
      <c r="AQ583" s="3" t="s">
        <v>68</v>
      </c>
      <c r="AR583" s="6" t="str">
        <f>HYPERLINK("http://catalog.hathitrust.org/Record/002640735","HathiTrust Record")</f>
        <v>HathiTrust Record</v>
      </c>
      <c r="AS583" s="6" t="str">
        <f>HYPERLINK("https://creighton-primo.hosted.exlibrisgroup.com/primo-explore/search?tab=default_tab&amp;search_scope=EVERYTHING&amp;vid=01CRU&amp;lang=en_US&amp;offset=0&amp;query=any,contains,991002089969702656","Catalog Record")</f>
        <v>Catalog Record</v>
      </c>
      <c r="AT583" s="6" t="str">
        <f>HYPERLINK("http://www.worldcat.org/oclc/26809627","WorldCat Record")</f>
        <v>WorldCat Record</v>
      </c>
      <c r="AU583" s="3" t="s">
        <v>7314</v>
      </c>
      <c r="AV583" s="3" t="s">
        <v>7315</v>
      </c>
      <c r="AW583" s="3" t="s">
        <v>7316</v>
      </c>
      <c r="AX583" s="3" t="s">
        <v>7316</v>
      </c>
      <c r="AY583" s="3" t="s">
        <v>7317</v>
      </c>
      <c r="AZ583" s="3" t="s">
        <v>73</v>
      </c>
      <c r="BB583" s="3" t="s">
        <v>7318</v>
      </c>
      <c r="BC583" s="3" t="s">
        <v>7319</v>
      </c>
      <c r="BD583" s="3" t="s">
        <v>7320</v>
      </c>
    </row>
    <row r="584" spans="1:56" ht="31.5" customHeight="1" x14ac:dyDescent="0.25">
      <c r="A584" s="7" t="s">
        <v>58</v>
      </c>
      <c r="B584" s="2" t="s">
        <v>7321</v>
      </c>
      <c r="C584" s="2" t="s">
        <v>7322</v>
      </c>
      <c r="D584" s="2" t="s">
        <v>7323</v>
      </c>
      <c r="F584" s="3" t="s">
        <v>58</v>
      </c>
      <c r="G584" s="3" t="s">
        <v>59</v>
      </c>
      <c r="H584" s="3" t="s">
        <v>58</v>
      </c>
      <c r="I584" s="3" t="s">
        <v>58</v>
      </c>
      <c r="J584" s="3" t="s">
        <v>60</v>
      </c>
      <c r="K584" s="2" t="s">
        <v>7324</v>
      </c>
      <c r="L584" s="2" t="s">
        <v>2869</v>
      </c>
      <c r="M584" s="3" t="s">
        <v>62</v>
      </c>
      <c r="O584" s="3" t="s">
        <v>63</v>
      </c>
      <c r="P584" s="3" t="s">
        <v>186</v>
      </c>
      <c r="R584" s="3" t="s">
        <v>65</v>
      </c>
      <c r="S584" s="4">
        <v>1</v>
      </c>
      <c r="T584" s="4">
        <v>1</v>
      </c>
      <c r="U584" s="5" t="s">
        <v>6951</v>
      </c>
      <c r="V584" s="5" t="s">
        <v>6951</v>
      </c>
      <c r="W584" s="5" t="s">
        <v>7325</v>
      </c>
      <c r="X584" s="5" t="s">
        <v>7325</v>
      </c>
      <c r="Y584" s="4">
        <v>347</v>
      </c>
      <c r="Z584" s="4">
        <v>242</v>
      </c>
      <c r="AA584" s="4">
        <v>1003</v>
      </c>
      <c r="AB584" s="4">
        <v>3</v>
      </c>
      <c r="AC584" s="4">
        <v>30</v>
      </c>
      <c r="AD584" s="4">
        <v>12</v>
      </c>
      <c r="AE584" s="4">
        <v>48</v>
      </c>
      <c r="AF584" s="4">
        <v>3</v>
      </c>
      <c r="AG584" s="4">
        <v>15</v>
      </c>
      <c r="AH584" s="4">
        <v>0</v>
      </c>
      <c r="AI584" s="4">
        <v>7</v>
      </c>
      <c r="AJ584" s="4">
        <v>10</v>
      </c>
      <c r="AK584" s="4">
        <v>17</v>
      </c>
      <c r="AL584" s="4">
        <v>2</v>
      </c>
      <c r="AM584" s="4">
        <v>15</v>
      </c>
      <c r="AN584" s="4">
        <v>0</v>
      </c>
      <c r="AO584" s="4">
        <v>1</v>
      </c>
      <c r="AP584" s="3" t="s">
        <v>58</v>
      </c>
      <c r="AQ584" s="3" t="s">
        <v>68</v>
      </c>
      <c r="AR584" s="6" t="str">
        <f>HYPERLINK("http://catalog.hathitrust.org/Record/009389627","HathiTrust Record")</f>
        <v>HathiTrust Record</v>
      </c>
      <c r="AS584" s="6" t="str">
        <f>HYPERLINK("https://creighton-primo.hosted.exlibrisgroup.com/primo-explore/search?tab=default_tab&amp;search_scope=EVERYTHING&amp;vid=01CRU&amp;lang=en_US&amp;offset=0&amp;query=any,contains,991002984829702656","Catalog Record")</f>
        <v>Catalog Record</v>
      </c>
      <c r="AT584" s="6" t="str">
        <f>HYPERLINK("http://www.worldcat.org/oclc/40199963","WorldCat Record")</f>
        <v>WorldCat Record</v>
      </c>
      <c r="AU584" s="3" t="s">
        <v>7326</v>
      </c>
      <c r="AV584" s="3" t="s">
        <v>7327</v>
      </c>
      <c r="AW584" s="3" t="s">
        <v>7328</v>
      </c>
      <c r="AX584" s="3" t="s">
        <v>7328</v>
      </c>
      <c r="AY584" s="3" t="s">
        <v>7329</v>
      </c>
      <c r="AZ584" s="3" t="s">
        <v>73</v>
      </c>
      <c r="BB584" s="3" t="s">
        <v>7330</v>
      </c>
      <c r="BC584" s="3" t="s">
        <v>7331</v>
      </c>
      <c r="BD584" s="3" t="s">
        <v>7332</v>
      </c>
    </row>
    <row r="585" spans="1:56" ht="31.5" customHeight="1" x14ac:dyDescent="0.25">
      <c r="A585" s="7" t="s">
        <v>58</v>
      </c>
      <c r="B585" s="2" t="s">
        <v>7333</v>
      </c>
      <c r="C585" s="2" t="s">
        <v>7334</v>
      </c>
      <c r="D585" s="2" t="s">
        <v>7335</v>
      </c>
      <c r="F585" s="3" t="s">
        <v>58</v>
      </c>
      <c r="G585" s="3" t="s">
        <v>59</v>
      </c>
      <c r="H585" s="3" t="s">
        <v>58</v>
      </c>
      <c r="I585" s="3" t="s">
        <v>58</v>
      </c>
      <c r="J585" s="3" t="s">
        <v>60</v>
      </c>
      <c r="K585" s="2" t="s">
        <v>299</v>
      </c>
      <c r="L585" s="2" t="s">
        <v>7336</v>
      </c>
      <c r="M585" s="3" t="s">
        <v>537</v>
      </c>
      <c r="O585" s="3" t="s">
        <v>63</v>
      </c>
      <c r="P585" s="3" t="s">
        <v>129</v>
      </c>
      <c r="R585" s="3" t="s">
        <v>65</v>
      </c>
      <c r="S585" s="4">
        <v>6</v>
      </c>
      <c r="T585" s="4">
        <v>6</v>
      </c>
      <c r="U585" s="5" t="s">
        <v>7337</v>
      </c>
      <c r="V585" s="5" t="s">
        <v>7337</v>
      </c>
      <c r="W585" s="5" t="s">
        <v>3606</v>
      </c>
      <c r="X585" s="5" t="s">
        <v>3606</v>
      </c>
      <c r="Y585" s="4">
        <v>860</v>
      </c>
      <c r="Z585" s="4">
        <v>776</v>
      </c>
      <c r="AA585" s="4">
        <v>818</v>
      </c>
      <c r="AB585" s="4">
        <v>8</v>
      </c>
      <c r="AC585" s="4">
        <v>8</v>
      </c>
      <c r="AD585" s="4">
        <v>27</v>
      </c>
      <c r="AE585" s="4">
        <v>28</v>
      </c>
      <c r="AF585" s="4">
        <v>11</v>
      </c>
      <c r="AG585" s="4">
        <v>12</v>
      </c>
      <c r="AH585" s="4">
        <v>6</v>
      </c>
      <c r="AI585" s="4">
        <v>7</v>
      </c>
      <c r="AJ585" s="4">
        <v>12</v>
      </c>
      <c r="AK585" s="4">
        <v>12</v>
      </c>
      <c r="AL585" s="4">
        <v>6</v>
      </c>
      <c r="AM585" s="4">
        <v>6</v>
      </c>
      <c r="AN585" s="4">
        <v>0</v>
      </c>
      <c r="AO585" s="4">
        <v>0</v>
      </c>
      <c r="AP585" s="3" t="s">
        <v>58</v>
      </c>
      <c r="AQ585" s="3" t="s">
        <v>68</v>
      </c>
      <c r="AR585" s="6" t="str">
        <f>HYPERLINK("http://catalog.hathitrust.org/Record/002478695","HathiTrust Record")</f>
        <v>HathiTrust Record</v>
      </c>
      <c r="AS585" s="6" t="str">
        <f>HYPERLINK("https://creighton-primo.hosted.exlibrisgroup.com/primo-explore/search?tab=default_tab&amp;search_scope=EVERYTHING&amp;vid=01CRU&amp;lang=en_US&amp;offset=0&amp;query=any,contains,991001858989702656","Catalog Record")</f>
        <v>Catalog Record</v>
      </c>
      <c r="AT585" s="6" t="str">
        <f>HYPERLINK("http://www.worldcat.org/oclc/23356490","WorldCat Record")</f>
        <v>WorldCat Record</v>
      </c>
      <c r="AU585" s="3" t="s">
        <v>7338</v>
      </c>
      <c r="AV585" s="3" t="s">
        <v>7339</v>
      </c>
      <c r="AW585" s="3" t="s">
        <v>7340</v>
      </c>
      <c r="AX585" s="3" t="s">
        <v>7340</v>
      </c>
      <c r="AY585" s="3" t="s">
        <v>7341</v>
      </c>
      <c r="AZ585" s="3" t="s">
        <v>73</v>
      </c>
      <c r="BB585" s="3" t="s">
        <v>7342</v>
      </c>
      <c r="BC585" s="3" t="s">
        <v>7343</v>
      </c>
      <c r="BD585" s="3" t="s">
        <v>7344</v>
      </c>
    </row>
    <row r="586" spans="1:56" ht="31.5" customHeight="1" x14ac:dyDescent="0.25">
      <c r="A586" s="7" t="s">
        <v>58</v>
      </c>
      <c r="B586" s="2" t="s">
        <v>7345</v>
      </c>
      <c r="C586" s="2" t="s">
        <v>7346</v>
      </c>
      <c r="D586" s="2" t="s">
        <v>7347</v>
      </c>
      <c r="F586" s="3" t="s">
        <v>58</v>
      </c>
      <c r="G586" s="3" t="s">
        <v>59</v>
      </c>
      <c r="H586" s="3" t="s">
        <v>58</v>
      </c>
      <c r="I586" s="3" t="s">
        <v>58</v>
      </c>
      <c r="J586" s="3" t="s">
        <v>60</v>
      </c>
      <c r="L586" s="2" t="s">
        <v>1249</v>
      </c>
      <c r="M586" s="3" t="s">
        <v>944</v>
      </c>
      <c r="O586" s="3" t="s">
        <v>63</v>
      </c>
      <c r="P586" s="3" t="s">
        <v>186</v>
      </c>
      <c r="R586" s="3" t="s">
        <v>65</v>
      </c>
      <c r="S586" s="4">
        <v>7</v>
      </c>
      <c r="T586" s="4">
        <v>7</v>
      </c>
      <c r="U586" s="5" t="s">
        <v>7105</v>
      </c>
      <c r="V586" s="5" t="s">
        <v>7105</v>
      </c>
      <c r="W586" s="5" t="s">
        <v>7348</v>
      </c>
      <c r="X586" s="5" t="s">
        <v>7348</v>
      </c>
      <c r="Y586" s="4">
        <v>267</v>
      </c>
      <c r="Z586" s="4">
        <v>196</v>
      </c>
      <c r="AA586" s="4">
        <v>198</v>
      </c>
      <c r="AB586" s="4">
        <v>4</v>
      </c>
      <c r="AC586" s="4">
        <v>4</v>
      </c>
      <c r="AD586" s="4">
        <v>9</v>
      </c>
      <c r="AE586" s="4">
        <v>9</v>
      </c>
      <c r="AF586" s="4">
        <v>3</v>
      </c>
      <c r="AG586" s="4">
        <v>3</v>
      </c>
      <c r="AH586" s="4">
        <v>0</v>
      </c>
      <c r="AI586" s="4">
        <v>0</v>
      </c>
      <c r="AJ586" s="4">
        <v>5</v>
      </c>
      <c r="AK586" s="4">
        <v>5</v>
      </c>
      <c r="AL586" s="4">
        <v>3</v>
      </c>
      <c r="AM586" s="4">
        <v>3</v>
      </c>
      <c r="AN586" s="4">
        <v>0</v>
      </c>
      <c r="AO586" s="4">
        <v>0</v>
      </c>
      <c r="AP586" s="3" t="s">
        <v>58</v>
      </c>
      <c r="AQ586" s="3" t="s">
        <v>58</v>
      </c>
      <c r="AS586" s="6" t="str">
        <f>HYPERLINK("https://creighton-primo.hosted.exlibrisgroup.com/primo-explore/search?tab=default_tab&amp;search_scope=EVERYTHING&amp;vid=01CRU&amp;lang=en_US&amp;offset=0&amp;query=any,contains,991001738529702656","Catalog Record")</f>
        <v>Catalog Record</v>
      </c>
      <c r="AT586" s="6" t="str">
        <f>HYPERLINK("http://www.worldcat.org/oclc/21975927","WorldCat Record")</f>
        <v>WorldCat Record</v>
      </c>
      <c r="AU586" s="3" t="s">
        <v>7349</v>
      </c>
      <c r="AV586" s="3" t="s">
        <v>7350</v>
      </c>
      <c r="AW586" s="3" t="s">
        <v>7351</v>
      </c>
      <c r="AX586" s="3" t="s">
        <v>7351</v>
      </c>
      <c r="AY586" s="3" t="s">
        <v>7352</v>
      </c>
      <c r="AZ586" s="3" t="s">
        <v>73</v>
      </c>
      <c r="BB586" s="3" t="s">
        <v>7353</v>
      </c>
      <c r="BC586" s="3" t="s">
        <v>7354</v>
      </c>
      <c r="BD586" s="3" t="s">
        <v>7355</v>
      </c>
    </row>
    <row r="587" spans="1:56" ht="31.5" customHeight="1" x14ac:dyDescent="0.25">
      <c r="A587" s="7" t="s">
        <v>58</v>
      </c>
      <c r="B587" s="2" t="s">
        <v>7356</v>
      </c>
      <c r="C587" s="2" t="s">
        <v>7357</v>
      </c>
      <c r="D587" s="2" t="s">
        <v>7358</v>
      </c>
      <c r="F587" s="3" t="s">
        <v>58</v>
      </c>
      <c r="G587" s="3" t="s">
        <v>59</v>
      </c>
      <c r="H587" s="3" t="s">
        <v>58</v>
      </c>
      <c r="I587" s="3" t="s">
        <v>58</v>
      </c>
      <c r="J587" s="3" t="s">
        <v>60</v>
      </c>
      <c r="K587" s="2" t="s">
        <v>7359</v>
      </c>
      <c r="L587" s="2" t="s">
        <v>7360</v>
      </c>
      <c r="M587" s="3" t="s">
        <v>144</v>
      </c>
      <c r="N587" s="2" t="s">
        <v>501</v>
      </c>
      <c r="O587" s="3" t="s">
        <v>63</v>
      </c>
      <c r="P587" s="3" t="s">
        <v>64</v>
      </c>
      <c r="R587" s="3" t="s">
        <v>65</v>
      </c>
      <c r="S587" s="4">
        <v>4</v>
      </c>
      <c r="T587" s="4">
        <v>4</v>
      </c>
      <c r="U587" s="5" t="s">
        <v>7361</v>
      </c>
      <c r="V587" s="5" t="s">
        <v>7361</v>
      </c>
      <c r="W587" s="5" t="s">
        <v>3853</v>
      </c>
      <c r="X587" s="5" t="s">
        <v>3853</v>
      </c>
      <c r="Y587" s="4">
        <v>534</v>
      </c>
      <c r="Z587" s="4">
        <v>512</v>
      </c>
      <c r="AA587" s="4">
        <v>527</v>
      </c>
      <c r="AB587" s="4">
        <v>5</v>
      </c>
      <c r="AC587" s="4">
        <v>5</v>
      </c>
      <c r="AD587" s="4">
        <v>15</v>
      </c>
      <c r="AE587" s="4">
        <v>15</v>
      </c>
      <c r="AF587" s="4">
        <v>9</v>
      </c>
      <c r="AG587" s="4">
        <v>9</v>
      </c>
      <c r="AH587" s="4">
        <v>2</v>
      </c>
      <c r="AI587" s="4">
        <v>2</v>
      </c>
      <c r="AJ587" s="4">
        <v>4</v>
      </c>
      <c r="AK587" s="4">
        <v>4</v>
      </c>
      <c r="AL587" s="4">
        <v>3</v>
      </c>
      <c r="AM587" s="4">
        <v>3</v>
      </c>
      <c r="AN587" s="4">
        <v>0</v>
      </c>
      <c r="AO587" s="4">
        <v>0</v>
      </c>
      <c r="AP587" s="3" t="s">
        <v>58</v>
      </c>
      <c r="AQ587" s="3" t="s">
        <v>68</v>
      </c>
      <c r="AR587" s="6" t="str">
        <f>HYPERLINK("http://catalog.hathitrust.org/Record/000192474","HathiTrust Record")</f>
        <v>HathiTrust Record</v>
      </c>
      <c r="AS587" s="6" t="str">
        <f>HYPERLINK("https://creighton-primo.hosted.exlibrisgroup.com/primo-explore/search?tab=default_tab&amp;search_scope=EVERYTHING&amp;vid=01CRU&amp;lang=en_US&amp;offset=0&amp;query=any,contains,991005176869702656","Catalog Record")</f>
        <v>Catalog Record</v>
      </c>
      <c r="AT587" s="6" t="str">
        <f>HYPERLINK("http://www.worldcat.org/oclc/7924027","WorldCat Record")</f>
        <v>WorldCat Record</v>
      </c>
      <c r="AU587" s="3" t="s">
        <v>7362</v>
      </c>
      <c r="AV587" s="3" t="s">
        <v>7363</v>
      </c>
      <c r="AW587" s="3" t="s">
        <v>7364</v>
      </c>
      <c r="AX587" s="3" t="s">
        <v>7364</v>
      </c>
      <c r="AY587" s="3" t="s">
        <v>7365</v>
      </c>
      <c r="AZ587" s="3" t="s">
        <v>73</v>
      </c>
      <c r="BB587" s="3" t="s">
        <v>7366</v>
      </c>
      <c r="BC587" s="3" t="s">
        <v>7367</v>
      </c>
      <c r="BD587" s="3" t="s">
        <v>7368</v>
      </c>
    </row>
    <row r="588" spans="1:56" ht="31.5" customHeight="1" x14ac:dyDescent="0.25">
      <c r="A588" s="7" t="s">
        <v>58</v>
      </c>
      <c r="B588" s="2" t="s">
        <v>7369</v>
      </c>
      <c r="C588" s="2" t="s">
        <v>7370</v>
      </c>
      <c r="D588" s="2" t="s">
        <v>7371</v>
      </c>
      <c r="F588" s="3" t="s">
        <v>58</v>
      </c>
      <c r="G588" s="3" t="s">
        <v>59</v>
      </c>
      <c r="H588" s="3" t="s">
        <v>58</v>
      </c>
      <c r="I588" s="3" t="s">
        <v>58</v>
      </c>
      <c r="J588" s="3" t="s">
        <v>60</v>
      </c>
      <c r="K588" s="2" t="s">
        <v>6104</v>
      </c>
      <c r="L588" s="2" t="s">
        <v>7372</v>
      </c>
      <c r="M588" s="3" t="s">
        <v>159</v>
      </c>
      <c r="O588" s="3" t="s">
        <v>63</v>
      </c>
      <c r="P588" s="3" t="s">
        <v>186</v>
      </c>
      <c r="R588" s="3" t="s">
        <v>65</v>
      </c>
      <c r="S588" s="4">
        <v>6</v>
      </c>
      <c r="T588" s="4">
        <v>6</v>
      </c>
      <c r="U588" s="5" t="s">
        <v>7160</v>
      </c>
      <c r="V588" s="5" t="s">
        <v>7160</v>
      </c>
      <c r="W588" s="5" t="s">
        <v>7373</v>
      </c>
      <c r="X588" s="5" t="s">
        <v>7373</v>
      </c>
      <c r="Y588" s="4">
        <v>455</v>
      </c>
      <c r="Z588" s="4">
        <v>331</v>
      </c>
      <c r="AA588" s="4">
        <v>336</v>
      </c>
      <c r="AB588" s="4">
        <v>3</v>
      </c>
      <c r="AC588" s="4">
        <v>3</v>
      </c>
      <c r="AD588" s="4">
        <v>14</v>
      </c>
      <c r="AE588" s="4">
        <v>14</v>
      </c>
      <c r="AF588" s="4">
        <v>4</v>
      </c>
      <c r="AG588" s="4">
        <v>4</v>
      </c>
      <c r="AH588" s="4">
        <v>4</v>
      </c>
      <c r="AI588" s="4">
        <v>4</v>
      </c>
      <c r="AJ588" s="4">
        <v>6</v>
      </c>
      <c r="AK588" s="4">
        <v>6</v>
      </c>
      <c r="AL588" s="4">
        <v>2</v>
      </c>
      <c r="AM588" s="4">
        <v>2</v>
      </c>
      <c r="AN588" s="4">
        <v>0</v>
      </c>
      <c r="AO588" s="4">
        <v>0</v>
      </c>
      <c r="AP588" s="3" t="s">
        <v>58</v>
      </c>
      <c r="AQ588" s="3" t="s">
        <v>58</v>
      </c>
      <c r="AS588" s="6" t="str">
        <f>HYPERLINK("https://creighton-primo.hosted.exlibrisgroup.com/primo-explore/search?tab=default_tab&amp;search_scope=EVERYTHING&amp;vid=01CRU&amp;lang=en_US&amp;offset=0&amp;query=any,contains,991005249389702656","Catalog Record")</f>
        <v>Catalog Record</v>
      </c>
      <c r="AT588" s="6" t="str">
        <f>HYPERLINK("http://www.worldcat.org/oclc/8476389","WorldCat Record")</f>
        <v>WorldCat Record</v>
      </c>
      <c r="AU588" s="3" t="s">
        <v>7374</v>
      </c>
      <c r="AV588" s="3" t="s">
        <v>7375</v>
      </c>
      <c r="AW588" s="3" t="s">
        <v>7376</v>
      </c>
      <c r="AX588" s="3" t="s">
        <v>7376</v>
      </c>
      <c r="AY588" s="3" t="s">
        <v>7377</v>
      </c>
      <c r="AZ588" s="3" t="s">
        <v>73</v>
      </c>
      <c r="BB588" s="3" t="s">
        <v>7378</v>
      </c>
      <c r="BC588" s="3" t="s">
        <v>7379</v>
      </c>
      <c r="BD588" s="3" t="s">
        <v>7380</v>
      </c>
    </row>
    <row r="589" spans="1:56" ht="31.5" customHeight="1" x14ac:dyDescent="0.25">
      <c r="A589" s="7" t="s">
        <v>58</v>
      </c>
      <c r="B589" s="2" t="s">
        <v>7381</v>
      </c>
      <c r="C589" s="2" t="s">
        <v>7382</v>
      </c>
      <c r="D589" s="2" t="s">
        <v>7383</v>
      </c>
      <c r="F589" s="3" t="s">
        <v>58</v>
      </c>
      <c r="G589" s="3" t="s">
        <v>59</v>
      </c>
      <c r="H589" s="3" t="s">
        <v>58</v>
      </c>
      <c r="I589" s="3" t="s">
        <v>58</v>
      </c>
      <c r="J589" s="3" t="s">
        <v>60</v>
      </c>
      <c r="K589" s="2" t="s">
        <v>7384</v>
      </c>
      <c r="L589" s="2" t="s">
        <v>7385</v>
      </c>
      <c r="M589" s="3" t="s">
        <v>537</v>
      </c>
      <c r="N589" s="2" t="s">
        <v>501</v>
      </c>
      <c r="O589" s="3" t="s">
        <v>63</v>
      </c>
      <c r="P589" s="3" t="s">
        <v>64</v>
      </c>
      <c r="R589" s="3" t="s">
        <v>65</v>
      </c>
      <c r="S589" s="4">
        <v>3</v>
      </c>
      <c r="T589" s="4">
        <v>3</v>
      </c>
      <c r="U589" s="5" t="s">
        <v>7386</v>
      </c>
      <c r="V589" s="5" t="s">
        <v>7386</v>
      </c>
      <c r="W589" s="5" t="s">
        <v>1603</v>
      </c>
      <c r="X589" s="5" t="s">
        <v>1603</v>
      </c>
      <c r="Y589" s="4">
        <v>894</v>
      </c>
      <c r="Z589" s="4">
        <v>833</v>
      </c>
      <c r="AA589" s="4">
        <v>952</v>
      </c>
      <c r="AB589" s="4">
        <v>4</v>
      </c>
      <c r="AC589" s="4">
        <v>5</v>
      </c>
      <c r="AD589" s="4">
        <v>27</v>
      </c>
      <c r="AE589" s="4">
        <v>32</v>
      </c>
      <c r="AF589" s="4">
        <v>8</v>
      </c>
      <c r="AG589" s="4">
        <v>12</v>
      </c>
      <c r="AH589" s="4">
        <v>6</v>
      </c>
      <c r="AI589" s="4">
        <v>6</v>
      </c>
      <c r="AJ589" s="4">
        <v>17</v>
      </c>
      <c r="AK589" s="4">
        <v>19</v>
      </c>
      <c r="AL589" s="4">
        <v>3</v>
      </c>
      <c r="AM589" s="4">
        <v>4</v>
      </c>
      <c r="AN589" s="4">
        <v>0</v>
      </c>
      <c r="AO589" s="4">
        <v>0</v>
      </c>
      <c r="AP589" s="3" t="s">
        <v>58</v>
      </c>
      <c r="AQ589" s="3" t="s">
        <v>68</v>
      </c>
      <c r="AR589" s="6" t="str">
        <f>HYPERLINK("http://catalog.hathitrust.org/Record/002424212","HathiTrust Record")</f>
        <v>HathiTrust Record</v>
      </c>
      <c r="AS589" s="6" t="str">
        <f>HYPERLINK("https://creighton-primo.hosted.exlibrisgroup.com/primo-explore/search?tab=default_tab&amp;search_scope=EVERYTHING&amp;vid=01CRU&amp;lang=en_US&amp;offset=0&amp;query=any,contains,991001705789702656","Catalog Record")</f>
        <v>Catalog Record</v>
      </c>
      <c r="AT589" s="6" t="str">
        <f>HYPERLINK("http://www.worldcat.org/oclc/21561901","WorldCat Record")</f>
        <v>WorldCat Record</v>
      </c>
      <c r="AU589" s="3" t="s">
        <v>7387</v>
      </c>
      <c r="AV589" s="3" t="s">
        <v>7388</v>
      </c>
      <c r="AW589" s="3" t="s">
        <v>7389</v>
      </c>
      <c r="AX589" s="3" t="s">
        <v>7389</v>
      </c>
      <c r="AY589" s="3" t="s">
        <v>7390</v>
      </c>
      <c r="AZ589" s="3" t="s">
        <v>73</v>
      </c>
      <c r="BB589" s="3" t="s">
        <v>7391</v>
      </c>
      <c r="BC589" s="3" t="s">
        <v>7392</v>
      </c>
      <c r="BD589" s="3" t="s">
        <v>7393</v>
      </c>
    </row>
    <row r="590" spans="1:56" ht="31.5" customHeight="1" x14ac:dyDescent="0.25">
      <c r="A590" s="7" t="s">
        <v>58</v>
      </c>
      <c r="B590" s="2" t="s">
        <v>7394</v>
      </c>
      <c r="C590" s="2" t="s">
        <v>7395</v>
      </c>
      <c r="D590" s="2" t="s">
        <v>7396</v>
      </c>
      <c r="F590" s="3" t="s">
        <v>58</v>
      </c>
      <c r="G590" s="3" t="s">
        <v>59</v>
      </c>
      <c r="H590" s="3" t="s">
        <v>58</v>
      </c>
      <c r="I590" s="3" t="s">
        <v>58</v>
      </c>
      <c r="J590" s="3" t="s">
        <v>60</v>
      </c>
      <c r="K590" s="2" t="s">
        <v>7397</v>
      </c>
      <c r="L590" s="2" t="s">
        <v>2856</v>
      </c>
      <c r="M590" s="3" t="s">
        <v>1939</v>
      </c>
      <c r="O590" s="3" t="s">
        <v>63</v>
      </c>
      <c r="P590" s="3" t="s">
        <v>186</v>
      </c>
      <c r="R590" s="3" t="s">
        <v>65</v>
      </c>
      <c r="S590" s="4">
        <v>1</v>
      </c>
      <c r="T590" s="4">
        <v>1</v>
      </c>
      <c r="U590" s="5" t="s">
        <v>7398</v>
      </c>
      <c r="V590" s="5" t="s">
        <v>7398</v>
      </c>
      <c r="W590" s="5" t="s">
        <v>7398</v>
      </c>
      <c r="X590" s="5" t="s">
        <v>7398</v>
      </c>
      <c r="Y590" s="4">
        <v>257</v>
      </c>
      <c r="Z590" s="4">
        <v>169</v>
      </c>
      <c r="AA590" s="4">
        <v>169</v>
      </c>
      <c r="AB590" s="4">
        <v>2</v>
      </c>
      <c r="AC590" s="4">
        <v>2</v>
      </c>
      <c r="AD590" s="4">
        <v>6</v>
      </c>
      <c r="AE590" s="4">
        <v>6</v>
      </c>
      <c r="AF590" s="4">
        <v>1</v>
      </c>
      <c r="AG590" s="4">
        <v>1</v>
      </c>
      <c r="AH590" s="4">
        <v>1</v>
      </c>
      <c r="AI590" s="4">
        <v>1</v>
      </c>
      <c r="AJ590" s="4">
        <v>4</v>
      </c>
      <c r="AK590" s="4">
        <v>4</v>
      </c>
      <c r="AL590" s="4">
        <v>1</v>
      </c>
      <c r="AM590" s="4">
        <v>1</v>
      </c>
      <c r="AN590" s="4">
        <v>0</v>
      </c>
      <c r="AO590" s="4">
        <v>0</v>
      </c>
      <c r="AP590" s="3" t="s">
        <v>58</v>
      </c>
      <c r="AQ590" s="3" t="s">
        <v>58</v>
      </c>
      <c r="AS590" s="6" t="str">
        <f>HYPERLINK("https://creighton-primo.hosted.exlibrisgroup.com/primo-explore/search?tab=default_tab&amp;search_scope=EVERYTHING&amp;vid=01CRU&amp;lang=en_US&amp;offset=0&amp;query=any,contains,991004239339702656","Catalog Record")</f>
        <v>Catalog Record</v>
      </c>
      <c r="AT590" s="6" t="str">
        <f>HYPERLINK("http://www.worldcat.org/oclc/33947766","WorldCat Record")</f>
        <v>WorldCat Record</v>
      </c>
      <c r="AU590" s="3" t="s">
        <v>7399</v>
      </c>
      <c r="AV590" s="3" t="s">
        <v>7400</v>
      </c>
      <c r="AW590" s="3" t="s">
        <v>7401</v>
      </c>
      <c r="AX590" s="3" t="s">
        <v>7401</v>
      </c>
      <c r="AY590" s="3" t="s">
        <v>7402</v>
      </c>
      <c r="AZ590" s="3" t="s">
        <v>73</v>
      </c>
      <c r="BB590" s="3" t="s">
        <v>7403</v>
      </c>
      <c r="BC590" s="3" t="s">
        <v>7404</v>
      </c>
      <c r="BD590" s="3" t="s">
        <v>7405</v>
      </c>
    </row>
    <row r="591" spans="1:56" ht="31.5" customHeight="1" x14ac:dyDescent="0.25">
      <c r="A591" s="7" t="s">
        <v>58</v>
      </c>
      <c r="B591" s="2" t="s">
        <v>7406</v>
      </c>
      <c r="C591" s="2" t="s">
        <v>7407</v>
      </c>
      <c r="D591" s="2" t="s">
        <v>7408</v>
      </c>
      <c r="F591" s="3" t="s">
        <v>58</v>
      </c>
      <c r="G591" s="3" t="s">
        <v>59</v>
      </c>
      <c r="H591" s="3" t="s">
        <v>58</v>
      </c>
      <c r="I591" s="3" t="s">
        <v>58</v>
      </c>
      <c r="J591" s="3" t="s">
        <v>60</v>
      </c>
      <c r="K591" s="2" t="s">
        <v>535</v>
      </c>
      <c r="L591" s="2" t="s">
        <v>7409</v>
      </c>
      <c r="M591" s="3" t="s">
        <v>185</v>
      </c>
      <c r="O591" s="3" t="s">
        <v>63</v>
      </c>
      <c r="P591" s="3" t="s">
        <v>64</v>
      </c>
      <c r="R591" s="3" t="s">
        <v>65</v>
      </c>
      <c r="S591" s="4">
        <v>10</v>
      </c>
      <c r="T591" s="4">
        <v>10</v>
      </c>
      <c r="U591" s="5" t="s">
        <v>7410</v>
      </c>
      <c r="V591" s="5" t="s">
        <v>7410</v>
      </c>
      <c r="W591" s="5" t="s">
        <v>7411</v>
      </c>
      <c r="X591" s="5" t="s">
        <v>7411</v>
      </c>
      <c r="Y591" s="4">
        <v>764</v>
      </c>
      <c r="Z591" s="4">
        <v>663</v>
      </c>
      <c r="AA591" s="4">
        <v>701</v>
      </c>
      <c r="AB591" s="4">
        <v>5</v>
      </c>
      <c r="AC591" s="4">
        <v>5</v>
      </c>
      <c r="AD591" s="4">
        <v>21</v>
      </c>
      <c r="AE591" s="4">
        <v>22</v>
      </c>
      <c r="AF591" s="4">
        <v>8</v>
      </c>
      <c r="AG591" s="4">
        <v>9</v>
      </c>
      <c r="AH591" s="4">
        <v>3</v>
      </c>
      <c r="AI591" s="4">
        <v>3</v>
      </c>
      <c r="AJ591" s="4">
        <v>11</v>
      </c>
      <c r="AK591" s="4">
        <v>11</v>
      </c>
      <c r="AL591" s="4">
        <v>3</v>
      </c>
      <c r="AM591" s="4">
        <v>3</v>
      </c>
      <c r="AN591" s="4">
        <v>0</v>
      </c>
      <c r="AO591" s="4">
        <v>0</v>
      </c>
      <c r="AP591" s="3" t="s">
        <v>58</v>
      </c>
      <c r="AQ591" s="3" t="s">
        <v>68</v>
      </c>
      <c r="AR591" s="6" t="str">
        <f>HYPERLINK("http://catalog.hathitrust.org/Record/000929033","HathiTrust Record")</f>
        <v>HathiTrust Record</v>
      </c>
      <c r="AS591" s="6" t="str">
        <f>HYPERLINK("https://creighton-primo.hosted.exlibrisgroup.com/primo-explore/search?tab=default_tab&amp;search_scope=EVERYTHING&amp;vid=01CRU&amp;lang=en_US&amp;offset=0&amp;query=any,contains,991001297979702656","Catalog Record")</f>
        <v>Catalog Record</v>
      </c>
      <c r="AT591" s="6" t="str">
        <f>HYPERLINK("http://www.worldcat.org/oclc/18050962","WorldCat Record")</f>
        <v>WorldCat Record</v>
      </c>
      <c r="AU591" s="3" t="s">
        <v>7412</v>
      </c>
      <c r="AV591" s="3" t="s">
        <v>7413</v>
      </c>
      <c r="AW591" s="3" t="s">
        <v>7414</v>
      </c>
      <c r="AX591" s="3" t="s">
        <v>7414</v>
      </c>
      <c r="AY591" s="3" t="s">
        <v>7415</v>
      </c>
      <c r="AZ591" s="3" t="s">
        <v>73</v>
      </c>
      <c r="BB591" s="3" t="s">
        <v>7416</v>
      </c>
      <c r="BC591" s="3" t="s">
        <v>7417</v>
      </c>
      <c r="BD591" s="3" t="s">
        <v>7418</v>
      </c>
    </row>
    <row r="592" spans="1:56" ht="31.5" customHeight="1" x14ac:dyDescent="0.25">
      <c r="A592" s="7" t="s">
        <v>58</v>
      </c>
      <c r="B592" s="2" t="s">
        <v>7419</v>
      </c>
      <c r="C592" s="2" t="s">
        <v>7420</v>
      </c>
      <c r="D592" s="2" t="s">
        <v>7421</v>
      </c>
      <c r="F592" s="3" t="s">
        <v>58</v>
      </c>
      <c r="G592" s="3" t="s">
        <v>59</v>
      </c>
      <c r="H592" s="3" t="s">
        <v>58</v>
      </c>
      <c r="I592" s="3" t="s">
        <v>58</v>
      </c>
      <c r="J592" s="3" t="s">
        <v>60</v>
      </c>
      <c r="K592" s="2" t="s">
        <v>535</v>
      </c>
      <c r="L592" s="2" t="s">
        <v>7422</v>
      </c>
      <c r="M592" s="3" t="s">
        <v>128</v>
      </c>
      <c r="O592" s="3" t="s">
        <v>63</v>
      </c>
      <c r="P592" s="3" t="s">
        <v>64</v>
      </c>
      <c r="R592" s="3" t="s">
        <v>65</v>
      </c>
      <c r="S592" s="4">
        <v>7</v>
      </c>
      <c r="T592" s="4">
        <v>7</v>
      </c>
      <c r="U592" s="5" t="s">
        <v>3905</v>
      </c>
      <c r="V592" s="5" t="s">
        <v>3905</v>
      </c>
      <c r="W592" s="5" t="s">
        <v>4109</v>
      </c>
      <c r="X592" s="5" t="s">
        <v>4109</v>
      </c>
      <c r="Y592" s="4">
        <v>722</v>
      </c>
      <c r="Z592" s="4">
        <v>649</v>
      </c>
      <c r="AA592" s="4">
        <v>660</v>
      </c>
      <c r="AB592" s="4">
        <v>6</v>
      </c>
      <c r="AC592" s="4">
        <v>6</v>
      </c>
      <c r="AD592" s="4">
        <v>26</v>
      </c>
      <c r="AE592" s="4">
        <v>26</v>
      </c>
      <c r="AF592" s="4">
        <v>8</v>
      </c>
      <c r="AG592" s="4">
        <v>8</v>
      </c>
      <c r="AH592" s="4">
        <v>5</v>
      </c>
      <c r="AI592" s="4">
        <v>5</v>
      </c>
      <c r="AJ592" s="4">
        <v>16</v>
      </c>
      <c r="AK592" s="4">
        <v>16</v>
      </c>
      <c r="AL592" s="4">
        <v>5</v>
      </c>
      <c r="AM592" s="4">
        <v>5</v>
      </c>
      <c r="AN592" s="4">
        <v>0</v>
      </c>
      <c r="AO592" s="4">
        <v>0</v>
      </c>
      <c r="AP592" s="3" t="s">
        <v>58</v>
      </c>
      <c r="AQ592" s="3" t="s">
        <v>68</v>
      </c>
      <c r="AR592" s="6" t="str">
        <f>HYPERLINK("http://catalog.hathitrust.org/Record/002635921","HathiTrust Record")</f>
        <v>HathiTrust Record</v>
      </c>
      <c r="AS592" s="6" t="str">
        <f>HYPERLINK("https://creighton-primo.hosted.exlibrisgroup.com/primo-explore/search?tab=default_tab&amp;search_scope=EVERYTHING&amp;vid=01CRU&amp;lang=en_US&amp;offset=0&amp;query=any,contains,991002112919702656","Catalog Record")</f>
        <v>Catalog Record</v>
      </c>
      <c r="AT592" s="6" t="str">
        <f>HYPERLINK("http://www.worldcat.org/oclc/27069165","WorldCat Record")</f>
        <v>WorldCat Record</v>
      </c>
      <c r="AU592" s="3" t="s">
        <v>7423</v>
      </c>
      <c r="AV592" s="3" t="s">
        <v>7424</v>
      </c>
      <c r="AW592" s="3" t="s">
        <v>7425</v>
      </c>
      <c r="AX592" s="3" t="s">
        <v>7425</v>
      </c>
      <c r="AY592" s="3" t="s">
        <v>7426</v>
      </c>
      <c r="AZ592" s="3" t="s">
        <v>73</v>
      </c>
      <c r="BB592" s="3" t="s">
        <v>7427</v>
      </c>
      <c r="BC592" s="3" t="s">
        <v>7428</v>
      </c>
      <c r="BD592" s="3" t="s">
        <v>7429</v>
      </c>
    </row>
    <row r="593" spans="1:56" ht="31.5" customHeight="1" x14ac:dyDescent="0.25">
      <c r="A593" s="7" t="s">
        <v>58</v>
      </c>
      <c r="B593" s="2" t="s">
        <v>7430</v>
      </c>
      <c r="C593" s="2" t="s">
        <v>7431</v>
      </c>
      <c r="D593" s="2" t="s">
        <v>7432</v>
      </c>
      <c r="F593" s="3" t="s">
        <v>58</v>
      </c>
      <c r="G593" s="3" t="s">
        <v>59</v>
      </c>
      <c r="H593" s="3" t="s">
        <v>58</v>
      </c>
      <c r="I593" s="3" t="s">
        <v>58</v>
      </c>
      <c r="J593" s="3" t="s">
        <v>60</v>
      </c>
      <c r="K593" s="2" t="s">
        <v>7433</v>
      </c>
      <c r="L593" s="2" t="s">
        <v>7434</v>
      </c>
      <c r="M593" s="3" t="s">
        <v>159</v>
      </c>
      <c r="O593" s="3" t="s">
        <v>63</v>
      </c>
      <c r="P593" s="3" t="s">
        <v>64</v>
      </c>
      <c r="R593" s="3" t="s">
        <v>65</v>
      </c>
      <c r="S593" s="4">
        <v>8</v>
      </c>
      <c r="T593" s="4">
        <v>8</v>
      </c>
      <c r="U593" s="5" t="s">
        <v>7435</v>
      </c>
      <c r="V593" s="5" t="s">
        <v>7435</v>
      </c>
      <c r="W593" s="5" t="s">
        <v>7436</v>
      </c>
      <c r="X593" s="5" t="s">
        <v>7436</v>
      </c>
      <c r="Y593" s="4">
        <v>644</v>
      </c>
      <c r="Z593" s="4">
        <v>578</v>
      </c>
      <c r="AA593" s="4">
        <v>677</v>
      </c>
      <c r="AB593" s="4">
        <v>5</v>
      </c>
      <c r="AC593" s="4">
        <v>5</v>
      </c>
      <c r="AD593" s="4">
        <v>17</v>
      </c>
      <c r="AE593" s="4">
        <v>18</v>
      </c>
      <c r="AF593" s="4">
        <v>6</v>
      </c>
      <c r="AG593" s="4">
        <v>7</v>
      </c>
      <c r="AH593" s="4">
        <v>2</v>
      </c>
      <c r="AI593" s="4">
        <v>2</v>
      </c>
      <c r="AJ593" s="4">
        <v>6</v>
      </c>
      <c r="AK593" s="4">
        <v>7</v>
      </c>
      <c r="AL593" s="4">
        <v>4</v>
      </c>
      <c r="AM593" s="4">
        <v>4</v>
      </c>
      <c r="AN593" s="4">
        <v>0</v>
      </c>
      <c r="AO593" s="4">
        <v>0</v>
      </c>
      <c r="AP593" s="3" t="s">
        <v>58</v>
      </c>
      <c r="AQ593" s="3" t="s">
        <v>68</v>
      </c>
      <c r="AR593" s="6" t="str">
        <f>HYPERLINK("http://catalog.hathitrust.org/Record/000308503","HathiTrust Record")</f>
        <v>HathiTrust Record</v>
      </c>
      <c r="AS593" s="6" t="str">
        <f>HYPERLINK("https://creighton-primo.hosted.exlibrisgroup.com/primo-explore/search?tab=default_tab&amp;search_scope=EVERYTHING&amp;vid=01CRU&amp;lang=en_US&amp;offset=0&amp;query=any,contains,991005245589702656","Catalog Record")</f>
        <v>Catalog Record</v>
      </c>
      <c r="AT593" s="6" t="str">
        <f>HYPERLINK("http://www.worldcat.org/oclc/8452154","WorldCat Record")</f>
        <v>WorldCat Record</v>
      </c>
      <c r="AU593" s="3" t="s">
        <v>7437</v>
      </c>
      <c r="AV593" s="3" t="s">
        <v>7438</v>
      </c>
      <c r="AW593" s="3" t="s">
        <v>7439</v>
      </c>
      <c r="AX593" s="3" t="s">
        <v>7439</v>
      </c>
      <c r="AY593" s="3" t="s">
        <v>7440</v>
      </c>
      <c r="AZ593" s="3" t="s">
        <v>73</v>
      </c>
      <c r="BB593" s="3" t="s">
        <v>7441</v>
      </c>
      <c r="BC593" s="3" t="s">
        <v>7442</v>
      </c>
      <c r="BD593" s="3" t="s">
        <v>7443</v>
      </c>
    </row>
    <row r="594" spans="1:56" ht="31.5" customHeight="1" x14ac:dyDescent="0.25">
      <c r="A594" s="7" t="s">
        <v>58</v>
      </c>
      <c r="B594" s="2" t="s">
        <v>7444</v>
      </c>
      <c r="C594" s="2" t="s">
        <v>7445</v>
      </c>
      <c r="D594" s="2" t="s">
        <v>7446</v>
      </c>
      <c r="F594" s="3" t="s">
        <v>58</v>
      </c>
      <c r="G594" s="3" t="s">
        <v>59</v>
      </c>
      <c r="H594" s="3" t="s">
        <v>58</v>
      </c>
      <c r="I594" s="3" t="s">
        <v>58</v>
      </c>
      <c r="J594" s="3" t="s">
        <v>60</v>
      </c>
      <c r="L594" s="2" t="s">
        <v>7447</v>
      </c>
      <c r="M594" s="3" t="s">
        <v>537</v>
      </c>
      <c r="O594" s="3" t="s">
        <v>63</v>
      </c>
      <c r="P594" s="3" t="s">
        <v>459</v>
      </c>
      <c r="Q594" s="2" t="s">
        <v>7448</v>
      </c>
      <c r="R594" s="3" t="s">
        <v>65</v>
      </c>
      <c r="S594" s="4">
        <v>1</v>
      </c>
      <c r="T594" s="4">
        <v>1</v>
      </c>
      <c r="U594" s="5" t="s">
        <v>7449</v>
      </c>
      <c r="V594" s="5" t="s">
        <v>7449</v>
      </c>
      <c r="W594" s="5" t="s">
        <v>7450</v>
      </c>
      <c r="X594" s="5" t="s">
        <v>7450</v>
      </c>
      <c r="Y594" s="4">
        <v>147</v>
      </c>
      <c r="Z594" s="4">
        <v>91</v>
      </c>
      <c r="AA594" s="4">
        <v>100</v>
      </c>
      <c r="AB594" s="4">
        <v>1</v>
      </c>
      <c r="AC594" s="4">
        <v>1</v>
      </c>
      <c r="AD594" s="4">
        <v>6</v>
      </c>
      <c r="AE594" s="4">
        <v>7</v>
      </c>
      <c r="AF594" s="4">
        <v>2</v>
      </c>
      <c r="AG594" s="4">
        <v>3</v>
      </c>
      <c r="AH594" s="4">
        <v>3</v>
      </c>
      <c r="AI594" s="4">
        <v>3</v>
      </c>
      <c r="AJ594" s="4">
        <v>4</v>
      </c>
      <c r="AK594" s="4">
        <v>5</v>
      </c>
      <c r="AL594" s="4">
        <v>0</v>
      </c>
      <c r="AM594" s="4">
        <v>0</v>
      </c>
      <c r="AN594" s="4">
        <v>0</v>
      </c>
      <c r="AO594" s="4">
        <v>0</v>
      </c>
      <c r="AP594" s="3" t="s">
        <v>58</v>
      </c>
      <c r="AQ594" s="3" t="s">
        <v>68</v>
      </c>
      <c r="AR594" s="6" t="str">
        <f>HYPERLINK("http://catalog.hathitrust.org/Record/002493188","HathiTrust Record")</f>
        <v>HathiTrust Record</v>
      </c>
      <c r="AS594" s="6" t="str">
        <f>HYPERLINK("https://creighton-primo.hosted.exlibrisgroup.com/primo-explore/search?tab=default_tab&amp;search_scope=EVERYTHING&amp;vid=01CRU&amp;lang=en_US&amp;offset=0&amp;query=any,contains,991001892199702656","Catalog Record")</f>
        <v>Catalog Record</v>
      </c>
      <c r="AT594" s="6" t="str">
        <f>HYPERLINK("http://www.worldcat.org/oclc/23900636","WorldCat Record")</f>
        <v>WorldCat Record</v>
      </c>
      <c r="AU594" s="3" t="s">
        <v>7451</v>
      </c>
      <c r="AV594" s="3" t="s">
        <v>7452</v>
      </c>
      <c r="AW594" s="3" t="s">
        <v>7453</v>
      </c>
      <c r="AX594" s="3" t="s">
        <v>7453</v>
      </c>
      <c r="AY594" s="3" t="s">
        <v>7454</v>
      </c>
      <c r="AZ594" s="3" t="s">
        <v>73</v>
      </c>
      <c r="BB594" s="3" t="s">
        <v>7455</v>
      </c>
      <c r="BC594" s="3" t="s">
        <v>7456</v>
      </c>
      <c r="BD594" s="3" t="s">
        <v>7457</v>
      </c>
    </row>
    <row r="595" spans="1:56" ht="31.5" customHeight="1" x14ac:dyDescent="0.25">
      <c r="A595" s="7" t="s">
        <v>58</v>
      </c>
      <c r="B595" s="2" t="s">
        <v>7458</v>
      </c>
      <c r="C595" s="2" t="s">
        <v>7459</v>
      </c>
      <c r="D595" s="2" t="s">
        <v>7460</v>
      </c>
      <c r="F595" s="3" t="s">
        <v>58</v>
      </c>
      <c r="G595" s="3" t="s">
        <v>59</v>
      </c>
      <c r="H595" s="3" t="s">
        <v>58</v>
      </c>
      <c r="I595" s="3" t="s">
        <v>58</v>
      </c>
      <c r="J595" s="3" t="s">
        <v>60</v>
      </c>
      <c r="K595" s="2" t="s">
        <v>7461</v>
      </c>
      <c r="L595" s="2" t="s">
        <v>7462</v>
      </c>
      <c r="M595" s="3" t="s">
        <v>877</v>
      </c>
      <c r="O595" s="3" t="s">
        <v>63</v>
      </c>
      <c r="P595" s="3" t="s">
        <v>459</v>
      </c>
      <c r="Q595" s="2" t="s">
        <v>7463</v>
      </c>
      <c r="R595" s="3" t="s">
        <v>65</v>
      </c>
      <c r="S595" s="4">
        <v>14</v>
      </c>
      <c r="T595" s="4">
        <v>14</v>
      </c>
      <c r="U595" s="5" t="s">
        <v>7464</v>
      </c>
      <c r="V595" s="5" t="s">
        <v>7464</v>
      </c>
      <c r="W595" s="5" t="s">
        <v>7373</v>
      </c>
      <c r="X595" s="5" t="s">
        <v>7373</v>
      </c>
      <c r="Y595" s="4">
        <v>261</v>
      </c>
      <c r="Z595" s="4">
        <v>167</v>
      </c>
      <c r="AA595" s="4">
        <v>180</v>
      </c>
      <c r="AB595" s="4">
        <v>3</v>
      </c>
      <c r="AC595" s="4">
        <v>3</v>
      </c>
      <c r="AD595" s="4">
        <v>7</v>
      </c>
      <c r="AE595" s="4">
        <v>7</v>
      </c>
      <c r="AF595" s="4">
        <v>1</v>
      </c>
      <c r="AG595" s="4">
        <v>1</v>
      </c>
      <c r="AH595" s="4">
        <v>2</v>
      </c>
      <c r="AI595" s="4">
        <v>2</v>
      </c>
      <c r="AJ595" s="4">
        <v>3</v>
      </c>
      <c r="AK595" s="4">
        <v>3</v>
      </c>
      <c r="AL595" s="4">
        <v>2</v>
      </c>
      <c r="AM595" s="4">
        <v>2</v>
      </c>
      <c r="AN595" s="4">
        <v>0</v>
      </c>
      <c r="AO595" s="4">
        <v>0</v>
      </c>
      <c r="AP595" s="3" t="s">
        <v>58</v>
      </c>
      <c r="AQ595" s="3" t="s">
        <v>68</v>
      </c>
      <c r="AR595" s="6" t="str">
        <f>HYPERLINK("http://catalog.hathitrust.org/Record/000352256","HathiTrust Record")</f>
        <v>HathiTrust Record</v>
      </c>
      <c r="AS595" s="6" t="str">
        <f>HYPERLINK("https://creighton-primo.hosted.exlibrisgroup.com/primo-explore/search?tab=default_tab&amp;search_scope=EVERYTHING&amp;vid=01CRU&amp;lang=en_US&amp;offset=0&amp;query=any,contains,991000653179702656","Catalog Record")</f>
        <v>Catalog Record</v>
      </c>
      <c r="AT595" s="6" t="str">
        <f>HYPERLINK("http://www.worldcat.org/oclc/12189077","WorldCat Record")</f>
        <v>WorldCat Record</v>
      </c>
      <c r="AU595" s="3" t="s">
        <v>7465</v>
      </c>
      <c r="AV595" s="3" t="s">
        <v>7466</v>
      </c>
      <c r="AW595" s="3" t="s">
        <v>7467</v>
      </c>
      <c r="AX595" s="3" t="s">
        <v>7467</v>
      </c>
      <c r="AY595" s="3" t="s">
        <v>7468</v>
      </c>
      <c r="AZ595" s="3" t="s">
        <v>73</v>
      </c>
      <c r="BB595" s="3" t="s">
        <v>7469</v>
      </c>
      <c r="BC595" s="3" t="s">
        <v>7470</v>
      </c>
      <c r="BD595" s="3" t="s">
        <v>7471</v>
      </c>
    </row>
    <row r="596" spans="1:56" ht="31.5" customHeight="1" x14ac:dyDescent="0.25">
      <c r="A596" s="7" t="s">
        <v>58</v>
      </c>
      <c r="B596" s="2" t="s">
        <v>7472</v>
      </c>
      <c r="C596" s="2" t="s">
        <v>7473</v>
      </c>
      <c r="D596" s="2" t="s">
        <v>7474</v>
      </c>
      <c r="F596" s="3" t="s">
        <v>58</v>
      </c>
      <c r="G596" s="3" t="s">
        <v>59</v>
      </c>
      <c r="H596" s="3" t="s">
        <v>58</v>
      </c>
      <c r="I596" s="3" t="s">
        <v>58</v>
      </c>
      <c r="J596" s="3" t="s">
        <v>60</v>
      </c>
      <c r="K596" s="2" t="s">
        <v>7475</v>
      </c>
      <c r="L596" s="2" t="s">
        <v>7476</v>
      </c>
      <c r="M596" s="3" t="s">
        <v>257</v>
      </c>
      <c r="O596" s="3" t="s">
        <v>63</v>
      </c>
      <c r="P596" s="3" t="s">
        <v>129</v>
      </c>
      <c r="Q596" s="2" t="s">
        <v>5344</v>
      </c>
      <c r="R596" s="3" t="s">
        <v>65</v>
      </c>
      <c r="S596" s="4">
        <v>5</v>
      </c>
      <c r="T596" s="4">
        <v>5</v>
      </c>
      <c r="U596" s="5" t="s">
        <v>7477</v>
      </c>
      <c r="V596" s="5" t="s">
        <v>7477</v>
      </c>
      <c r="W596" s="5" t="s">
        <v>7478</v>
      </c>
      <c r="X596" s="5" t="s">
        <v>7478</v>
      </c>
      <c r="Y596" s="4">
        <v>847</v>
      </c>
      <c r="Z596" s="4">
        <v>797</v>
      </c>
      <c r="AA596" s="4">
        <v>987</v>
      </c>
      <c r="AB596" s="4">
        <v>4</v>
      </c>
      <c r="AC596" s="4">
        <v>6</v>
      </c>
      <c r="AD596" s="4">
        <v>23</v>
      </c>
      <c r="AE596" s="4">
        <v>30</v>
      </c>
      <c r="AF596" s="4">
        <v>8</v>
      </c>
      <c r="AG596" s="4">
        <v>10</v>
      </c>
      <c r="AH596" s="4">
        <v>8</v>
      </c>
      <c r="AI596" s="4">
        <v>9</v>
      </c>
      <c r="AJ596" s="4">
        <v>12</v>
      </c>
      <c r="AK596" s="4">
        <v>17</v>
      </c>
      <c r="AL596" s="4">
        <v>2</v>
      </c>
      <c r="AM596" s="4">
        <v>3</v>
      </c>
      <c r="AN596" s="4">
        <v>0</v>
      </c>
      <c r="AO596" s="4">
        <v>0</v>
      </c>
      <c r="AP596" s="3" t="s">
        <v>58</v>
      </c>
      <c r="AQ596" s="3" t="s">
        <v>58</v>
      </c>
      <c r="AS596" s="6" t="str">
        <f>HYPERLINK("https://creighton-primo.hosted.exlibrisgroup.com/primo-explore/search?tab=default_tab&amp;search_scope=EVERYTHING&amp;vid=01CRU&amp;lang=en_US&amp;offset=0&amp;query=any,contains,991002806859702656","Catalog Record")</f>
        <v>Catalog Record</v>
      </c>
      <c r="AT596" s="6" t="str">
        <f>HYPERLINK("http://www.worldcat.org/oclc/36877342","WorldCat Record")</f>
        <v>WorldCat Record</v>
      </c>
      <c r="AU596" s="3" t="s">
        <v>7479</v>
      </c>
      <c r="AV596" s="3" t="s">
        <v>7480</v>
      </c>
      <c r="AW596" s="3" t="s">
        <v>7481</v>
      </c>
      <c r="AX596" s="3" t="s">
        <v>7481</v>
      </c>
      <c r="AY596" s="3" t="s">
        <v>7482</v>
      </c>
      <c r="AZ596" s="3" t="s">
        <v>73</v>
      </c>
      <c r="BB596" s="3" t="s">
        <v>7483</v>
      </c>
      <c r="BC596" s="3" t="s">
        <v>7484</v>
      </c>
      <c r="BD596" s="3" t="s">
        <v>7485</v>
      </c>
    </row>
    <row r="597" spans="1:56" ht="31.5" customHeight="1" x14ac:dyDescent="0.25">
      <c r="A597" s="7" t="s">
        <v>58</v>
      </c>
      <c r="B597" s="2" t="s">
        <v>7486</v>
      </c>
      <c r="C597" s="2" t="s">
        <v>7487</v>
      </c>
      <c r="D597" s="2" t="s">
        <v>7488</v>
      </c>
      <c r="F597" s="3" t="s">
        <v>58</v>
      </c>
      <c r="G597" s="3" t="s">
        <v>59</v>
      </c>
      <c r="H597" s="3" t="s">
        <v>58</v>
      </c>
      <c r="I597" s="3" t="s">
        <v>58</v>
      </c>
      <c r="J597" s="3" t="s">
        <v>60</v>
      </c>
      <c r="K597" s="2" t="s">
        <v>7489</v>
      </c>
      <c r="L597" s="2" t="s">
        <v>7490</v>
      </c>
      <c r="M597" s="3" t="s">
        <v>537</v>
      </c>
      <c r="O597" s="3" t="s">
        <v>63</v>
      </c>
      <c r="P597" s="3" t="s">
        <v>64</v>
      </c>
      <c r="R597" s="3" t="s">
        <v>65</v>
      </c>
      <c r="S597" s="4">
        <v>1</v>
      </c>
      <c r="T597" s="4">
        <v>1</v>
      </c>
      <c r="U597" s="5" t="s">
        <v>7491</v>
      </c>
      <c r="V597" s="5" t="s">
        <v>7491</v>
      </c>
      <c r="W597" s="5" t="s">
        <v>1603</v>
      </c>
      <c r="X597" s="5" t="s">
        <v>1603</v>
      </c>
      <c r="Y597" s="4">
        <v>491</v>
      </c>
      <c r="Z597" s="4">
        <v>423</v>
      </c>
      <c r="AA597" s="4">
        <v>424</v>
      </c>
      <c r="AB597" s="4">
        <v>3</v>
      </c>
      <c r="AC597" s="4">
        <v>3</v>
      </c>
      <c r="AD597" s="4">
        <v>20</v>
      </c>
      <c r="AE597" s="4">
        <v>20</v>
      </c>
      <c r="AF597" s="4">
        <v>6</v>
      </c>
      <c r="AG597" s="4">
        <v>6</v>
      </c>
      <c r="AH597" s="4">
        <v>6</v>
      </c>
      <c r="AI597" s="4">
        <v>6</v>
      </c>
      <c r="AJ597" s="4">
        <v>14</v>
      </c>
      <c r="AK597" s="4">
        <v>14</v>
      </c>
      <c r="AL597" s="4">
        <v>2</v>
      </c>
      <c r="AM597" s="4">
        <v>2</v>
      </c>
      <c r="AN597" s="4">
        <v>0</v>
      </c>
      <c r="AO597" s="4">
        <v>0</v>
      </c>
      <c r="AP597" s="3" t="s">
        <v>58</v>
      </c>
      <c r="AQ597" s="3" t="s">
        <v>58</v>
      </c>
      <c r="AS597" s="6" t="str">
        <f>HYPERLINK("https://creighton-primo.hosted.exlibrisgroup.com/primo-explore/search?tab=default_tab&amp;search_scope=EVERYTHING&amp;vid=01CRU&amp;lang=en_US&amp;offset=0&amp;query=any,contains,991001815249702656","Catalog Record")</f>
        <v>Catalog Record</v>
      </c>
      <c r="AT597" s="6" t="str">
        <f>HYPERLINK("http://www.worldcat.org/oclc/22809958","WorldCat Record")</f>
        <v>WorldCat Record</v>
      </c>
      <c r="AU597" s="3" t="s">
        <v>7492</v>
      </c>
      <c r="AV597" s="3" t="s">
        <v>7493</v>
      </c>
      <c r="AW597" s="3" t="s">
        <v>7494</v>
      </c>
      <c r="AX597" s="3" t="s">
        <v>7494</v>
      </c>
      <c r="AY597" s="3" t="s">
        <v>7495</v>
      </c>
      <c r="AZ597" s="3" t="s">
        <v>73</v>
      </c>
      <c r="BB597" s="3" t="s">
        <v>7496</v>
      </c>
      <c r="BC597" s="3" t="s">
        <v>7497</v>
      </c>
      <c r="BD597" s="3" t="s">
        <v>7498</v>
      </c>
    </row>
    <row r="598" spans="1:56" ht="31.5" customHeight="1" x14ac:dyDescent="0.25">
      <c r="A598" s="7" t="s">
        <v>58</v>
      </c>
      <c r="B598" s="2" t="s">
        <v>7499</v>
      </c>
      <c r="C598" s="2" t="s">
        <v>7500</v>
      </c>
      <c r="D598" s="2" t="s">
        <v>7501</v>
      </c>
      <c r="F598" s="3" t="s">
        <v>58</v>
      </c>
      <c r="G598" s="3" t="s">
        <v>59</v>
      </c>
      <c r="H598" s="3" t="s">
        <v>58</v>
      </c>
      <c r="I598" s="3" t="s">
        <v>58</v>
      </c>
      <c r="J598" s="3" t="s">
        <v>60</v>
      </c>
      <c r="K598" s="2" t="s">
        <v>7502</v>
      </c>
      <c r="L598" s="2" t="s">
        <v>7503</v>
      </c>
      <c r="M598" s="3" t="s">
        <v>113</v>
      </c>
      <c r="N598" s="2" t="s">
        <v>2281</v>
      </c>
      <c r="O598" s="3" t="s">
        <v>63</v>
      </c>
      <c r="P598" s="3" t="s">
        <v>186</v>
      </c>
      <c r="R598" s="3" t="s">
        <v>65</v>
      </c>
      <c r="S598" s="4">
        <v>6</v>
      </c>
      <c r="T598" s="4">
        <v>6</v>
      </c>
      <c r="U598" s="5" t="s">
        <v>417</v>
      </c>
      <c r="V598" s="5" t="s">
        <v>417</v>
      </c>
      <c r="W598" s="5" t="s">
        <v>4884</v>
      </c>
      <c r="X598" s="5" t="s">
        <v>4884</v>
      </c>
      <c r="Y598" s="4">
        <v>181</v>
      </c>
      <c r="Z598" s="4">
        <v>102</v>
      </c>
      <c r="AA598" s="4">
        <v>970</v>
      </c>
      <c r="AB598" s="4">
        <v>1</v>
      </c>
      <c r="AC598" s="4">
        <v>27</v>
      </c>
      <c r="AD598" s="4">
        <v>2</v>
      </c>
      <c r="AE598" s="4">
        <v>39</v>
      </c>
      <c r="AF598" s="4">
        <v>1</v>
      </c>
      <c r="AG598" s="4">
        <v>14</v>
      </c>
      <c r="AH598" s="4">
        <v>0</v>
      </c>
      <c r="AI598" s="4">
        <v>7</v>
      </c>
      <c r="AJ598" s="4">
        <v>1</v>
      </c>
      <c r="AK598" s="4">
        <v>11</v>
      </c>
      <c r="AL598" s="4">
        <v>0</v>
      </c>
      <c r="AM598" s="4">
        <v>12</v>
      </c>
      <c r="AN598" s="4">
        <v>0</v>
      </c>
      <c r="AO598" s="4">
        <v>1</v>
      </c>
      <c r="AP598" s="3" t="s">
        <v>58</v>
      </c>
      <c r="AQ598" s="3" t="s">
        <v>58</v>
      </c>
      <c r="AS598" s="6" t="str">
        <f>HYPERLINK("https://creighton-primo.hosted.exlibrisgroup.com/primo-explore/search?tab=default_tab&amp;search_scope=EVERYTHING&amp;vid=01CRU&amp;lang=en_US&amp;offset=0&amp;query=any,contains,991004495489702656","Catalog Record")</f>
        <v>Catalog Record</v>
      </c>
      <c r="AT598" s="6" t="str">
        <f>HYPERLINK("http://www.worldcat.org/oclc/53096953","WorldCat Record")</f>
        <v>WorldCat Record</v>
      </c>
      <c r="AU598" s="3" t="s">
        <v>7504</v>
      </c>
      <c r="AV598" s="3" t="s">
        <v>7505</v>
      </c>
      <c r="AW598" s="3" t="s">
        <v>7506</v>
      </c>
      <c r="AX598" s="3" t="s">
        <v>7506</v>
      </c>
      <c r="AY598" s="3" t="s">
        <v>7507</v>
      </c>
      <c r="AZ598" s="3" t="s">
        <v>73</v>
      </c>
      <c r="BB598" s="3" t="s">
        <v>7508</v>
      </c>
      <c r="BC598" s="3" t="s">
        <v>7509</v>
      </c>
      <c r="BD598" s="3" t="s">
        <v>7510</v>
      </c>
    </row>
    <row r="599" spans="1:56" ht="31.5" customHeight="1" x14ac:dyDescent="0.25">
      <c r="A599" s="7" t="s">
        <v>58</v>
      </c>
      <c r="B599" s="2" t="s">
        <v>7511</v>
      </c>
      <c r="C599" s="2" t="s">
        <v>7512</v>
      </c>
      <c r="D599" s="2" t="s">
        <v>7513</v>
      </c>
      <c r="F599" s="3" t="s">
        <v>58</v>
      </c>
      <c r="G599" s="3" t="s">
        <v>59</v>
      </c>
      <c r="H599" s="3" t="s">
        <v>58</v>
      </c>
      <c r="I599" s="3" t="s">
        <v>58</v>
      </c>
      <c r="J599" s="3" t="s">
        <v>60</v>
      </c>
      <c r="K599" s="2" t="s">
        <v>7514</v>
      </c>
      <c r="L599" s="2" t="s">
        <v>7515</v>
      </c>
      <c r="M599" s="3" t="s">
        <v>244</v>
      </c>
      <c r="N599" s="2" t="s">
        <v>1180</v>
      </c>
      <c r="O599" s="3" t="s">
        <v>63</v>
      </c>
      <c r="P599" s="3" t="s">
        <v>186</v>
      </c>
      <c r="Q599" s="2" t="s">
        <v>7516</v>
      </c>
      <c r="R599" s="3" t="s">
        <v>65</v>
      </c>
      <c r="S599" s="4">
        <v>1</v>
      </c>
      <c r="T599" s="4">
        <v>1</v>
      </c>
      <c r="U599" s="5" t="s">
        <v>7517</v>
      </c>
      <c r="V599" s="5" t="s">
        <v>7517</v>
      </c>
      <c r="W599" s="5" t="s">
        <v>7373</v>
      </c>
      <c r="X599" s="5" t="s">
        <v>7373</v>
      </c>
      <c r="Y599" s="4">
        <v>272</v>
      </c>
      <c r="Z599" s="4">
        <v>175</v>
      </c>
      <c r="AA599" s="4">
        <v>550</v>
      </c>
      <c r="AB599" s="4">
        <v>2</v>
      </c>
      <c r="AC599" s="4">
        <v>3</v>
      </c>
      <c r="AD599" s="4">
        <v>6</v>
      </c>
      <c r="AE599" s="4">
        <v>24</v>
      </c>
      <c r="AF599" s="4">
        <v>1</v>
      </c>
      <c r="AG599" s="4">
        <v>8</v>
      </c>
      <c r="AH599" s="4">
        <v>3</v>
      </c>
      <c r="AI599" s="4">
        <v>6</v>
      </c>
      <c r="AJ599" s="4">
        <v>2</v>
      </c>
      <c r="AK599" s="4">
        <v>13</v>
      </c>
      <c r="AL599" s="4">
        <v>1</v>
      </c>
      <c r="AM599" s="4">
        <v>2</v>
      </c>
      <c r="AN599" s="4">
        <v>0</v>
      </c>
      <c r="AO599" s="4">
        <v>0</v>
      </c>
      <c r="AP599" s="3" t="s">
        <v>58</v>
      </c>
      <c r="AQ599" s="3" t="s">
        <v>68</v>
      </c>
      <c r="AR599" s="6" t="str">
        <f>HYPERLINK("http://catalog.hathitrust.org/Record/000143935","HathiTrust Record")</f>
        <v>HathiTrust Record</v>
      </c>
      <c r="AS599" s="6" t="str">
        <f>HYPERLINK("https://creighton-primo.hosted.exlibrisgroup.com/primo-explore/search?tab=default_tab&amp;search_scope=EVERYTHING&amp;vid=01CRU&amp;lang=en_US&amp;offset=0&amp;query=any,contains,991005149159702656","Catalog Record")</f>
        <v>Catalog Record</v>
      </c>
      <c r="AT599" s="6" t="str">
        <f>HYPERLINK("http://www.worldcat.org/oclc/7701584","WorldCat Record")</f>
        <v>WorldCat Record</v>
      </c>
      <c r="AU599" s="3" t="s">
        <v>7518</v>
      </c>
      <c r="AV599" s="3" t="s">
        <v>7519</v>
      </c>
      <c r="AW599" s="3" t="s">
        <v>7520</v>
      </c>
      <c r="AX599" s="3" t="s">
        <v>7520</v>
      </c>
      <c r="AY599" s="3" t="s">
        <v>7521</v>
      </c>
      <c r="AZ599" s="3" t="s">
        <v>73</v>
      </c>
      <c r="BB599" s="3" t="s">
        <v>7522</v>
      </c>
      <c r="BC599" s="3" t="s">
        <v>7523</v>
      </c>
      <c r="BD599" s="3" t="s">
        <v>7524</v>
      </c>
    </row>
    <row r="600" spans="1:56" ht="31.5" customHeight="1" x14ac:dyDescent="0.25">
      <c r="A600" s="7" t="s">
        <v>58</v>
      </c>
      <c r="B600" s="2" t="s">
        <v>7525</v>
      </c>
      <c r="C600" s="2" t="s">
        <v>7526</v>
      </c>
      <c r="D600" s="2" t="s">
        <v>7527</v>
      </c>
      <c r="F600" s="3" t="s">
        <v>58</v>
      </c>
      <c r="G600" s="3" t="s">
        <v>59</v>
      </c>
      <c r="H600" s="3" t="s">
        <v>58</v>
      </c>
      <c r="I600" s="3" t="s">
        <v>58</v>
      </c>
      <c r="J600" s="3" t="s">
        <v>60</v>
      </c>
      <c r="K600" s="2" t="s">
        <v>7528</v>
      </c>
      <c r="L600" s="2" t="s">
        <v>1872</v>
      </c>
      <c r="M600" s="3" t="s">
        <v>565</v>
      </c>
      <c r="O600" s="3" t="s">
        <v>63</v>
      </c>
      <c r="P600" s="3" t="s">
        <v>444</v>
      </c>
      <c r="R600" s="3" t="s">
        <v>65</v>
      </c>
      <c r="S600" s="4">
        <v>24</v>
      </c>
      <c r="T600" s="4">
        <v>24</v>
      </c>
      <c r="U600" s="5" t="s">
        <v>7529</v>
      </c>
      <c r="V600" s="5" t="s">
        <v>7529</v>
      </c>
      <c r="W600" s="5" t="s">
        <v>7411</v>
      </c>
      <c r="X600" s="5" t="s">
        <v>7411</v>
      </c>
      <c r="Y600" s="4">
        <v>1112</v>
      </c>
      <c r="Z600" s="4">
        <v>918</v>
      </c>
      <c r="AA600" s="4">
        <v>1630</v>
      </c>
      <c r="AB600" s="4">
        <v>6</v>
      </c>
      <c r="AC600" s="4">
        <v>11</v>
      </c>
      <c r="AD600" s="4">
        <v>26</v>
      </c>
      <c r="AE600" s="4">
        <v>45</v>
      </c>
      <c r="AF600" s="4">
        <v>10</v>
      </c>
      <c r="AG600" s="4">
        <v>15</v>
      </c>
      <c r="AH600" s="4">
        <v>3</v>
      </c>
      <c r="AI600" s="4">
        <v>8</v>
      </c>
      <c r="AJ600" s="4">
        <v>13</v>
      </c>
      <c r="AK600" s="4">
        <v>24</v>
      </c>
      <c r="AL600" s="4">
        <v>4</v>
      </c>
      <c r="AM600" s="4">
        <v>9</v>
      </c>
      <c r="AN600" s="4">
        <v>0</v>
      </c>
      <c r="AO600" s="4">
        <v>0</v>
      </c>
      <c r="AP600" s="3" t="s">
        <v>58</v>
      </c>
      <c r="AQ600" s="3" t="s">
        <v>58</v>
      </c>
      <c r="AS600" s="6" t="str">
        <f>HYPERLINK("https://creighton-primo.hosted.exlibrisgroup.com/primo-explore/search?tab=default_tab&amp;search_scope=EVERYTHING&amp;vid=01CRU&amp;lang=en_US&amp;offset=0&amp;query=any,contains,991005378219702656","Catalog Record")</f>
        <v>Catalog Record</v>
      </c>
      <c r="AT600" s="6" t="str">
        <f>HYPERLINK("http://www.worldcat.org/oclc/5310727","WorldCat Record")</f>
        <v>WorldCat Record</v>
      </c>
      <c r="AU600" s="3" t="s">
        <v>7530</v>
      </c>
      <c r="AV600" s="3" t="s">
        <v>7531</v>
      </c>
      <c r="AW600" s="3" t="s">
        <v>7532</v>
      </c>
      <c r="AX600" s="3" t="s">
        <v>7532</v>
      </c>
      <c r="AY600" s="3" t="s">
        <v>7533</v>
      </c>
      <c r="AZ600" s="3" t="s">
        <v>73</v>
      </c>
      <c r="BB600" s="3" t="s">
        <v>7534</v>
      </c>
      <c r="BC600" s="3" t="s">
        <v>7535</v>
      </c>
      <c r="BD600" s="3" t="s">
        <v>7536</v>
      </c>
    </row>
    <row r="601" spans="1:56" ht="31.5" customHeight="1" x14ac:dyDescent="0.25">
      <c r="A601" s="7" t="s">
        <v>58</v>
      </c>
      <c r="B601" s="2" t="s">
        <v>7537</v>
      </c>
      <c r="C601" s="2" t="s">
        <v>7538</v>
      </c>
      <c r="D601" s="2" t="s">
        <v>7539</v>
      </c>
      <c r="F601" s="3" t="s">
        <v>58</v>
      </c>
      <c r="G601" s="3" t="s">
        <v>59</v>
      </c>
      <c r="H601" s="3" t="s">
        <v>58</v>
      </c>
      <c r="I601" s="3" t="s">
        <v>58</v>
      </c>
      <c r="J601" s="3" t="s">
        <v>60</v>
      </c>
      <c r="K601" s="2" t="s">
        <v>7528</v>
      </c>
      <c r="L601" s="2" t="s">
        <v>7540</v>
      </c>
      <c r="M601" s="3" t="s">
        <v>344</v>
      </c>
      <c r="O601" s="3" t="s">
        <v>63</v>
      </c>
      <c r="P601" s="3" t="s">
        <v>64</v>
      </c>
      <c r="Q601" s="2" t="s">
        <v>7541</v>
      </c>
      <c r="R601" s="3" t="s">
        <v>65</v>
      </c>
      <c r="S601" s="4">
        <v>5</v>
      </c>
      <c r="T601" s="4">
        <v>5</v>
      </c>
      <c r="U601" s="5" t="s">
        <v>7542</v>
      </c>
      <c r="V601" s="5" t="s">
        <v>7542</v>
      </c>
      <c r="W601" s="5" t="s">
        <v>4923</v>
      </c>
      <c r="X601" s="5" t="s">
        <v>4923</v>
      </c>
      <c r="Y601" s="4">
        <v>370</v>
      </c>
      <c r="Z601" s="4">
        <v>304</v>
      </c>
      <c r="AA601" s="4">
        <v>309</v>
      </c>
      <c r="AB601" s="4">
        <v>4</v>
      </c>
      <c r="AC601" s="4">
        <v>4</v>
      </c>
      <c r="AD601" s="4">
        <v>12</v>
      </c>
      <c r="AE601" s="4">
        <v>12</v>
      </c>
      <c r="AF601" s="4">
        <v>2</v>
      </c>
      <c r="AG601" s="4">
        <v>2</v>
      </c>
      <c r="AH601" s="4">
        <v>2</v>
      </c>
      <c r="AI601" s="4">
        <v>2</v>
      </c>
      <c r="AJ601" s="4">
        <v>6</v>
      </c>
      <c r="AK601" s="4">
        <v>6</v>
      </c>
      <c r="AL601" s="4">
        <v>3</v>
      </c>
      <c r="AM601" s="4">
        <v>3</v>
      </c>
      <c r="AN601" s="4">
        <v>0</v>
      </c>
      <c r="AO601" s="4">
        <v>0</v>
      </c>
      <c r="AP601" s="3" t="s">
        <v>58</v>
      </c>
      <c r="AQ601" s="3" t="s">
        <v>58</v>
      </c>
      <c r="AS601" s="6" t="str">
        <f>HYPERLINK("https://creighton-primo.hosted.exlibrisgroup.com/primo-explore/search?tab=default_tab&amp;search_scope=EVERYTHING&amp;vid=01CRU&amp;lang=en_US&amp;offset=0&amp;query=any,contains,991002254729702656","Catalog Record")</f>
        <v>Catalog Record</v>
      </c>
      <c r="AT601" s="6" t="str">
        <f>HYPERLINK("http://www.worldcat.org/oclc/29219689","WorldCat Record")</f>
        <v>WorldCat Record</v>
      </c>
      <c r="AU601" s="3" t="s">
        <v>7543</v>
      </c>
      <c r="AV601" s="3" t="s">
        <v>7544</v>
      </c>
      <c r="AW601" s="3" t="s">
        <v>7545</v>
      </c>
      <c r="AX601" s="3" t="s">
        <v>7545</v>
      </c>
      <c r="AY601" s="3" t="s">
        <v>7546</v>
      </c>
      <c r="AZ601" s="3" t="s">
        <v>73</v>
      </c>
      <c r="BB601" s="3" t="s">
        <v>7547</v>
      </c>
      <c r="BC601" s="3" t="s">
        <v>7548</v>
      </c>
      <c r="BD601" s="3" t="s">
        <v>7549</v>
      </c>
    </row>
    <row r="602" spans="1:56" ht="31.5" customHeight="1" x14ac:dyDescent="0.25">
      <c r="A602" s="7" t="s">
        <v>58</v>
      </c>
      <c r="B602" s="2" t="s">
        <v>7550</v>
      </c>
      <c r="C602" s="2" t="s">
        <v>7551</v>
      </c>
      <c r="D602" s="2" t="s">
        <v>7552</v>
      </c>
      <c r="F602" s="3" t="s">
        <v>58</v>
      </c>
      <c r="G602" s="3" t="s">
        <v>59</v>
      </c>
      <c r="H602" s="3" t="s">
        <v>58</v>
      </c>
      <c r="I602" s="3" t="s">
        <v>58</v>
      </c>
      <c r="J602" s="3" t="s">
        <v>60</v>
      </c>
      <c r="K602" s="2" t="s">
        <v>7553</v>
      </c>
      <c r="L602" s="2" t="s">
        <v>7554</v>
      </c>
      <c r="M602" s="3" t="s">
        <v>128</v>
      </c>
      <c r="N602" s="2" t="s">
        <v>501</v>
      </c>
      <c r="O602" s="3" t="s">
        <v>63</v>
      </c>
      <c r="P602" s="3" t="s">
        <v>64</v>
      </c>
      <c r="R602" s="3" t="s">
        <v>65</v>
      </c>
      <c r="S602" s="4">
        <v>4</v>
      </c>
      <c r="T602" s="4">
        <v>4</v>
      </c>
      <c r="U602" s="5" t="s">
        <v>7555</v>
      </c>
      <c r="V602" s="5" t="s">
        <v>7555</v>
      </c>
      <c r="W602" s="5" t="s">
        <v>6660</v>
      </c>
      <c r="X602" s="5" t="s">
        <v>6660</v>
      </c>
      <c r="Y602" s="4">
        <v>1252</v>
      </c>
      <c r="Z602" s="4">
        <v>1196</v>
      </c>
      <c r="AA602" s="4">
        <v>1457</v>
      </c>
      <c r="AB602" s="4">
        <v>8</v>
      </c>
      <c r="AC602" s="4">
        <v>14</v>
      </c>
      <c r="AD602" s="4">
        <v>27</v>
      </c>
      <c r="AE602" s="4">
        <v>37</v>
      </c>
      <c r="AF602" s="4">
        <v>9</v>
      </c>
      <c r="AG602" s="4">
        <v>12</v>
      </c>
      <c r="AH602" s="4">
        <v>5</v>
      </c>
      <c r="AI602" s="4">
        <v>7</v>
      </c>
      <c r="AJ602" s="4">
        <v>13</v>
      </c>
      <c r="AK602" s="4">
        <v>17</v>
      </c>
      <c r="AL602" s="4">
        <v>3</v>
      </c>
      <c r="AM602" s="4">
        <v>7</v>
      </c>
      <c r="AN602" s="4">
        <v>0</v>
      </c>
      <c r="AO602" s="4">
        <v>0</v>
      </c>
      <c r="AP602" s="3" t="s">
        <v>58</v>
      </c>
      <c r="AQ602" s="3" t="s">
        <v>68</v>
      </c>
      <c r="AR602" s="6" t="str">
        <f>HYPERLINK("http://catalog.hathitrust.org/Record/002780435","HathiTrust Record")</f>
        <v>HathiTrust Record</v>
      </c>
      <c r="AS602" s="6" t="str">
        <f>HYPERLINK("https://creighton-primo.hosted.exlibrisgroup.com/primo-explore/search?tab=default_tab&amp;search_scope=EVERYTHING&amp;vid=01CRU&amp;lang=en_US&amp;offset=0&amp;query=any,contains,991002193999702656","Catalog Record")</f>
        <v>Catalog Record</v>
      </c>
      <c r="AT602" s="6" t="str">
        <f>HYPERLINK("http://www.worldcat.org/oclc/28215032","WorldCat Record")</f>
        <v>WorldCat Record</v>
      </c>
      <c r="AU602" s="3" t="s">
        <v>7556</v>
      </c>
      <c r="AV602" s="3" t="s">
        <v>7557</v>
      </c>
      <c r="AW602" s="3" t="s">
        <v>7558</v>
      </c>
      <c r="AX602" s="3" t="s">
        <v>7558</v>
      </c>
      <c r="AY602" s="3" t="s">
        <v>7559</v>
      </c>
      <c r="AZ602" s="3" t="s">
        <v>73</v>
      </c>
      <c r="BB602" s="3" t="s">
        <v>7560</v>
      </c>
      <c r="BC602" s="3" t="s">
        <v>7561</v>
      </c>
      <c r="BD602" s="3" t="s">
        <v>7562</v>
      </c>
    </row>
    <row r="603" spans="1:56" ht="31.5" customHeight="1" x14ac:dyDescent="0.25">
      <c r="A603" s="7" t="s">
        <v>58</v>
      </c>
      <c r="B603" s="2" t="s">
        <v>7563</v>
      </c>
      <c r="C603" s="2" t="s">
        <v>7564</v>
      </c>
      <c r="D603" s="2" t="s">
        <v>7565</v>
      </c>
      <c r="F603" s="3" t="s">
        <v>58</v>
      </c>
      <c r="G603" s="3" t="s">
        <v>59</v>
      </c>
      <c r="H603" s="3" t="s">
        <v>58</v>
      </c>
      <c r="I603" s="3" t="s">
        <v>58</v>
      </c>
      <c r="J603" s="3" t="s">
        <v>60</v>
      </c>
      <c r="K603" s="2" t="s">
        <v>7566</v>
      </c>
      <c r="L603" s="2" t="s">
        <v>7567</v>
      </c>
      <c r="M603" s="3" t="s">
        <v>1029</v>
      </c>
      <c r="O603" s="3" t="s">
        <v>63</v>
      </c>
      <c r="P603" s="3" t="s">
        <v>129</v>
      </c>
      <c r="Q603" s="2" t="s">
        <v>7568</v>
      </c>
      <c r="R603" s="3" t="s">
        <v>65</v>
      </c>
      <c r="S603" s="4">
        <v>1</v>
      </c>
      <c r="T603" s="4">
        <v>1</v>
      </c>
      <c r="U603" s="5" t="s">
        <v>7569</v>
      </c>
      <c r="V603" s="5" t="s">
        <v>7569</v>
      </c>
      <c r="W603" s="5" t="s">
        <v>4659</v>
      </c>
      <c r="X603" s="5" t="s">
        <v>4659</v>
      </c>
      <c r="Y603" s="4">
        <v>557</v>
      </c>
      <c r="Z603" s="4">
        <v>482</v>
      </c>
      <c r="AA603" s="4">
        <v>511</v>
      </c>
      <c r="AB603" s="4">
        <v>5</v>
      </c>
      <c r="AC603" s="4">
        <v>5</v>
      </c>
      <c r="AD603" s="4">
        <v>18</v>
      </c>
      <c r="AE603" s="4">
        <v>19</v>
      </c>
      <c r="AF603" s="4">
        <v>7</v>
      </c>
      <c r="AG603" s="4">
        <v>8</v>
      </c>
      <c r="AH603" s="4">
        <v>2</v>
      </c>
      <c r="AI603" s="4">
        <v>2</v>
      </c>
      <c r="AJ603" s="4">
        <v>8</v>
      </c>
      <c r="AK603" s="4">
        <v>9</v>
      </c>
      <c r="AL603" s="4">
        <v>4</v>
      </c>
      <c r="AM603" s="4">
        <v>4</v>
      </c>
      <c r="AN603" s="4">
        <v>0</v>
      </c>
      <c r="AO603" s="4">
        <v>0</v>
      </c>
      <c r="AP603" s="3" t="s">
        <v>58</v>
      </c>
      <c r="AQ603" s="3" t="s">
        <v>58</v>
      </c>
      <c r="AR603" s="6" t="str">
        <f>HYPERLINK("http://catalog.hathitrust.org/Record/001477382","HathiTrust Record")</f>
        <v>HathiTrust Record</v>
      </c>
      <c r="AS603" s="6" t="str">
        <f>HYPERLINK("https://creighton-primo.hosted.exlibrisgroup.com/primo-explore/search?tab=default_tab&amp;search_scope=EVERYTHING&amp;vid=01CRU&amp;lang=en_US&amp;offset=0&amp;query=any,contains,991002049369702656","Catalog Record")</f>
        <v>Catalog Record</v>
      </c>
      <c r="AT603" s="6" t="str">
        <f>HYPERLINK("http://www.worldcat.org/oclc/261535","WorldCat Record")</f>
        <v>WorldCat Record</v>
      </c>
      <c r="AU603" s="3" t="s">
        <v>7570</v>
      </c>
      <c r="AV603" s="3" t="s">
        <v>7571</v>
      </c>
      <c r="AW603" s="3" t="s">
        <v>7572</v>
      </c>
      <c r="AX603" s="3" t="s">
        <v>7572</v>
      </c>
      <c r="AY603" s="3" t="s">
        <v>7573</v>
      </c>
      <c r="AZ603" s="3" t="s">
        <v>73</v>
      </c>
      <c r="BC603" s="3" t="s">
        <v>7574</v>
      </c>
      <c r="BD603" s="3" t="s">
        <v>7575</v>
      </c>
    </row>
    <row r="604" spans="1:56" ht="31.5" customHeight="1" x14ac:dyDescent="0.25">
      <c r="A604" s="7" t="s">
        <v>58</v>
      </c>
      <c r="B604" s="2" t="s">
        <v>7576</v>
      </c>
      <c r="C604" s="2" t="s">
        <v>7577</v>
      </c>
      <c r="D604" s="2" t="s">
        <v>7578</v>
      </c>
      <c r="F604" s="3" t="s">
        <v>58</v>
      </c>
      <c r="G604" s="3" t="s">
        <v>59</v>
      </c>
      <c r="H604" s="3" t="s">
        <v>58</v>
      </c>
      <c r="I604" s="3" t="s">
        <v>58</v>
      </c>
      <c r="J604" s="3" t="s">
        <v>60</v>
      </c>
      <c r="K604" s="2" t="s">
        <v>7579</v>
      </c>
      <c r="L604" s="2" t="s">
        <v>7580</v>
      </c>
      <c r="M604" s="3" t="s">
        <v>344</v>
      </c>
      <c r="N604" s="2" t="s">
        <v>501</v>
      </c>
      <c r="O604" s="3" t="s">
        <v>63</v>
      </c>
      <c r="P604" s="3" t="s">
        <v>64</v>
      </c>
      <c r="R604" s="3" t="s">
        <v>65</v>
      </c>
      <c r="S604" s="4">
        <v>7</v>
      </c>
      <c r="T604" s="4">
        <v>7</v>
      </c>
      <c r="U604" s="5" t="s">
        <v>7581</v>
      </c>
      <c r="V604" s="5" t="s">
        <v>7581</v>
      </c>
      <c r="W604" s="5" t="s">
        <v>7582</v>
      </c>
      <c r="X604" s="5" t="s">
        <v>7582</v>
      </c>
      <c r="Y604" s="4">
        <v>1149</v>
      </c>
      <c r="Z604" s="4">
        <v>1053</v>
      </c>
      <c r="AA604" s="4">
        <v>1288</v>
      </c>
      <c r="AB604" s="4">
        <v>8</v>
      </c>
      <c r="AC604" s="4">
        <v>12</v>
      </c>
      <c r="AD604" s="4">
        <v>29</v>
      </c>
      <c r="AE604" s="4">
        <v>40</v>
      </c>
      <c r="AF604" s="4">
        <v>13</v>
      </c>
      <c r="AG604" s="4">
        <v>18</v>
      </c>
      <c r="AH604" s="4">
        <v>7</v>
      </c>
      <c r="AI604" s="4">
        <v>8</v>
      </c>
      <c r="AJ604" s="4">
        <v>16</v>
      </c>
      <c r="AK604" s="4">
        <v>18</v>
      </c>
      <c r="AL604" s="4">
        <v>3</v>
      </c>
      <c r="AM604" s="4">
        <v>6</v>
      </c>
      <c r="AN604" s="4">
        <v>0</v>
      </c>
      <c r="AO604" s="4">
        <v>0</v>
      </c>
      <c r="AP604" s="3" t="s">
        <v>58</v>
      </c>
      <c r="AQ604" s="3" t="s">
        <v>68</v>
      </c>
      <c r="AR604" s="6" t="str">
        <f>HYPERLINK("http://catalog.hathitrust.org/Record/002884602","HathiTrust Record")</f>
        <v>HathiTrust Record</v>
      </c>
      <c r="AS604" s="6" t="str">
        <f>HYPERLINK("https://creighton-primo.hosted.exlibrisgroup.com/primo-explore/search?tab=default_tab&amp;search_scope=EVERYTHING&amp;vid=01CRU&amp;lang=en_US&amp;offset=0&amp;query=any,contains,991002267449702656","Catalog Record")</f>
        <v>Catalog Record</v>
      </c>
      <c r="AT604" s="6" t="str">
        <f>HYPERLINK("http://www.worldcat.org/oclc/29427823","WorldCat Record")</f>
        <v>WorldCat Record</v>
      </c>
      <c r="AU604" s="3" t="s">
        <v>7583</v>
      </c>
      <c r="AV604" s="3" t="s">
        <v>7584</v>
      </c>
      <c r="AW604" s="3" t="s">
        <v>7585</v>
      </c>
      <c r="AX604" s="3" t="s">
        <v>7585</v>
      </c>
      <c r="AY604" s="3" t="s">
        <v>7586</v>
      </c>
      <c r="AZ604" s="3" t="s">
        <v>73</v>
      </c>
      <c r="BB604" s="3" t="s">
        <v>7587</v>
      </c>
      <c r="BC604" s="3" t="s">
        <v>7588</v>
      </c>
      <c r="BD604" s="3" t="s">
        <v>7589</v>
      </c>
    </row>
    <row r="605" spans="1:56" ht="31.5" customHeight="1" x14ac:dyDescent="0.25">
      <c r="A605" s="7" t="s">
        <v>58</v>
      </c>
      <c r="B605" s="2" t="s">
        <v>7590</v>
      </c>
      <c r="C605" s="2" t="s">
        <v>7591</v>
      </c>
      <c r="D605" s="2" t="s">
        <v>7592</v>
      </c>
      <c r="F605" s="3" t="s">
        <v>58</v>
      </c>
      <c r="G605" s="3" t="s">
        <v>59</v>
      </c>
      <c r="H605" s="3" t="s">
        <v>58</v>
      </c>
      <c r="I605" s="3" t="s">
        <v>58</v>
      </c>
      <c r="J605" s="3" t="s">
        <v>60</v>
      </c>
      <c r="K605" s="2" t="s">
        <v>7593</v>
      </c>
      <c r="L605" s="2" t="s">
        <v>7594</v>
      </c>
      <c r="M605" s="3" t="s">
        <v>159</v>
      </c>
      <c r="O605" s="3" t="s">
        <v>63</v>
      </c>
      <c r="P605" s="3" t="s">
        <v>444</v>
      </c>
      <c r="R605" s="3" t="s">
        <v>65</v>
      </c>
      <c r="S605" s="4">
        <v>2</v>
      </c>
      <c r="T605" s="4">
        <v>2</v>
      </c>
      <c r="U605" s="5" t="s">
        <v>7595</v>
      </c>
      <c r="V605" s="5" t="s">
        <v>7595</v>
      </c>
      <c r="W605" s="5" t="s">
        <v>4171</v>
      </c>
      <c r="X605" s="5" t="s">
        <v>4171</v>
      </c>
      <c r="Y605" s="4">
        <v>487</v>
      </c>
      <c r="Z605" s="4">
        <v>425</v>
      </c>
      <c r="AA605" s="4">
        <v>445</v>
      </c>
      <c r="AB605" s="4">
        <v>1</v>
      </c>
      <c r="AC605" s="4">
        <v>1</v>
      </c>
      <c r="AD605" s="4">
        <v>13</v>
      </c>
      <c r="AE605" s="4">
        <v>13</v>
      </c>
      <c r="AF605" s="4">
        <v>6</v>
      </c>
      <c r="AG605" s="4">
        <v>6</v>
      </c>
      <c r="AH605" s="4">
        <v>3</v>
      </c>
      <c r="AI605" s="4">
        <v>3</v>
      </c>
      <c r="AJ605" s="4">
        <v>9</v>
      </c>
      <c r="AK605" s="4">
        <v>9</v>
      </c>
      <c r="AL605" s="4">
        <v>0</v>
      </c>
      <c r="AM605" s="4">
        <v>0</v>
      </c>
      <c r="AN605" s="4">
        <v>0</v>
      </c>
      <c r="AO605" s="4">
        <v>0</v>
      </c>
      <c r="AP605" s="3" t="s">
        <v>58</v>
      </c>
      <c r="AQ605" s="3" t="s">
        <v>58</v>
      </c>
      <c r="AS605" s="6" t="str">
        <f>HYPERLINK("https://creighton-primo.hosted.exlibrisgroup.com/primo-explore/search?tab=default_tab&amp;search_scope=EVERYTHING&amp;vid=01CRU&amp;lang=en_US&amp;offset=0&amp;query=any,contains,991000102529702656","Catalog Record")</f>
        <v>Catalog Record</v>
      </c>
      <c r="AT605" s="6" t="str">
        <f>HYPERLINK("http://www.worldcat.org/oclc/8954689","WorldCat Record")</f>
        <v>WorldCat Record</v>
      </c>
      <c r="AU605" s="3" t="s">
        <v>7596</v>
      </c>
      <c r="AV605" s="3" t="s">
        <v>7597</v>
      </c>
      <c r="AW605" s="3" t="s">
        <v>7598</v>
      </c>
      <c r="AX605" s="3" t="s">
        <v>7598</v>
      </c>
      <c r="AY605" s="3" t="s">
        <v>7599</v>
      </c>
      <c r="AZ605" s="3" t="s">
        <v>73</v>
      </c>
      <c r="BB605" s="3" t="s">
        <v>7600</v>
      </c>
      <c r="BC605" s="3" t="s">
        <v>7601</v>
      </c>
      <c r="BD605" s="3" t="s">
        <v>7602</v>
      </c>
    </row>
    <row r="606" spans="1:56" ht="31.5" customHeight="1" x14ac:dyDescent="0.25">
      <c r="A606" s="7" t="s">
        <v>58</v>
      </c>
      <c r="B606" s="2" t="s">
        <v>7603</v>
      </c>
      <c r="C606" s="2" t="s">
        <v>7604</v>
      </c>
      <c r="D606" s="2" t="s">
        <v>7605</v>
      </c>
      <c r="F606" s="3" t="s">
        <v>58</v>
      </c>
      <c r="G606" s="3" t="s">
        <v>59</v>
      </c>
      <c r="H606" s="3" t="s">
        <v>58</v>
      </c>
      <c r="I606" s="3" t="s">
        <v>68</v>
      </c>
      <c r="J606" s="3" t="s">
        <v>60</v>
      </c>
      <c r="K606" s="2" t="s">
        <v>7606</v>
      </c>
      <c r="L606" s="2" t="s">
        <v>7607</v>
      </c>
      <c r="M606" s="3" t="s">
        <v>443</v>
      </c>
      <c r="O606" s="3" t="s">
        <v>63</v>
      </c>
      <c r="P606" s="3" t="s">
        <v>1275</v>
      </c>
      <c r="R606" s="3" t="s">
        <v>65</v>
      </c>
      <c r="S606" s="4">
        <v>2</v>
      </c>
      <c r="T606" s="4">
        <v>2</v>
      </c>
      <c r="U606" s="5" t="s">
        <v>6015</v>
      </c>
      <c r="V606" s="5" t="s">
        <v>6015</v>
      </c>
      <c r="W606" s="5" t="s">
        <v>4659</v>
      </c>
      <c r="X606" s="5" t="s">
        <v>4659</v>
      </c>
      <c r="Y606" s="4">
        <v>838</v>
      </c>
      <c r="Z606" s="4">
        <v>689</v>
      </c>
      <c r="AA606" s="4">
        <v>923</v>
      </c>
      <c r="AB606" s="4">
        <v>4</v>
      </c>
      <c r="AC606" s="4">
        <v>6</v>
      </c>
      <c r="AD606" s="4">
        <v>21</v>
      </c>
      <c r="AE606" s="4">
        <v>32</v>
      </c>
      <c r="AF606" s="4">
        <v>10</v>
      </c>
      <c r="AG606" s="4">
        <v>14</v>
      </c>
      <c r="AH606" s="4">
        <v>3</v>
      </c>
      <c r="AI606" s="4">
        <v>4</v>
      </c>
      <c r="AJ606" s="4">
        <v>10</v>
      </c>
      <c r="AK606" s="4">
        <v>17</v>
      </c>
      <c r="AL606" s="4">
        <v>2</v>
      </c>
      <c r="AM606" s="4">
        <v>4</v>
      </c>
      <c r="AN606" s="4">
        <v>0</v>
      </c>
      <c r="AO606" s="4">
        <v>0</v>
      </c>
      <c r="AP606" s="3" t="s">
        <v>58</v>
      </c>
      <c r="AQ606" s="3" t="s">
        <v>58</v>
      </c>
      <c r="AS606" s="6" t="str">
        <f>HYPERLINK("https://creighton-primo.hosted.exlibrisgroup.com/primo-explore/search?tab=default_tab&amp;search_scope=EVERYTHING&amp;vid=01CRU&amp;lang=en_US&amp;offset=0&amp;query=any,contains,991004270539702656","Catalog Record")</f>
        <v>Catalog Record</v>
      </c>
      <c r="AT606" s="6" t="str">
        <f>HYPERLINK("http://www.worldcat.org/oclc/2875525","WorldCat Record")</f>
        <v>WorldCat Record</v>
      </c>
      <c r="AU606" s="3" t="s">
        <v>7608</v>
      </c>
      <c r="AV606" s="3" t="s">
        <v>7609</v>
      </c>
      <c r="AW606" s="3" t="s">
        <v>7610</v>
      </c>
      <c r="AX606" s="3" t="s">
        <v>7610</v>
      </c>
      <c r="AY606" s="3" t="s">
        <v>7611</v>
      </c>
      <c r="AZ606" s="3" t="s">
        <v>73</v>
      </c>
      <c r="BB606" s="3" t="s">
        <v>7612</v>
      </c>
      <c r="BC606" s="3" t="s">
        <v>7613</v>
      </c>
      <c r="BD606" s="3" t="s">
        <v>7614</v>
      </c>
    </row>
    <row r="607" spans="1:56" ht="31.5" customHeight="1" x14ac:dyDescent="0.25">
      <c r="A607" s="7" t="s">
        <v>58</v>
      </c>
      <c r="B607" s="2" t="s">
        <v>7615</v>
      </c>
      <c r="C607" s="2" t="s">
        <v>7616</v>
      </c>
      <c r="D607" s="2" t="s">
        <v>7605</v>
      </c>
      <c r="F607" s="3" t="s">
        <v>58</v>
      </c>
      <c r="G607" s="3" t="s">
        <v>59</v>
      </c>
      <c r="H607" s="3" t="s">
        <v>58</v>
      </c>
      <c r="I607" s="3" t="s">
        <v>68</v>
      </c>
      <c r="J607" s="3" t="s">
        <v>60</v>
      </c>
      <c r="K607" s="2" t="s">
        <v>7606</v>
      </c>
      <c r="L607" s="2" t="s">
        <v>7617</v>
      </c>
      <c r="M607" s="3" t="s">
        <v>301</v>
      </c>
      <c r="N607" s="2" t="s">
        <v>1180</v>
      </c>
      <c r="O607" s="3" t="s">
        <v>63</v>
      </c>
      <c r="P607" s="3" t="s">
        <v>1275</v>
      </c>
      <c r="R607" s="3" t="s">
        <v>65</v>
      </c>
      <c r="S607" s="4">
        <v>13</v>
      </c>
      <c r="T607" s="4">
        <v>13</v>
      </c>
      <c r="U607" s="5" t="s">
        <v>5423</v>
      </c>
      <c r="V607" s="5" t="s">
        <v>5423</v>
      </c>
      <c r="W607" s="5" t="s">
        <v>7618</v>
      </c>
      <c r="X607" s="5" t="s">
        <v>7618</v>
      </c>
      <c r="Y607" s="4">
        <v>478</v>
      </c>
      <c r="Z607" s="4">
        <v>392</v>
      </c>
      <c r="AA607" s="4">
        <v>923</v>
      </c>
      <c r="AB607" s="4">
        <v>5</v>
      </c>
      <c r="AC607" s="4">
        <v>6</v>
      </c>
      <c r="AD607" s="4">
        <v>18</v>
      </c>
      <c r="AE607" s="4">
        <v>32</v>
      </c>
      <c r="AF607" s="4">
        <v>4</v>
      </c>
      <c r="AG607" s="4">
        <v>14</v>
      </c>
      <c r="AH607" s="4">
        <v>3</v>
      </c>
      <c r="AI607" s="4">
        <v>4</v>
      </c>
      <c r="AJ607" s="4">
        <v>11</v>
      </c>
      <c r="AK607" s="4">
        <v>17</v>
      </c>
      <c r="AL607" s="4">
        <v>4</v>
      </c>
      <c r="AM607" s="4">
        <v>4</v>
      </c>
      <c r="AN607" s="4">
        <v>0</v>
      </c>
      <c r="AO607" s="4">
        <v>0</v>
      </c>
      <c r="AP607" s="3" t="s">
        <v>58</v>
      </c>
      <c r="AQ607" s="3" t="s">
        <v>58</v>
      </c>
      <c r="AS607" s="6" t="str">
        <f>HYPERLINK("https://creighton-primo.hosted.exlibrisgroup.com/primo-explore/search?tab=default_tab&amp;search_scope=EVERYTHING&amp;vid=01CRU&amp;lang=en_US&amp;offset=0&amp;query=any,contains,991001914239702656","Catalog Record")</f>
        <v>Catalog Record</v>
      </c>
      <c r="AT607" s="6" t="str">
        <f>HYPERLINK("http://www.worldcat.org/oclc/24173814","WorldCat Record")</f>
        <v>WorldCat Record</v>
      </c>
      <c r="AU607" s="3" t="s">
        <v>7608</v>
      </c>
      <c r="AV607" s="3" t="s">
        <v>7619</v>
      </c>
      <c r="AW607" s="3" t="s">
        <v>7620</v>
      </c>
      <c r="AX607" s="3" t="s">
        <v>7620</v>
      </c>
      <c r="AY607" s="3" t="s">
        <v>7621</v>
      </c>
      <c r="AZ607" s="3" t="s">
        <v>73</v>
      </c>
      <c r="BB607" s="3" t="s">
        <v>7622</v>
      </c>
      <c r="BC607" s="3" t="s">
        <v>7623</v>
      </c>
      <c r="BD607" s="3" t="s">
        <v>7624</v>
      </c>
    </row>
    <row r="608" spans="1:56" ht="31.5" customHeight="1" x14ac:dyDescent="0.25">
      <c r="A608" s="7" t="s">
        <v>58</v>
      </c>
      <c r="B608" s="2" t="s">
        <v>7625</v>
      </c>
      <c r="C608" s="2" t="s">
        <v>7626</v>
      </c>
      <c r="D608" s="2" t="s">
        <v>7627</v>
      </c>
      <c r="F608" s="3" t="s">
        <v>58</v>
      </c>
      <c r="G608" s="3" t="s">
        <v>59</v>
      </c>
      <c r="H608" s="3" t="s">
        <v>58</v>
      </c>
      <c r="I608" s="3" t="s">
        <v>58</v>
      </c>
      <c r="J608" s="3" t="s">
        <v>60</v>
      </c>
      <c r="K608" s="2" t="s">
        <v>7628</v>
      </c>
      <c r="L608" s="2" t="s">
        <v>7629</v>
      </c>
      <c r="M608" s="3" t="s">
        <v>944</v>
      </c>
      <c r="O608" s="3" t="s">
        <v>63</v>
      </c>
      <c r="P608" s="3" t="s">
        <v>444</v>
      </c>
      <c r="R608" s="3" t="s">
        <v>65</v>
      </c>
      <c r="S608" s="4">
        <v>7</v>
      </c>
      <c r="T608" s="4">
        <v>7</v>
      </c>
      <c r="U608" s="5" t="s">
        <v>7630</v>
      </c>
      <c r="V608" s="5" t="s">
        <v>7630</v>
      </c>
      <c r="W608" s="5" t="s">
        <v>1603</v>
      </c>
      <c r="X608" s="5" t="s">
        <v>1603</v>
      </c>
      <c r="Y608" s="4">
        <v>27</v>
      </c>
      <c r="Z608" s="4">
        <v>25</v>
      </c>
      <c r="AA608" s="4">
        <v>153</v>
      </c>
      <c r="AB608" s="4">
        <v>1</v>
      </c>
      <c r="AC608" s="4">
        <v>1</v>
      </c>
      <c r="AD608" s="4">
        <v>0</v>
      </c>
      <c r="AE608" s="4">
        <v>4</v>
      </c>
      <c r="AF608" s="4">
        <v>0</v>
      </c>
      <c r="AG608" s="4">
        <v>2</v>
      </c>
      <c r="AH608" s="4">
        <v>0</v>
      </c>
      <c r="AI608" s="4">
        <v>1</v>
      </c>
      <c r="AJ608" s="4">
        <v>0</v>
      </c>
      <c r="AK608" s="4">
        <v>3</v>
      </c>
      <c r="AL608" s="4">
        <v>0</v>
      </c>
      <c r="AM608" s="4">
        <v>0</v>
      </c>
      <c r="AN608" s="4">
        <v>0</v>
      </c>
      <c r="AO608" s="4">
        <v>0</v>
      </c>
      <c r="AP608" s="3" t="s">
        <v>58</v>
      </c>
      <c r="AQ608" s="3" t="s">
        <v>58</v>
      </c>
      <c r="AS608" s="6" t="str">
        <f>HYPERLINK("https://creighton-primo.hosted.exlibrisgroup.com/primo-explore/search?tab=default_tab&amp;search_scope=EVERYTHING&amp;vid=01CRU&amp;lang=en_US&amp;offset=0&amp;query=any,contains,991002011739702656","Catalog Record")</f>
        <v>Catalog Record</v>
      </c>
      <c r="AT608" s="6" t="str">
        <f>HYPERLINK("http://www.worldcat.org/oclc/25602190","WorldCat Record")</f>
        <v>WorldCat Record</v>
      </c>
      <c r="AU608" s="3" t="s">
        <v>7631</v>
      </c>
      <c r="AV608" s="3" t="s">
        <v>7632</v>
      </c>
      <c r="AW608" s="3" t="s">
        <v>7633</v>
      </c>
      <c r="AX608" s="3" t="s">
        <v>7633</v>
      </c>
      <c r="AY608" s="3" t="s">
        <v>7634</v>
      </c>
      <c r="AZ608" s="3" t="s">
        <v>73</v>
      </c>
      <c r="BB608" s="3" t="s">
        <v>7635</v>
      </c>
      <c r="BC608" s="3" t="s">
        <v>7636</v>
      </c>
      <c r="BD608" s="3" t="s">
        <v>7637</v>
      </c>
    </row>
    <row r="609" spans="1:56" ht="31.5" customHeight="1" x14ac:dyDescent="0.25">
      <c r="A609" s="7" t="s">
        <v>58</v>
      </c>
      <c r="B609" s="2" t="s">
        <v>7638</v>
      </c>
      <c r="C609" s="2" t="s">
        <v>7639</v>
      </c>
      <c r="D609" s="2" t="s">
        <v>7640</v>
      </c>
      <c r="F609" s="3" t="s">
        <v>58</v>
      </c>
      <c r="G609" s="3" t="s">
        <v>59</v>
      </c>
      <c r="H609" s="3" t="s">
        <v>58</v>
      </c>
      <c r="I609" s="3" t="s">
        <v>58</v>
      </c>
      <c r="J609" s="3" t="s">
        <v>60</v>
      </c>
      <c r="K609" s="2" t="s">
        <v>7641</v>
      </c>
      <c r="L609" s="2" t="s">
        <v>7642</v>
      </c>
      <c r="M609" s="3" t="s">
        <v>2546</v>
      </c>
      <c r="O609" s="3" t="s">
        <v>63</v>
      </c>
      <c r="P609" s="3" t="s">
        <v>64</v>
      </c>
      <c r="R609" s="3" t="s">
        <v>65</v>
      </c>
      <c r="S609" s="4">
        <v>5</v>
      </c>
      <c r="T609" s="4">
        <v>5</v>
      </c>
      <c r="U609" s="5" t="s">
        <v>7643</v>
      </c>
      <c r="V609" s="5" t="s">
        <v>7643</v>
      </c>
      <c r="W609" s="5" t="s">
        <v>7644</v>
      </c>
      <c r="X609" s="5" t="s">
        <v>7644</v>
      </c>
      <c r="Y609" s="4">
        <v>347</v>
      </c>
      <c r="Z609" s="4">
        <v>287</v>
      </c>
      <c r="AA609" s="4">
        <v>303</v>
      </c>
      <c r="AB609" s="4">
        <v>4</v>
      </c>
      <c r="AC609" s="4">
        <v>4</v>
      </c>
      <c r="AD609" s="4">
        <v>10</v>
      </c>
      <c r="AE609" s="4">
        <v>10</v>
      </c>
      <c r="AF609" s="4">
        <v>3</v>
      </c>
      <c r="AG609" s="4">
        <v>3</v>
      </c>
      <c r="AH609" s="4">
        <v>3</v>
      </c>
      <c r="AI609" s="4">
        <v>3</v>
      </c>
      <c r="AJ609" s="4">
        <v>3</v>
      </c>
      <c r="AK609" s="4">
        <v>3</v>
      </c>
      <c r="AL609" s="4">
        <v>3</v>
      </c>
      <c r="AM609" s="4">
        <v>3</v>
      </c>
      <c r="AN609" s="4">
        <v>0</v>
      </c>
      <c r="AO609" s="4">
        <v>0</v>
      </c>
      <c r="AP609" s="3" t="s">
        <v>58</v>
      </c>
      <c r="AQ609" s="3" t="s">
        <v>58</v>
      </c>
      <c r="AS609" s="6" t="str">
        <f>HYPERLINK("https://creighton-primo.hosted.exlibrisgroup.com/primo-explore/search?tab=default_tab&amp;search_scope=EVERYTHING&amp;vid=01CRU&amp;lang=en_US&amp;offset=0&amp;query=any,contains,991003538079702656","Catalog Record")</f>
        <v>Catalog Record</v>
      </c>
      <c r="AT609" s="6" t="str">
        <f>HYPERLINK("http://www.worldcat.org/oclc/43552399","WorldCat Record")</f>
        <v>WorldCat Record</v>
      </c>
      <c r="AU609" s="3" t="s">
        <v>7645</v>
      </c>
      <c r="AV609" s="3" t="s">
        <v>7646</v>
      </c>
      <c r="AW609" s="3" t="s">
        <v>7647</v>
      </c>
      <c r="AX609" s="3" t="s">
        <v>7647</v>
      </c>
      <c r="AY609" s="3" t="s">
        <v>7648</v>
      </c>
      <c r="AZ609" s="3" t="s">
        <v>73</v>
      </c>
      <c r="BB609" s="3" t="s">
        <v>7649</v>
      </c>
      <c r="BC609" s="3" t="s">
        <v>7650</v>
      </c>
      <c r="BD609" s="3" t="s">
        <v>7651</v>
      </c>
    </row>
    <row r="610" spans="1:56" ht="31.5" customHeight="1" x14ac:dyDescent="0.25">
      <c r="A610" s="7" t="s">
        <v>58</v>
      </c>
      <c r="B610" s="2" t="s">
        <v>7652</v>
      </c>
      <c r="C610" s="2" t="s">
        <v>7653</v>
      </c>
      <c r="D610" s="2" t="s">
        <v>7654</v>
      </c>
      <c r="F610" s="3" t="s">
        <v>58</v>
      </c>
      <c r="G610" s="3" t="s">
        <v>59</v>
      </c>
      <c r="H610" s="3" t="s">
        <v>58</v>
      </c>
      <c r="I610" s="3" t="s">
        <v>58</v>
      </c>
      <c r="J610" s="3" t="s">
        <v>60</v>
      </c>
      <c r="K610" s="2" t="s">
        <v>2102</v>
      </c>
      <c r="L610" s="2" t="s">
        <v>7655</v>
      </c>
      <c r="M610" s="3" t="s">
        <v>1912</v>
      </c>
      <c r="O610" s="3" t="s">
        <v>63</v>
      </c>
      <c r="P610" s="3" t="s">
        <v>114</v>
      </c>
      <c r="R610" s="3" t="s">
        <v>65</v>
      </c>
      <c r="S610" s="4">
        <v>2</v>
      </c>
      <c r="T610" s="4">
        <v>2</v>
      </c>
      <c r="U610" s="5" t="s">
        <v>6966</v>
      </c>
      <c r="V610" s="5" t="s">
        <v>6966</v>
      </c>
      <c r="W610" s="5" t="s">
        <v>7373</v>
      </c>
      <c r="X610" s="5" t="s">
        <v>7373</v>
      </c>
      <c r="Y610" s="4">
        <v>794</v>
      </c>
      <c r="Z610" s="4">
        <v>725</v>
      </c>
      <c r="AA610" s="4">
        <v>749</v>
      </c>
      <c r="AB610" s="4">
        <v>7</v>
      </c>
      <c r="AC610" s="4">
        <v>7</v>
      </c>
      <c r="AD610" s="4">
        <v>24</v>
      </c>
      <c r="AE610" s="4">
        <v>26</v>
      </c>
      <c r="AF610" s="4">
        <v>9</v>
      </c>
      <c r="AG610" s="4">
        <v>10</v>
      </c>
      <c r="AH610" s="4">
        <v>4</v>
      </c>
      <c r="AI610" s="4">
        <v>5</v>
      </c>
      <c r="AJ610" s="4">
        <v>12</v>
      </c>
      <c r="AK610" s="4">
        <v>12</v>
      </c>
      <c r="AL610" s="4">
        <v>5</v>
      </c>
      <c r="AM610" s="4">
        <v>5</v>
      </c>
      <c r="AN610" s="4">
        <v>0</v>
      </c>
      <c r="AO610" s="4">
        <v>0</v>
      </c>
      <c r="AP610" s="3" t="s">
        <v>58</v>
      </c>
      <c r="AQ610" s="3" t="s">
        <v>68</v>
      </c>
      <c r="AR610" s="6" t="str">
        <f>HYPERLINK("http://catalog.hathitrust.org/Record/002209896","HathiTrust Record")</f>
        <v>HathiTrust Record</v>
      </c>
      <c r="AS610" s="6" t="str">
        <f>HYPERLINK("https://creighton-primo.hosted.exlibrisgroup.com/primo-explore/search?tab=default_tab&amp;search_scope=EVERYTHING&amp;vid=01CRU&amp;lang=en_US&amp;offset=0&amp;query=any,contains,991000763069702656","Catalog Record")</f>
        <v>Catalog Record</v>
      </c>
      <c r="AT610" s="6" t="str">
        <f>HYPERLINK("http://www.worldcat.org/oclc/12975146","WorldCat Record")</f>
        <v>WorldCat Record</v>
      </c>
      <c r="AU610" s="3" t="s">
        <v>7656</v>
      </c>
      <c r="AV610" s="3" t="s">
        <v>7657</v>
      </c>
      <c r="AW610" s="3" t="s">
        <v>7658</v>
      </c>
      <c r="AX610" s="3" t="s">
        <v>7658</v>
      </c>
      <c r="AY610" s="3" t="s">
        <v>7659</v>
      </c>
      <c r="AZ610" s="3" t="s">
        <v>73</v>
      </c>
      <c r="BB610" s="3" t="s">
        <v>7660</v>
      </c>
      <c r="BC610" s="3" t="s">
        <v>7661</v>
      </c>
      <c r="BD610" s="3" t="s">
        <v>7662</v>
      </c>
    </row>
    <row r="611" spans="1:56" ht="31.5" customHeight="1" x14ac:dyDescent="0.25">
      <c r="A611" s="7" t="s">
        <v>58</v>
      </c>
      <c r="B611" s="2" t="s">
        <v>7663</v>
      </c>
      <c r="C611" s="2" t="s">
        <v>7664</v>
      </c>
      <c r="D611" s="2" t="s">
        <v>7665</v>
      </c>
      <c r="F611" s="3" t="s">
        <v>58</v>
      </c>
      <c r="G611" s="3" t="s">
        <v>59</v>
      </c>
      <c r="H611" s="3" t="s">
        <v>58</v>
      </c>
      <c r="I611" s="3" t="s">
        <v>58</v>
      </c>
      <c r="J611" s="3" t="s">
        <v>60</v>
      </c>
      <c r="K611" s="2" t="s">
        <v>7666</v>
      </c>
      <c r="L611" s="2" t="s">
        <v>7667</v>
      </c>
      <c r="M611" s="3" t="s">
        <v>128</v>
      </c>
      <c r="O611" s="3" t="s">
        <v>63</v>
      </c>
      <c r="P611" s="3" t="s">
        <v>7668</v>
      </c>
      <c r="Q611" s="2" t="s">
        <v>7669</v>
      </c>
      <c r="R611" s="3" t="s">
        <v>65</v>
      </c>
      <c r="S611" s="4">
        <v>18</v>
      </c>
      <c r="T611" s="4">
        <v>18</v>
      </c>
      <c r="U611" s="5" t="s">
        <v>6041</v>
      </c>
      <c r="V611" s="5" t="s">
        <v>6041</v>
      </c>
      <c r="W611" s="5" t="s">
        <v>4464</v>
      </c>
      <c r="X611" s="5" t="s">
        <v>4464</v>
      </c>
      <c r="Y611" s="4">
        <v>325</v>
      </c>
      <c r="Z611" s="4">
        <v>225</v>
      </c>
      <c r="AA611" s="4">
        <v>770</v>
      </c>
      <c r="AB611" s="4">
        <v>3</v>
      </c>
      <c r="AC611" s="4">
        <v>28</v>
      </c>
      <c r="AD611" s="4">
        <v>13</v>
      </c>
      <c r="AE611" s="4">
        <v>32</v>
      </c>
      <c r="AF611" s="4">
        <v>3</v>
      </c>
      <c r="AG611" s="4">
        <v>7</v>
      </c>
      <c r="AH611" s="4">
        <v>2</v>
      </c>
      <c r="AI611" s="4">
        <v>5</v>
      </c>
      <c r="AJ611" s="4">
        <v>7</v>
      </c>
      <c r="AK611" s="4">
        <v>12</v>
      </c>
      <c r="AL611" s="4">
        <v>2</v>
      </c>
      <c r="AM611" s="4">
        <v>13</v>
      </c>
      <c r="AN611" s="4">
        <v>0</v>
      </c>
      <c r="AO611" s="4">
        <v>0</v>
      </c>
      <c r="AP611" s="3" t="s">
        <v>58</v>
      </c>
      <c r="AQ611" s="3" t="s">
        <v>58</v>
      </c>
      <c r="AS611" s="6" t="str">
        <f>HYPERLINK("https://creighton-primo.hosted.exlibrisgroup.com/primo-explore/search?tab=default_tab&amp;search_scope=EVERYTHING&amp;vid=01CRU&amp;lang=en_US&amp;offset=0&amp;query=any,contains,991002244529702656","Catalog Record")</f>
        <v>Catalog Record</v>
      </c>
      <c r="AT611" s="6" t="str">
        <f>HYPERLINK("http://www.worldcat.org/oclc/28953343","WorldCat Record")</f>
        <v>WorldCat Record</v>
      </c>
      <c r="AU611" s="3" t="s">
        <v>7670</v>
      </c>
      <c r="AV611" s="3" t="s">
        <v>7671</v>
      </c>
      <c r="AW611" s="3" t="s">
        <v>7672</v>
      </c>
      <c r="AX611" s="3" t="s">
        <v>7672</v>
      </c>
      <c r="AY611" s="3" t="s">
        <v>7673</v>
      </c>
      <c r="AZ611" s="3" t="s">
        <v>73</v>
      </c>
      <c r="BC611" s="3" t="s">
        <v>7674</v>
      </c>
      <c r="BD611" s="3" t="s">
        <v>7675</v>
      </c>
    </row>
    <row r="612" spans="1:56" ht="31.5" customHeight="1" x14ac:dyDescent="0.25">
      <c r="A612" s="7" t="s">
        <v>58</v>
      </c>
      <c r="B612" s="2" t="s">
        <v>7676</v>
      </c>
      <c r="C612" s="2" t="s">
        <v>7677</v>
      </c>
      <c r="D612" s="2" t="s">
        <v>7678</v>
      </c>
      <c r="F612" s="3" t="s">
        <v>58</v>
      </c>
      <c r="G612" s="3" t="s">
        <v>59</v>
      </c>
      <c r="H612" s="3" t="s">
        <v>58</v>
      </c>
      <c r="I612" s="3" t="s">
        <v>58</v>
      </c>
      <c r="J612" s="3" t="s">
        <v>60</v>
      </c>
      <c r="K612" s="2" t="s">
        <v>7679</v>
      </c>
      <c r="L612" s="2" t="s">
        <v>7680</v>
      </c>
      <c r="M612" s="3" t="s">
        <v>537</v>
      </c>
      <c r="N612" s="2" t="s">
        <v>501</v>
      </c>
      <c r="O612" s="3" t="s">
        <v>63</v>
      </c>
      <c r="P612" s="3" t="s">
        <v>64</v>
      </c>
      <c r="R612" s="3" t="s">
        <v>65</v>
      </c>
      <c r="S612" s="4">
        <v>13</v>
      </c>
      <c r="T612" s="4">
        <v>13</v>
      </c>
      <c r="U612" s="5" t="s">
        <v>6951</v>
      </c>
      <c r="V612" s="5" t="s">
        <v>6951</v>
      </c>
      <c r="W612" s="5" t="s">
        <v>7681</v>
      </c>
      <c r="X612" s="5" t="s">
        <v>7681</v>
      </c>
      <c r="Y612" s="4">
        <v>1062</v>
      </c>
      <c r="Z612" s="4">
        <v>1006</v>
      </c>
      <c r="AA612" s="4">
        <v>1175</v>
      </c>
      <c r="AB612" s="4">
        <v>7</v>
      </c>
      <c r="AC612" s="4">
        <v>9</v>
      </c>
      <c r="AD612" s="4">
        <v>26</v>
      </c>
      <c r="AE612" s="4">
        <v>30</v>
      </c>
      <c r="AF612" s="4">
        <v>10</v>
      </c>
      <c r="AG612" s="4">
        <v>12</v>
      </c>
      <c r="AH612" s="4">
        <v>4</v>
      </c>
      <c r="AI612" s="4">
        <v>4</v>
      </c>
      <c r="AJ612" s="4">
        <v>11</v>
      </c>
      <c r="AK612" s="4">
        <v>11</v>
      </c>
      <c r="AL612" s="4">
        <v>6</v>
      </c>
      <c r="AM612" s="4">
        <v>8</v>
      </c>
      <c r="AN612" s="4">
        <v>0</v>
      </c>
      <c r="AO612" s="4">
        <v>0</v>
      </c>
      <c r="AP612" s="3" t="s">
        <v>58</v>
      </c>
      <c r="AQ612" s="3" t="s">
        <v>68</v>
      </c>
      <c r="AR612" s="6" t="str">
        <f>HYPERLINK("http://catalog.hathitrust.org/Record/002469361","HathiTrust Record")</f>
        <v>HathiTrust Record</v>
      </c>
      <c r="AS612" s="6" t="str">
        <f>HYPERLINK("https://creighton-primo.hosted.exlibrisgroup.com/primo-explore/search?tab=default_tab&amp;search_scope=EVERYTHING&amp;vid=01CRU&amp;lang=en_US&amp;offset=0&amp;query=any,contains,991001653419702656","Catalog Record")</f>
        <v>Catalog Record</v>
      </c>
      <c r="AT612" s="6" t="str">
        <f>HYPERLINK("http://www.worldcat.org/oclc/21116848","WorldCat Record")</f>
        <v>WorldCat Record</v>
      </c>
      <c r="AU612" s="3" t="s">
        <v>7682</v>
      </c>
      <c r="AV612" s="3" t="s">
        <v>7683</v>
      </c>
      <c r="AW612" s="3" t="s">
        <v>7684</v>
      </c>
      <c r="AX612" s="3" t="s">
        <v>7684</v>
      </c>
      <c r="AY612" s="3" t="s">
        <v>7685</v>
      </c>
      <c r="AZ612" s="3" t="s">
        <v>73</v>
      </c>
      <c r="BB612" s="3" t="s">
        <v>7686</v>
      </c>
      <c r="BC612" s="3" t="s">
        <v>7687</v>
      </c>
      <c r="BD612" s="3" t="s">
        <v>7688</v>
      </c>
    </row>
    <row r="613" spans="1:56" ht="31.5" customHeight="1" x14ac:dyDescent="0.25">
      <c r="A613" s="7" t="s">
        <v>58</v>
      </c>
      <c r="B613" s="2" t="s">
        <v>7689</v>
      </c>
      <c r="C613" s="2" t="s">
        <v>7690</v>
      </c>
      <c r="D613" s="2" t="s">
        <v>7691</v>
      </c>
      <c r="F613" s="3" t="s">
        <v>58</v>
      </c>
      <c r="G613" s="3" t="s">
        <v>59</v>
      </c>
      <c r="H613" s="3" t="s">
        <v>58</v>
      </c>
      <c r="I613" s="3" t="s">
        <v>58</v>
      </c>
      <c r="J613" s="3" t="s">
        <v>60</v>
      </c>
      <c r="K613" s="2" t="s">
        <v>7692</v>
      </c>
      <c r="L613" s="2" t="s">
        <v>7693</v>
      </c>
      <c r="M613" s="3" t="s">
        <v>633</v>
      </c>
      <c r="O613" s="3" t="s">
        <v>63</v>
      </c>
      <c r="P613" s="3" t="s">
        <v>64</v>
      </c>
      <c r="R613" s="3" t="s">
        <v>65</v>
      </c>
      <c r="S613" s="4">
        <v>5</v>
      </c>
      <c r="T613" s="4">
        <v>5</v>
      </c>
      <c r="U613" s="5" t="s">
        <v>1304</v>
      </c>
      <c r="V613" s="5" t="s">
        <v>1304</v>
      </c>
      <c r="W613" s="5" t="s">
        <v>7694</v>
      </c>
      <c r="X613" s="5" t="s">
        <v>7694</v>
      </c>
      <c r="Y613" s="4">
        <v>549</v>
      </c>
      <c r="Z613" s="4">
        <v>510</v>
      </c>
      <c r="AA613" s="4">
        <v>526</v>
      </c>
      <c r="AB613" s="4">
        <v>7</v>
      </c>
      <c r="AC613" s="4">
        <v>7</v>
      </c>
      <c r="AD613" s="4">
        <v>16</v>
      </c>
      <c r="AE613" s="4">
        <v>16</v>
      </c>
      <c r="AF613" s="4">
        <v>4</v>
      </c>
      <c r="AG613" s="4">
        <v>4</v>
      </c>
      <c r="AH613" s="4">
        <v>3</v>
      </c>
      <c r="AI613" s="4">
        <v>3</v>
      </c>
      <c r="AJ613" s="4">
        <v>10</v>
      </c>
      <c r="AK613" s="4">
        <v>10</v>
      </c>
      <c r="AL613" s="4">
        <v>2</v>
      </c>
      <c r="AM613" s="4">
        <v>2</v>
      </c>
      <c r="AN613" s="4">
        <v>0</v>
      </c>
      <c r="AO613" s="4">
        <v>0</v>
      </c>
      <c r="AP613" s="3" t="s">
        <v>58</v>
      </c>
      <c r="AQ613" s="3" t="s">
        <v>58</v>
      </c>
      <c r="AS613" s="6" t="str">
        <f>HYPERLINK("https://creighton-primo.hosted.exlibrisgroup.com/primo-explore/search?tab=default_tab&amp;search_scope=EVERYTHING&amp;vid=01CRU&amp;lang=en_US&amp;offset=0&amp;query=any,contains,991002377549702656","Catalog Record")</f>
        <v>Catalog Record</v>
      </c>
      <c r="AT613" s="6" t="str">
        <f>HYPERLINK("http://www.worldcat.org/oclc/30896289","WorldCat Record")</f>
        <v>WorldCat Record</v>
      </c>
      <c r="AU613" s="3" t="s">
        <v>7695</v>
      </c>
      <c r="AV613" s="3" t="s">
        <v>7696</v>
      </c>
      <c r="AW613" s="3" t="s">
        <v>7697</v>
      </c>
      <c r="AX613" s="3" t="s">
        <v>7697</v>
      </c>
      <c r="AY613" s="3" t="s">
        <v>7698</v>
      </c>
      <c r="AZ613" s="3" t="s">
        <v>73</v>
      </c>
      <c r="BB613" s="3" t="s">
        <v>7699</v>
      </c>
      <c r="BC613" s="3" t="s">
        <v>7700</v>
      </c>
      <c r="BD613" s="3" t="s">
        <v>7701</v>
      </c>
    </row>
    <row r="614" spans="1:56" ht="31.5" customHeight="1" x14ac:dyDescent="0.25">
      <c r="A614" s="7" t="s">
        <v>58</v>
      </c>
      <c r="B614" s="2" t="s">
        <v>7702</v>
      </c>
      <c r="C614" s="2" t="s">
        <v>7703</v>
      </c>
      <c r="D614" s="2" t="s">
        <v>7704</v>
      </c>
      <c r="F614" s="3" t="s">
        <v>58</v>
      </c>
      <c r="G614" s="3" t="s">
        <v>59</v>
      </c>
      <c r="H614" s="3" t="s">
        <v>58</v>
      </c>
      <c r="I614" s="3" t="s">
        <v>58</v>
      </c>
      <c r="J614" s="3" t="s">
        <v>60</v>
      </c>
      <c r="K614" s="2" t="s">
        <v>7705</v>
      </c>
      <c r="L614" s="2" t="s">
        <v>7706</v>
      </c>
      <c r="M614" s="3" t="s">
        <v>1000</v>
      </c>
      <c r="O614" s="3" t="s">
        <v>63</v>
      </c>
      <c r="P614" s="3" t="s">
        <v>64</v>
      </c>
      <c r="R614" s="3" t="s">
        <v>65</v>
      </c>
      <c r="S614" s="4">
        <v>3</v>
      </c>
      <c r="T614" s="4">
        <v>3</v>
      </c>
      <c r="U614" s="5" t="s">
        <v>7707</v>
      </c>
      <c r="V614" s="5" t="s">
        <v>7707</v>
      </c>
      <c r="W614" s="5" t="s">
        <v>7708</v>
      </c>
      <c r="X614" s="5" t="s">
        <v>7708</v>
      </c>
      <c r="Y614" s="4">
        <v>230</v>
      </c>
      <c r="Z614" s="4">
        <v>216</v>
      </c>
      <c r="AA614" s="4">
        <v>1846</v>
      </c>
      <c r="AB614" s="4">
        <v>3</v>
      </c>
      <c r="AC614" s="4">
        <v>16</v>
      </c>
      <c r="AD614" s="4">
        <v>4</v>
      </c>
      <c r="AE614" s="4">
        <v>38</v>
      </c>
      <c r="AF614" s="4">
        <v>2</v>
      </c>
      <c r="AG614" s="4">
        <v>16</v>
      </c>
      <c r="AH614" s="4">
        <v>0</v>
      </c>
      <c r="AI614" s="4">
        <v>7</v>
      </c>
      <c r="AJ614" s="4">
        <v>1</v>
      </c>
      <c r="AK614" s="4">
        <v>13</v>
      </c>
      <c r="AL614" s="4">
        <v>1</v>
      </c>
      <c r="AM614" s="4">
        <v>7</v>
      </c>
      <c r="AN614" s="4">
        <v>0</v>
      </c>
      <c r="AO614" s="4">
        <v>1</v>
      </c>
      <c r="AP614" s="3" t="s">
        <v>58</v>
      </c>
      <c r="AQ614" s="3" t="s">
        <v>58</v>
      </c>
      <c r="AS614" s="6" t="str">
        <f>HYPERLINK("https://creighton-primo.hosted.exlibrisgroup.com/primo-explore/search?tab=default_tab&amp;search_scope=EVERYTHING&amp;vid=01CRU&amp;lang=en_US&amp;offset=0&amp;query=any,contains,991005344379702656","Catalog Record")</f>
        <v>Catalog Record</v>
      </c>
      <c r="AT614" s="6" t="str">
        <f>HYPERLINK("http://www.worldcat.org/oclc/62212282","WorldCat Record")</f>
        <v>WorldCat Record</v>
      </c>
      <c r="AU614" s="3" t="s">
        <v>7709</v>
      </c>
      <c r="AV614" s="3" t="s">
        <v>7710</v>
      </c>
      <c r="AW614" s="3" t="s">
        <v>7711</v>
      </c>
      <c r="AX614" s="3" t="s">
        <v>7711</v>
      </c>
      <c r="AY614" s="3" t="s">
        <v>7712</v>
      </c>
      <c r="AZ614" s="3" t="s">
        <v>73</v>
      </c>
      <c r="BB614" s="3" t="s">
        <v>7713</v>
      </c>
      <c r="BC614" s="3" t="s">
        <v>7714</v>
      </c>
      <c r="BD614" s="3" t="s">
        <v>7715</v>
      </c>
    </row>
    <row r="615" spans="1:56" ht="31.5" customHeight="1" x14ac:dyDescent="0.25">
      <c r="A615" s="7" t="s">
        <v>58</v>
      </c>
      <c r="B615" s="2" t="s">
        <v>7716</v>
      </c>
      <c r="C615" s="2" t="s">
        <v>7717</v>
      </c>
      <c r="D615" s="2" t="s">
        <v>7718</v>
      </c>
      <c r="F615" s="3" t="s">
        <v>58</v>
      </c>
      <c r="G615" s="3" t="s">
        <v>59</v>
      </c>
      <c r="H615" s="3" t="s">
        <v>58</v>
      </c>
      <c r="I615" s="3" t="s">
        <v>58</v>
      </c>
      <c r="J615" s="3" t="s">
        <v>60</v>
      </c>
      <c r="K615" s="2" t="s">
        <v>215</v>
      </c>
      <c r="L615" s="2" t="s">
        <v>7719</v>
      </c>
      <c r="M615" s="3" t="s">
        <v>159</v>
      </c>
      <c r="O615" s="3" t="s">
        <v>63</v>
      </c>
      <c r="P615" s="3" t="s">
        <v>64</v>
      </c>
      <c r="R615" s="3" t="s">
        <v>65</v>
      </c>
      <c r="S615" s="4">
        <v>4</v>
      </c>
      <c r="T615" s="4">
        <v>4</v>
      </c>
      <c r="U615" s="5" t="s">
        <v>7720</v>
      </c>
      <c r="V615" s="5" t="s">
        <v>7720</v>
      </c>
      <c r="W615" s="5" t="s">
        <v>7373</v>
      </c>
      <c r="X615" s="5" t="s">
        <v>7373</v>
      </c>
      <c r="Y615" s="4">
        <v>1186</v>
      </c>
      <c r="Z615" s="4">
        <v>1120</v>
      </c>
      <c r="AA615" s="4">
        <v>1286</v>
      </c>
      <c r="AB615" s="4">
        <v>8</v>
      </c>
      <c r="AC615" s="4">
        <v>10</v>
      </c>
      <c r="AD615" s="4">
        <v>31</v>
      </c>
      <c r="AE615" s="4">
        <v>39</v>
      </c>
      <c r="AF615" s="4">
        <v>14</v>
      </c>
      <c r="AG615" s="4">
        <v>17</v>
      </c>
      <c r="AH615" s="4">
        <v>4</v>
      </c>
      <c r="AI615" s="4">
        <v>8</v>
      </c>
      <c r="AJ615" s="4">
        <v>15</v>
      </c>
      <c r="AK615" s="4">
        <v>18</v>
      </c>
      <c r="AL615" s="4">
        <v>4</v>
      </c>
      <c r="AM615" s="4">
        <v>5</v>
      </c>
      <c r="AN615" s="4">
        <v>0</v>
      </c>
      <c r="AO615" s="4">
        <v>0</v>
      </c>
      <c r="AP615" s="3" t="s">
        <v>58</v>
      </c>
      <c r="AQ615" s="3" t="s">
        <v>68</v>
      </c>
      <c r="AR615" s="6" t="str">
        <f>HYPERLINK("http://catalog.hathitrust.org/Record/000115582","HathiTrust Record")</f>
        <v>HathiTrust Record</v>
      </c>
      <c r="AS615" s="6" t="str">
        <f>HYPERLINK("https://creighton-primo.hosted.exlibrisgroup.com/primo-explore/search?tab=default_tab&amp;search_scope=EVERYTHING&amp;vid=01CRU&amp;lang=en_US&amp;offset=0&amp;query=any,contains,991000219329702656","Catalog Record")</f>
        <v>Catalog Record</v>
      </c>
      <c r="AT615" s="6" t="str">
        <f>HYPERLINK("http://www.worldcat.org/oclc/9575558","WorldCat Record")</f>
        <v>WorldCat Record</v>
      </c>
      <c r="AU615" s="3" t="s">
        <v>7721</v>
      </c>
      <c r="AV615" s="3" t="s">
        <v>7722</v>
      </c>
      <c r="AW615" s="3" t="s">
        <v>7723</v>
      </c>
      <c r="AX615" s="3" t="s">
        <v>7723</v>
      </c>
      <c r="AY615" s="3" t="s">
        <v>7724</v>
      </c>
      <c r="AZ615" s="3" t="s">
        <v>73</v>
      </c>
      <c r="BB615" s="3" t="s">
        <v>7725</v>
      </c>
      <c r="BC615" s="3" t="s">
        <v>7726</v>
      </c>
      <c r="BD615" s="3" t="s">
        <v>7727</v>
      </c>
    </row>
    <row r="616" spans="1:56" ht="31.5" customHeight="1" x14ac:dyDescent="0.25">
      <c r="A616" s="7" t="s">
        <v>58</v>
      </c>
      <c r="B616" s="2" t="s">
        <v>7728</v>
      </c>
      <c r="C616" s="2" t="s">
        <v>7729</v>
      </c>
      <c r="D616" s="2" t="s">
        <v>7730</v>
      </c>
      <c r="F616" s="3" t="s">
        <v>58</v>
      </c>
      <c r="G616" s="3" t="s">
        <v>59</v>
      </c>
      <c r="H616" s="3" t="s">
        <v>58</v>
      </c>
      <c r="I616" s="3" t="s">
        <v>58</v>
      </c>
      <c r="J616" s="3" t="s">
        <v>60</v>
      </c>
      <c r="K616" s="2" t="s">
        <v>7731</v>
      </c>
      <c r="L616" s="2" t="s">
        <v>7732</v>
      </c>
      <c r="M616" s="3" t="s">
        <v>1939</v>
      </c>
      <c r="O616" s="3" t="s">
        <v>63</v>
      </c>
      <c r="P616" s="3" t="s">
        <v>444</v>
      </c>
      <c r="R616" s="3" t="s">
        <v>65</v>
      </c>
      <c r="S616" s="4">
        <v>4</v>
      </c>
      <c r="T616" s="4">
        <v>4</v>
      </c>
      <c r="U616" s="5" t="s">
        <v>7733</v>
      </c>
      <c r="V616" s="5" t="s">
        <v>7733</v>
      </c>
      <c r="W616" s="5" t="s">
        <v>7734</v>
      </c>
      <c r="X616" s="5" t="s">
        <v>7734</v>
      </c>
      <c r="Y616" s="4">
        <v>540</v>
      </c>
      <c r="Z616" s="4">
        <v>479</v>
      </c>
      <c r="AA616" s="4">
        <v>487</v>
      </c>
      <c r="AB616" s="4">
        <v>4</v>
      </c>
      <c r="AC616" s="4">
        <v>4</v>
      </c>
      <c r="AD616" s="4">
        <v>18</v>
      </c>
      <c r="AE616" s="4">
        <v>18</v>
      </c>
      <c r="AF616" s="4">
        <v>3</v>
      </c>
      <c r="AG616" s="4">
        <v>3</v>
      </c>
      <c r="AH616" s="4">
        <v>2</v>
      </c>
      <c r="AI616" s="4">
        <v>2</v>
      </c>
      <c r="AJ616" s="4">
        <v>11</v>
      </c>
      <c r="AK616" s="4">
        <v>11</v>
      </c>
      <c r="AL616" s="4">
        <v>3</v>
      </c>
      <c r="AM616" s="4">
        <v>3</v>
      </c>
      <c r="AN616" s="4">
        <v>0</v>
      </c>
      <c r="AO616" s="4">
        <v>0</v>
      </c>
      <c r="AP616" s="3" t="s">
        <v>58</v>
      </c>
      <c r="AQ616" s="3" t="s">
        <v>58</v>
      </c>
      <c r="AS616" s="6" t="str">
        <f>HYPERLINK("https://creighton-primo.hosted.exlibrisgroup.com/primo-explore/search?tab=default_tab&amp;search_scope=EVERYTHING&amp;vid=01CRU&amp;lang=en_US&amp;offset=0&amp;query=any,contains,991002548409702656","Catalog Record")</f>
        <v>Catalog Record</v>
      </c>
      <c r="AT616" s="6" t="str">
        <f>HYPERLINK("http://www.worldcat.org/oclc/33103490","WorldCat Record")</f>
        <v>WorldCat Record</v>
      </c>
      <c r="AU616" s="3" t="s">
        <v>7735</v>
      </c>
      <c r="AV616" s="3" t="s">
        <v>7736</v>
      </c>
      <c r="AW616" s="3" t="s">
        <v>7737</v>
      </c>
      <c r="AX616" s="3" t="s">
        <v>7737</v>
      </c>
      <c r="AY616" s="3" t="s">
        <v>7738</v>
      </c>
      <c r="AZ616" s="3" t="s">
        <v>73</v>
      </c>
      <c r="BB616" s="3" t="s">
        <v>7739</v>
      </c>
      <c r="BC616" s="3" t="s">
        <v>7740</v>
      </c>
      <c r="BD616" s="3" t="s">
        <v>7741</v>
      </c>
    </row>
    <row r="617" spans="1:56" ht="31.5" customHeight="1" x14ac:dyDescent="0.25">
      <c r="A617" s="7" t="s">
        <v>58</v>
      </c>
      <c r="B617" s="2" t="s">
        <v>7742</v>
      </c>
      <c r="C617" s="2" t="s">
        <v>7743</v>
      </c>
      <c r="D617" s="2" t="s">
        <v>7744</v>
      </c>
      <c r="F617" s="3" t="s">
        <v>58</v>
      </c>
      <c r="G617" s="3" t="s">
        <v>59</v>
      </c>
      <c r="H617" s="3" t="s">
        <v>58</v>
      </c>
      <c r="I617" s="3" t="s">
        <v>58</v>
      </c>
      <c r="J617" s="3" t="s">
        <v>60</v>
      </c>
      <c r="K617" s="2" t="s">
        <v>7745</v>
      </c>
      <c r="L617" s="2" t="s">
        <v>7746</v>
      </c>
      <c r="M617" s="3" t="s">
        <v>62</v>
      </c>
      <c r="O617" s="3" t="s">
        <v>63</v>
      </c>
      <c r="P617" s="3" t="s">
        <v>64</v>
      </c>
      <c r="R617" s="3" t="s">
        <v>65</v>
      </c>
      <c r="S617" s="4">
        <v>4</v>
      </c>
      <c r="T617" s="4">
        <v>4</v>
      </c>
      <c r="U617" s="5" t="s">
        <v>7643</v>
      </c>
      <c r="V617" s="5" t="s">
        <v>7643</v>
      </c>
      <c r="W617" s="5" t="s">
        <v>7747</v>
      </c>
      <c r="X617" s="5" t="s">
        <v>7747</v>
      </c>
      <c r="Y617" s="4">
        <v>273</v>
      </c>
      <c r="Z617" s="4">
        <v>231</v>
      </c>
      <c r="AA617" s="4">
        <v>244</v>
      </c>
      <c r="AB617" s="4">
        <v>2</v>
      </c>
      <c r="AC617" s="4">
        <v>2</v>
      </c>
      <c r="AD617" s="4">
        <v>12</v>
      </c>
      <c r="AE617" s="4">
        <v>13</v>
      </c>
      <c r="AF617" s="4">
        <v>4</v>
      </c>
      <c r="AG617" s="4">
        <v>4</v>
      </c>
      <c r="AH617" s="4">
        <v>3</v>
      </c>
      <c r="AI617" s="4">
        <v>4</v>
      </c>
      <c r="AJ617" s="4">
        <v>6</v>
      </c>
      <c r="AK617" s="4">
        <v>6</v>
      </c>
      <c r="AL617" s="4">
        <v>1</v>
      </c>
      <c r="AM617" s="4">
        <v>1</v>
      </c>
      <c r="AN617" s="4">
        <v>0</v>
      </c>
      <c r="AO617" s="4">
        <v>0</v>
      </c>
      <c r="AP617" s="3" t="s">
        <v>58</v>
      </c>
      <c r="AQ617" s="3" t="s">
        <v>58</v>
      </c>
      <c r="AS617" s="6" t="str">
        <f>HYPERLINK("https://creighton-primo.hosted.exlibrisgroup.com/primo-explore/search?tab=default_tab&amp;search_scope=EVERYTHING&amp;vid=01CRU&amp;lang=en_US&amp;offset=0&amp;query=any,contains,991003214449702656","Catalog Record")</f>
        <v>Catalog Record</v>
      </c>
      <c r="AT617" s="6" t="str">
        <f>HYPERLINK("http://www.worldcat.org/oclc/39633898","WorldCat Record")</f>
        <v>WorldCat Record</v>
      </c>
      <c r="AU617" s="3" t="s">
        <v>7748</v>
      </c>
      <c r="AV617" s="3" t="s">
        <v>7749</v>
      </c>
      <c r="AW617" s="3" t="s">
        <v>7750</v>
      </c>
      <c r="AX617" s="3" t="s">
        <v>7750</v>
      </c>
      <c r="AY617" s="3" t="s">
        <v>7751</v>
      </c>
      <c r="AZ617" s="3" t="s">
        <v>73</v>
      </c>
      <c r="BB617" s="3" t="s">
        <v>7752</v>
      </c>
      <c r="BC617" s="3" t="s">
        <v>7753</v>
      </c>
      <c r="BD617" s="3" t="s">
        <v>7754</v>
      </c>
    </row>
    <row r="618" spans="1:56" ht="31.5" customHeight="1" x14ac:dyDescent="0.25">
      <c r="A618" s="7" t="s">
        <v>58</v>
      </c>
      <c r="B618" s="2" t="s">
        <v>7755</v>
      </c>
      <c r="C618" s="2" t="s">
        <v>7756</v>
      </c>
      <c r="D618" s="2" t="s">
        <v>7757</v>
      </c>
      <c r="F618" s="3" t="s">
        <v>58</v>
      </c>
      <c r="G618" s="3" t="s">
        <v>59</v>
      </c>
      <c r="H618" s="3" t="s">
        <v>58</v>
      </c>
      <c r="I618" s="3" t="s">
        <v>58</v>
      </c>
      <c r="J618" s="3" t="s">
        <v>60</v>
      </c>
      <c r="K618" s="2" t="s">
        <v>7758</v>
      </c>
      <c r="L618" s="2" t="s">
        <v>2803</v>
      </c>
      <c r="M618" s="3" t="s">
        <v>633</v>
      </c>
      <c r="O618" s="3" t="s">
        <v>63</v>
      </c>
      <c r="P618" s="3" t="s">
        <v>186</v>
      </c>
      <c r="Q618" s="2" t="s">
        <v>7759</v>
      </c>
      <c r="R618" s="3" t="s">
        <v>65</v>
      </c>
      <c r="S618" s="4">
        <v>8</v>
      </c>
      <c r="T618" s="4">
        <v>8</v>
      </c>
      <c r="U618" s="5" t="s">
        <v>7643</v>
      </c>
      <c r="V618" s="5" t="s">
        <v>7643</v>
      </c>
      <c r="W618" s="5" t="s">
        <v>7760</v>
      </c>
      <c r="X618" s="5" t="s">
        <v>7760</v>
      </c>
      <c r="Y618" s="4">
        <v>260</v>
      </c>
      <c r="Z618" s="4">
        <v>180</v>
      </c>
      <c r="AA618" s="4">
        <v>201</v>
      </c>
      <c r="AB618" s="4">
        <v>2</v>
      </c>
      <c r="AC618" s="4">
        <v>2</v>
      </c>
      <c r="AD618" s="4">
        <v>7</v>
      </c>
      <c r="AE618" s="4">
        <v>7</v>
      </c>
      <c r="AF618" s="4">
        <v>1</v>
      </c>
      <c r="AG618" s="4">
        <v>1</v>
      </c>
      <c r="AH618" s="4">
        <v>2</v>
      </c>
      <c r="AI618" s="4">
        <v>2</v>
      </c>
      <c r="AJ618" s="4">
        <v>4</v>
      </c>
      <c r="AK618" s="4">
        <v>4</v>
      </c>
      <c r="AL618" s="4">
        <v>1</v>
      </c>
      <c r="AM618" s="4">
        <v>1</v>
      </c>
      <c r="AN618" s="4">
        <v>0</v>
      </c>
      <c r="AO618" s="4">
        <v>0</v>
      </c>
      <c r="AP618" s="3" t="s">
        <v>58</v>
      </c>
      <c r="AQ618" s="3" t="s">
        <v>58</v>
      </c>
      <c r="AS618" s="6" t="str">
        <f>HYPERLINK("https://creighton-primo.hosted.exlibrisgroup.com/primo-explore/search?tab=default_tab&amp;search_scope=EVERYTHING&amp;vid=01CRU&amp;lang=en_US&amp;offset=0&amp;query=any,contains,991002328989702656","Catalog Record")</f>
        <v>Catalog Record</v>
      </c>
      <c r="AT618" s="6" t="str">
        <f>HYPERLINK("http://www.worldcat.org/oclc/30319172","WorldCat Record")</f>
        <v>WorldCat Record</v>
      </c>
      <c r="AU618" s="3" t="s">
        <v>7761</v>
      </c>
      <c r="AV618" s="3" t="s">
        <v>7762</v>
      </c>
      <c r="AW618" s="3" t="s">
        <v>7763</v>
      </c>
      <c r="AX618" s="3" t="s">
        <v>7763</v>
      </c>
      <c r="AY618" s="3" t="s">
        <v>7764</v>
      </c>
      <c r="AZ618" s="3" t="s">
        <v>73</v>
      </c>
      <c r="BB618" s="3" t="s">
        <v>7765</v>
      </c>
      <c r="BC618" s="3" t="s">
        <v>7766</v>
      </c>
      <c r="BD618" s="3" t="s">
        <v>7767</v>
      </c>
    </row>
    <row r="619" spans="1:56" ht="31.5" customHeight="1" x14ac:dyDescent="0.25">
      <c r="A619" s="7" t="s">
        <v>58</v>
      </c>
      <c r="B619" s="2" t="s">
        <v>7768</v>
      </c>
      <c r="C619" s="2" t="s">
        <v>7769</v>
      </c>
      <c r="D619" s="2" t="s">
        <v>7770</v>
      </c>
      <c r="F619" s="3" t="s">
        <v>58</v>
      </c>
      <c r="G619" s="3" t="s">
        <v>59</v>
      </c>
      <c r="H619" s="3" t="s">
        <v>58</v>
      </c>
      <c r="I619" s="3" t="s">
        <v>58</v>
      </c>
      <c r="J619" s="3" t="s">
        <v>60</v>
      </c>
      <c r="K619" s="2" t="s">
        <v>7514</v>
      </c>
      <c r="L619" s="2" t="s">
        <v>7771</v>
      </c>
      <c r="M619" s="3" t="s">
        <v>128</v>
      </c>
      <c r="O619" s="3" t="s">
        <v>63</v>
      </c>
      <c r="P619" s="3" t="s">
        <v>186</v>
      </c>
      <c r="R619" s="3" t="s">
        <v>65</v>
      </c>
      <c r="S619" s="4">
        <v>3</v>
      </c>
      <c r="T619" s="4">
        <v>3</v>
      </c>
      <c r="U619" s="5" t="s">
        <v>7643</v>
      </c>
      <c r="V619" s="5" t="s">
        <v>7643</v>
      </c>
      <c r="W619" s="5" t="s">
        <v>7772</v>
      </c>
      <c r="X619" s="5" t="s">
        <v>7772</v>
      </c>
      <c r="Y619" s="4">
        <v>630</v>
      </c>
      <c r="Z619" s="4">
        <v>514</v>
      </c>
      <c r="AA619" s="4">
        <v>519</v>
      </c>
      <c r="AB619" s="4">
        <v>3</v>
      </c>
      <c r="AC619" s="4">
        <v>3</v>
      </c>
      <c r="AD619" s="4">
        <v>19</v>
      </c>
      <c r="AE619" s="4">
        <v>19</v>
      </c>
      <c r="AF619" s="4">
        <v>6</v>
      </c>
      <c r="AG619" s="4">
        <v>6</v>
      </c>
      <c r="AH619" s="4">
        <v>5</v>
      </c>
      <c r="AI619" s="4">
        <v>5</v>
      </c>
      <c r="AJ619" s="4">
        <v>10</v>
      </c>
      <c r="AK619" s="4">
        <v>10</v>
      </c>
      <c r="AL619" s="4">
        <v>2</v>
      </c>
      <c r="AM619" s="4">
        <v>2</v>
      </c>
      <c r="AN619" s="4">
        <v>0</v>
      </c>
      <c r="AO619" s="4">
        <v>0</v>
      </c>
      <c r="AP619" s="3" t="s">
        <v>58</v>
      </c>
      <c r="AQ619" s="3" t="s">
        <v>58</v>
      </c>
      <c r="AS619" s="6" t="str">
        <f>HYPERLINK("https://creighton-primo.hosted.exlibrisgroup.com/primo-explore/search?tab=default_tab&amp;search_scope=EVERYTHING&amp;vid=01CRU&amp;lang=en_US&amp;offset=0&amp;query=any,contains,991002175469702656","Catalog Record")</f>
        <v>Catalog Record</v>
      </c>
      <c r="AT619" s="6" t="str">
        <f>HYPERLINK("http://www.worldcat.org/oclc/28016060","WorldCat Record")</f>
        <v>WorldCat Record</v>
      </c>
      <c r="AU619" s="3" t="s">
        <v>7773</v>
      </c>
      <c r="AV619" s="3" t="s">
        <v>7774</v>
      </c>
      <c r="AW619" s="3" t="s">
        <v>7775</v>
      </c>
      <c r="AX619" s="3" t="s">
        <v>7775</v>
      </c>
      <c r="AY619" s="3" t="s">
        <v>7776</v>
      </c>
      <c r="AZ619" s="3" t="s">
        <v>73</v>
      </c>
      <c r="BB619" s="3" t="s">
        <v>7777</v>
      </c>
      <c r="BC619" s="3" t="s">
        <v>7778</v>
      </c>
      <c r="BD619" s="3" t="s">
        <v>7779</v>
      </c>
    </row>
    <row r="620" spans="1:56" ht="31.5" customHeight="1" x14ac:dyDescent="0.25">
      <c r="A620" s="7" t="s">
        <v>58</v>
      </c>
      <c r="B620" s="2" t="s">
        <v>7780</v>
      </c>
      <c r="C620" s="2" t="s">
        <v>7781</v>
      </c>
      <c r="D620" s="2" t="s">
        <v>7782</v>
      </c>
      <c r="F620" s="3" t="s">
        <v>58</v>
      </c>
      <c r="G620" s="3" t="s">
        <v>59</v>
      </c>
      <c r="H620" s="3" t="s">
        <v>58</v>
      </c>
      <c r="I620" s="3" t="s">
        <v>58</v>
      </c>
      <c r="J620" s="3" t="s">
        <v>60</v>
      </c>
      <c r="K620" s="2" t="s">
        <v>7783</v>
      </c>
      <c r="L620" s="2" t="s">
        <v>7784</v>
      </c>
      <c r="M620" s="3" t="s">
        <v>344</v>
      </c>
      <c r="N620" s="2" t="s">
        <v>501</v>
      </c>
      <c r="O620" s="3" t="s">
        <v>63</v>
      </c>
      <c r="P620" s="3" t="s">
        <v>64</v>
      </c>
      <c r="R620" s="3" t="s">
        <v>65</v>
      </c>
      <c r="S620" s="4">
        <v>2</v>
      </c>
      <c r="T620" s="4">
        <v>2</v>
      </c>
      <c r="U620" s="5" t="s">
        <v>7785</v>
      </c>
      <c r="V620" s="5" t="s">
        <v>7785</v>
      </c>
      <c r="W620" s="5" t="s">
        <v>7694</v>
      </c>
      <c r="X620" s="5" t="s">
        <v>7694</v>
      </c>
      <c r="Y620" s="4">
        <v>740</v>
      </c>
      <c r="Z620" s="4">
        <v>695</v>
      </c>
      <c r="AA620" s="4">
        <v>756</v>
      </c>
      <c r="AB620" s="4">
        <v>7</v>
      </c>
      <c r="AC620" s="4">
        <v>7</v>
      </c>
      <c r="AD620" s="4">
        <v>23</v>
      </c>
      <c r="AE620" s="4">
        <v>24</v>
      </c>
      <c r="AF620" s="4">
        <v>7</v>
      </c>
      <c r="AG620" s="4">
        <v>7</v>
      </c>
      <c r="AH620" s="4">
        <v>4</v>
      </c>
      <c r="AI620" s="4">
        <v>4</v>
      </c>
      <c r="AJ620" s="4">
        <v>13</v>
      </c>
      <c r="AK620" s="4">
        <v>14</v>
      </c>
      <c r="AL620" s="4">
        <v>5</v>
      </c>
      <c r="AM620" s="4">
        <v>5</v>
      </c>
      <c r="AN620" s="4">
        <v>0</v>
      </c>
      <c r="AO620" s="4">
        <v>0</v>
      </c>
      <c r="AP620" s="3" t="s">
        <v>58</v>
      </c>
      <c r="AQ620" s="3" t="s">
        <v>68</v>
      </c>
      <c r="AR620" s="6" t="str">
        <f>HYPERLINK("http://catalog.hathitrust.org/Record/002901959","HathiTrust Record")</f>
        <v>HathiTrust Record</v>
      </c>
      <c r="AS620" s="6" t="str">
        <f>HYPERLINK("https://creighton-primo.hosted.exlibrisgroup.com/primo-explore/search?tab=default_tab&amp;search_scope=EVERYTHING&amp;vid=01CRU&amp;lang=en_US&amp;offset=0&amp;query=any,contains,991002297729702656","Catalog Record")</f>
        <v>Catalog Record</v>
      </c>
      <c r="AT620" s="6" t="str">
        <f>HYPERLINK("http://www.worldcat.org/oclc/29798847","WorldCat Record")</f>
        <v>WorldCat Record</v>
      </c>
      <c r="AU620" s="3" t="s">
        <v>7786</v>
      </c>
      <c r="AV620" s="3" t="s">
        <v>7787</v>
      </c>
      <c r="AW620" s="3" t="s">
        <v>7788</v>
      </c>
      <c r="AX620" s="3" t="s">
        <v>7788</v>
      </c>
      <c r="AY620" s="3" t="s">
        <v>7789</v>
      </c>
      <c r="AZ620" s="3" t="s">
        <v>73</v>
      </c>
      <c r="BB620" s="3" t="s">
        <v>7790</v>
      </c>
      <c r="BC620" s="3" t="s">
        <v>7791</v>
      </c>
      <c r="BD620" s="3" t="s">
        <v>7792</v>
      </c>
    </row>
    <row r="621" spans="1:56" ht="31.5" customHeight="1" x14ac:dyDescent="0.25">
      <c r="A621" s="7" t="s">
        <v>58</v>
      </c>
      <c r="B621" s="2" t="s">
        <v>7793</v>
      </c>
      <c r="C621" s="2" t="s">
        <v>7794</v>
      </c>
      <c r="D621" s="2" t="s">
        <v>7795</v>
      </c>
      <c r="F621" s="3" t="s">
        <v>58</v>
      </c>
      <c r="G621" s="3" t="s">
        <v>59</v>
      </c>
      <c r="H621" s="3" t="s">
        <v>58</v>
      </c>
      <c r="I621" s="3" t="s">
        <v>58</v>
      </c>
      <c r="J621" s="3" t="s">
        <v>60</v>
      </c>
      <c r="K621" s="2" t="s">
        <v>7796</v>
      </c>
      <c r="L621" s="2" t="s">
        <v>7797</v>
      </c>
      <c r="M621" s="3" t="s">
        <v>257</v>
      </c>
      <c r="O621" s="3" t="s">
        <v>63</v>
      </c>
      <c r="P621" s="3" t="s">
        <v>129</v>
      </c>
      <c r="R621" s="3" t="s">
        <v>65</v>
      </c>
      <c r="S621" s="4">
        <v>2</v>
      </c>
      <c r="T621" s="4">
        <v>2</v>
      </c>
      <c r="U621" s="5" t="s">
        <v>1372</v>
      </c>
      <c r="V621" s="5" t="s">
        <v>1372</v>
      </c>
      <c r="W621" s="5" t="s">
        <v>7798</v>
      </c>
      <c r="X621" s="5" t="s">
        <v>7798</v>
      </c>
      <c r="Y621" s="4">
        <v>891</v>
      </c>
      <c r="Z621" s="4">
        <v>813</v>
      </c>
      <c r="AA621" s="4">
        <v>970</v>
      </c>
      <c r="AB621" s="4">
        <v>5</v>
      </c>
      <c r="AC621" s="4">
        <v>6</v>
      </c>
      <c r="AD621" s="4">
        <v>29</v>
      </c>
      <c r="AE621" s="4">
        <v>33</v>
      </c>
      <c r="AF621" s="4">
        <v>10</v>
      </c>
      <c r="AG621" s="4">
        <v>11</v>
      </c>
      <c r="AH621" s="4">
        <v>6</v>
      </c>
      <c r="AI621" s="4">
        <v>7</v>
      </c>
      <c r="AJ621" s="4">
        <v>16</v>
      </c>
      <c r="AK621" s="4">
        <v>17</v>
      </c>
      <c r="AL621" s="4">
        <v>4</v>
      </c>
      <c r="AM621" s="4">
        <v>5</v>
      </c>
      <c r="AN621" s="4">
        <v>0</v>
      </c>
      <c r="AO621" s="4">
        <v>0</v>
      </c>
      <c r="AP621" s="3" t="s">
        <v>58</v>
      </c>
      <c r="AQ621" s="3" t="s">
        <v>58</v>
      </c>
      <c r="AS621" s="6" t="str">
        <f>HYPERLINK("https://creighton-primo.hosted.exlibrisgroup.com/primo-explore/search?tab=default_tab&amp;search_scope=EVERYTHING&amp;vid=01CRU&amp;lang=en_US&amp;offset=0&amp;query=any,contains,991002722689702656","Catalog Record")</f>
        <v>Catalog Record</v>
      </c>
      <c r="AT621" s="6" t="str">
        <f>HYPERLINK("http://www.worldcat.org/oclc/35701222","WorldCat Record")</f>
        <v>WorldCat Record</v>
      </c>
      <c r="AU621" s="3" t="s">
        <v>7799</v>
      </c>
      <c r="AV621" s="3" t="s">
        <v>7800</v>
      </c>
      <c r="AW621" s="3" t="s">
        <v>7801</v>
      </c>
      <c r="AX621" s="3" t="s">
        <v>7801</v>
      </c>
      <c r="AY621" s="3" t="s">
        <v>7802</v>
      </c>
      <c r="AZ621" s="3" t="s">
        <v>73</v>
      </c>
      <c r="BB621" s="3" t="s">
        <v>7803</v>
      </c>
      <c r="BC621" s="3" t="s">
        <v>7804</v>
      </c>
      <c r="BD621" s="3" t="s">
        <v>7805</v>
      </c>
    </row>
  </sheetData>
  <sheetProtection sheet="1" objects="1" scenarios="1"/>
  <protectedRanges>
    <protectedRange sqref="A2:A621" name="Range1"/>
    <protectedRange sqref="A1" name="Range1_1"/>
  </protectedRanges>
  <dataValidations count="1">
    <dataValidation type="list" allowBlank="1" showInputMessage="1" showErrorMessage="1" sqref="A2:A621" xr:uid="{C4824A9F-9A61-4831-B7F9-282D059B7910}">
      <formula1>"Yes,No"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FBB38ED5D0D274CB2EE2DBFB4DF27AF" ma:contentTypeVersion="16" ma:contentTypeDescription="Create a new document." ma:contentTypeScope="" ma:versionID="343be7708d3bfc8b8cd1354f85bdb4ef">
  <xsd:schema xmlns:xsd="http://www.w3.org/2001/XMLSchema" xmlns:xs="http://www.w3.org/2001/XMLSchema" xmlns:p="http://schemas.microsoft.com/office/2006/metadata/properties" xmlns:ns1="7623ea29-c77c-4024-9954-09e8d33ddb63" xmlns:ns3="a2717908-15ff-42bd-a5fc-d9ac8b8728f4" targetNamespace="http://schemas.microsoft.com/office/2006/metadata/properties" ma:root="true" ma:fieldsID="ba37602cec7d275ad63d8520a3e085f5" ns1:_="" ns3:_="">
    <xsd:import namespace="7623ea29-c77c-4024-9954-09e8d33ddb63"/>
    <xsd:import namespace="a2717908-15ff-42bd-a5fc-d9ac8b8728f4"/>
    <xsd:element name="properties">
      <xsd:complexType>
        <xsd:sequence>
          <xsd:element name="documentManagement">
            <xsd:complexType>
              <xsd:all>
                <xsd:element ref="ns1:Number" minOccurs="0"/>
                <xsd:element ref="ns1:MediaServiceMetadata" minOccurs="0"/>
                <xsd:element ref="ns1:MediaServiceFastMetadata" minOccurs="0"/>
                <xsd:element ref="ns1:MediaServiceDateTaken" minOccurs="0"/>
                <xsd:element ref="ns3:SharedWithUsers" minOccurs="0"/>
                <xsd:element ref="ns3:SharedWithDetails" minOccurs="0"/>
                <xsd:element ref="ns1:MediaServiceAutoKeyPoints" minOccurs="0"/>
                <xsd:element ref="ns1:MediaServiceKeyPoints" minOccurs="0"/>
                <xsd:element ref="ns1:MediaServiceAutoTags" minOccurs="0"/>
                <xsd:element ref="ns1:MediaServiceOCR" minOccurs="0"/>
                <xsd:element ref="ns1:MediaServiceGenerationTime" minOccurs="0"/>
                <xsd:element ref="ns1:MediaServiceEventHashCode" minOccurs="0"/>
                <xsd:element ref="ns1:MediaServiceLocation" minOccurs="0"/>
                <xsd:element ref="ns1:MediaLengthInSeconds" minOccurs="0"/>
                <xsd:element ref="ns1:statuswithucomm" minOccurs="0"/>
                <xsd:element ref="ns1:submittedtoUCO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23ea29-c77c-4024-9954-09e8d33ddb63" elementFormDefault="qualified">
    <xsd:import namespace="http://schemas.microsoft.com/office/2006/documentManagement/types"/>
    <xsd:import namespace="http://schemas.microsoft.com/office/infopath/2007/PartnerControls"/>
    <xsd:element name="Number" ma:index="0" nillable="true" ma:displayName="Number" ma:description="Sort Order" ma:format="Dropdown" ma:internalName="Number" ma:percentage="FALSE">
      <xsd:simpleType>
        <xsd:restriction base="dms:Number"/>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DateTaken" ma:index="8"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statuswithucomm" ma:index="22" nillable="true" ma:displayName="status with ucomm" ma:format="Dropdown" ma:internalName="statuswithucomm">
      <xsd:simpleType>
        <xsd:restriction base="dms:Text">
          <xsd:maxLength value="255"/>
        </xsd:restriction>
      </xsd:simpleType>
    </xsd:element>
    <xsd:element name="submittedtoUCOm" ma:index="23" nillable="true" ma:displayName="submitted to UCOm" ma:default="0" ma:format="Dropdown" ma:internalName="submittedtoUCOm">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2717908-15ff-42bd-a5fc-d9ac8b8728f4"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umber xmlns="7623ea29-c77c-4024-9954-09e8d33ddb63" xsi:nil="true"/>
    <SharedWithUsers xmlns="a2717908-15ff-42bd-a5fc-d9ac8b8728f4">
      <UserInfo>
        <DisplayName/>
        <AccountId xsi:nil="true"/>
        <AccountType/>
      </UserInfo>
    </SharedWithUsers>
    <MediaLengthInSeconds xmlns="7623ea29-c77c-4024-9954-09e8d33ddb63" xsi:nil="true"/>
    <submittedtoUCOm xmlns="7623ea29-c77c-4024-9954-09e8d33ddb63">false</submittedtoUCOm>
    <statuswithucomm xmlns="7623ea29-c77c-4024-9954-09e8d33ddb63" xsi:nil="true"/>
  </documentManagement>
</p:properties>
</file>

<file path=customXml/itemProps1.xml><?xml version="1.0" encoding="utf-8"?>
<ds:datastoreItem xmlns:ds="http://schemas.openxmlformats.org/officeDocument/2006/customXml" ds:itemID="{0B9E5600-E595-46AD-82C1-A1C8CF91B566}"/>
</file>

<file path=customXml/itemProps2.xml><?xml version="1.0" encoding="utf-8"?>
<ds:datastoreItem xmlns:ds="http://schemas.openxmlformats.org/officeDocument/2006/customXml" ds:itemID="{7BF94FFD-3AB8-4D37-ACCC-004C219F5E5B}"/>
</file>

<file path=customXml/itemProps3.xml><?xml version="1.0" encoding="utf-8"?>
<ds:datastoreItem xmlns:ds="http://schemas.openxmlformats.org/officeDocument/2006/customXml" ds:itemID="{AC6E4F3B-BC54-47D6-8E91-75927385945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Elizabeth Kiscaden</dc:creator>
  <cp:lastModifiedBy>Elizabeth Kiscaden</cp:lastModifiedBy>
  <dcterms:created xsi:type="dcterms:W3CDTF">2022-03-04T02:25:31Z</dcterms:created>
  <dcterms:modified xsi:type="dcterms:W3CDTF">2022-03-04T02:26:53Z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0x0101007FBB38ED5D0D274CB2EE2DBFB4DF27AF</vt:lpwstr>
  </property>
  <property fmtid="{D5CDD505-2E9C-101B-9397-08002B2CF9AE}" pid="3" name="Order">
    <vt:r8>287900</vt:r8>
  </property>
  <property fmtid="{D5CDD505-2E9C-101B-9397-08002B2CF9AE}" pid="4" name="_ExtendedDescription">
    <vt:lpwstr/>
  </property>
  <property fmtid="{D5CDD505-2E9C-101B-9397-08002B2CF9AE}" pid="5" name="TriggerFlowInfo">
    <vt:lpwstr/>
  </property>
  <property fmtid="{D5CDD505-2E9C-101B-9397-08002B2CF9AE}" pid="6" name="_SourceUrl">
    <vt:lpwstr/>
  </property>
  <property fmtid="{D5CDD505-2E9C-101B-9397-08002B2CF9AE}" pid="7" name="_SharedFileIndex">
    <vt:lpwstr/>
  </property>
  <property fmtid="{D5CDD505-2E9C-101B-9397-08002B2CF9AE}" pid="8" name="ComplianceAssetId">
    <vt:lpwstr/>
  </property>
</Properties>
</file>