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DA6A5FFE-C263-40D4-BADD-AACBC75B049C}" xr6:coauthVersionLast="47" xr6:coauthVersionMax="47" xr10:uidLastSave="{00000000-0000-0000-0000-000000000000}"/>
  <bookViews>
    <workbookView xWindow="-120" yWindow="-120" windowWidth="29040" windowHeight="15840" xr2:uid="{2F28DEE8-69E3-4ED0-B904-2A38CACBCA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213" i="1" l="1"/>
  <c r="AS213" i="1"/>
  <c r="AR213" i="1"/>
  <c r="AT212" i="1"/>
  <c r="AS212" i="1"/>
  <c r="AT211" i="1"/>
  <c r="AS211" i="1"/>
  <c r="AR211" i="1"/>
  <c r="AT210" i="1"/>
  <c r="AS210" i="1"/>
  <c r="AT209" i="1"/>
  <c r="AS209" i="1"/>
  <c r="AT208" i="1"/>
  <c r="AS208" i="1"/>
  <c r="AR208" i="1"/>
  <c r="AT207" i="1"/>
  <c r="AS207" i="1"/>
  <c r="AR207" i="1"/>
  <c r="AT206" i="1"/>
  <c r="AS206" i="1"/>
  <c r="AT205" i="1"/>
  <c r="AS205" i="1"/>
  <c r="AT204" i="1"/>
  <c r="AS204" i="1"/>
  <c r="AR204" i="1"/>
  <c r="AT203" i="1"/>
  <c r="AS203" i="1"/>
  <c r="AT202" i="1"/>
  <c r="AS202" i="1"/>
  <c r="AT201" i="1"/>
  <c r="AS201" i="1"/>
  <c r="AR201" i="1"/>
  <c r="AT200" i="1"/>
  <c r="AS200" i="1"/>
  <c r="AR200" i="1"/>
  <c r="AT199" i="1"/>
  <c r="AS199" i="1"/>
  <c r="AR199" i="1"/>
  <c r="AT198" i="1"/>
  <c r="AS198" i="1"/>
  <c r="AR198" i="1"/>
  <c r="AT197" i="1"/>
  <c r="AS197" i="1"/>
  <c r="AR197" i="1"/>
  <c r="AT196" i="1"/>
  <c r="AS196" i="1"/>
  <c r="AR196" i="1"/>
  <c r="AT195" i="1"/>
  <c r="AS195" i="1"/>
  <c r="AR195" i="1"/>
  <c r="AT194" i="1"/>
  <c r="AS194" i="1"/>
  <c r="AT193" i="1"/>
  <c r="AS193" i="1"/>
  <c r="AT192" i="1"/>
  <c r="AS192" i="1"/>
  <c r="AR192" i="1"/>
  <c r="AT191" i="1"/>
  <c r="AS191" i="1"/>
  <c r="AR191" i="1"/>
  <c r="AT190" i="1"/>
  <c r="AS190" i="1"/>
  <c r="AT189" i="1"/>
  <c r="AS189" i="1"/>
  <c r="AT188" i="1"/>
  <c r="AS188" i="1"/>
  <c r="AT187" i="1"/>
  <c r="AS187" i="1"/>
  <c r="AR187" i="1"/>
  <c r="AT186" i="1"/>
  <c r="AS186" i="1"/>
  <c r="AT185" i="1"/>
  <c r="AS185" i="1"/>
  <c r="AT184" i="1"/>
  <c r="AS184" i="1"/>
  <c r="AR184" i="1"/>
  <c r="AT183" i="1"/>
  <c r="AS183" i="1"/>
  <c r="AT182" i="1"/>
  <c r="AS182" i="1"/>
  <c r="AR182" i="1"/>
  <c r="AT181" i="1"/>
  <c r="AS181" i="1"/>
  <c r="AR181" i="1"/>
  <c r="AT180" i="1"/>
  <c r="AS180" i="1"/>
  <c r="AR180" i="1"/>
  <c r="AT179" i="1"/>
  <c r="AS179" i="1"/>
  <c r="AR179" i="1"/>
  <c r="AT178" i="1"/>
  <c r="AS178" i="1"/>
  <c r="AR178" i="1"/>
  <c r="AT177" i="1"/>
  <c r="AS177" i="1"/>
  <c r="AT176" i="1"/>
  <c r="AS176" i="1"/>
  <c r="AT175" i="1"/>
  <c r="AS175" i="1"/>
  <c r="AR175" i="1"/>
  <c r="AT174" i="1"/>
  <c r="AS174" i="1"/>
  <c r="AT173" i="1"/>
  <c r="AS173" i="1"/>
  <c r="AR173" i="1"/>
  <c r="AT172" i="1"/>
  <c r="AS172" i="1"/>
  <c r="AT171" i="1"/>
  <c r="AS171" i="1"/>
  <c r="AR171" i="1"/>
  <c r="AT170" i="1"/>
  <c r="AS170" i="1"/>
  <c r="AR170" i="1"/>
  <c r="AT169" i="1"/>
  <c r="AS169" i="1"/>
  <c r="AR169" i="1"/>
  <c r="AT168" i="1"/>
  <c r="AS168" i="1"/>
  <c r="AT167" i="1"/>
  <c r="AS167" i="1"/>
  <c r="AR167" i="1"/>
  <c r="AT166" i="1"/>
  <c r="AS166" i="1"/>
  <c r="AR166" i="1"/>
  <c r="AT165" i="1"/>
  <c r="AS165" i="1"/>
  <c r="AR165" i="1"/>
  <c r="AT164" i="1"/>
  <c r="AS164" i="1"/>
  <c r="AT163" i="1"/>
  <c r="AS163" i="1"/>
  <c r="AR163" i="1"/>
  <c r="AT162" i="1"/>
  <c r="AS162" i="1"/>
  <c r="AT161" i="1"/>
  <c r="AS161" i="1"/>
  <c r="AR161" i="1"/>
  <c r="AT160" i="1"/>
  <c r="AS160" i="1"/>
  <c r="AR160" i="1"/>
  <c r="AT159" i="1"/>
  <c r="AS159" i="1"/>
  <c r="AR159" i="1"/>
  <c r="AT158" i="1"/>
  <c r="AS158" i="1"/>
  <c r="AR158" i="1"/>
  <c r="AT157" i="1"/>
  <c r="AS157" i="1"/>
  <c r="AR157" i="1"/>
  <c r="AT156" i="1"/>
  <c r="AS156" i="1"/>
  <c r="AR156" i="1"/>
  <c r="AT155" i="1"/>
  <c r="AS155" i="1"/>
  <c r="AT154" i="1"/>
  <c r="AS154" i="1"/>
  <c r="AR154" i="1"/>
  <c r="AT153" i="1"/>
  <c r="AS153" i="1"/>
  <c r="AT152" i="1"/>
  <c r="AS152" i="1"/>
  <c r="AR152" i="1"/>
  <c r="AT151" i="1"/>
  <c r="AS151" i="1"/>
  <c r="AR151" i="1"/>
  <c r="AT150" i="1"/>
  <c r="AS150" i="1"/>
  <c r="AR150" i="1"/>
  <c r="AT149" i="1"/>
  <c r="AS149" i="1"/>
  <c r="AT148" i="1"/>
  <c r="AS148" i="1"/>
  <c r="AT147" i="1"/>
  <c r="AS147" i="1"/>
  <c r="AR147" i="1"/>
  <c r="AT146" i="1"/>
  <c r="AS146" i="1"/>
  <c r="AR146" i="1"/>
  <c r="AT145" i="1"/>
  <c r="AS145" i="1"/>
  <c r="AT144" i="1"/>
  <c r="AS144" i="1"/>
  <c r="AR144" i="1"/>
  <c r="AT143" i="1"/>
  <c r="AS143" i="1"/>
  <c r="AR143" i="1"/>
  <c r="AT142" i="1"/>
  <c r="AS142" i="1"/>
  <c r="AR142" i="1"/>
  <c r="AT141" i="1"/>
  <c r="AS141" i="1"/>
  <c r="AR141" i="1"/>
  <c r="AT140" i="1"/>
  <c r="AS140" i="1"/>
  <c r="AR140" i="1"/>
  <c r="AT139" i="1"/>
  <c r="AS139" i="1"/>
  <c r="AR139" i="1"/>
  <c r="AT138" i="1"/>
  <c r="AS138" i="1"/>
  <c r="AR138" i="1"/>
  <c r="AT137" i="1"/>
  <c r="AS137" i="1"/>
  <c r="AR137" i="1"/>
  <c r="AT136" i="1"/>
  <c r="AS136" i="1"/>
  <c r="AR136" i="1"/>
  <c r="AT135" i="1"/>
  <c r="AS135" i="1"/>
  <c r="AR135" i="1"/>
  <c r="AT134" i="1"/>
  <c r="AS134" i="1"/>
  <c r="AT133" i="1"/>
  <c r="AS133" i="1"/>
  <c r="AR133" i="1"/>
  <c r="AT132" i="1"/>
  <c r="AS132" i="1"/>
  <c r="AT131" i="1"/>
  <c r="AS131" i="1"/>
  <c r="AR131" i="1"/>
  <c r="AT130" i="1"/>
  <c r="AS130" i="1"/>
  <c r="AR130" i="1"/>
  <c r="AT129" i="1"/>
  <c r="AS129" i="1"/>
  <c r="AR129" i="1"/>
  <c r="AT128" i="1"/>
  <c r="AS128" i="1"/>
  <c r="AR128" i="1"/>
  <c r="AT127" i="1"/>
  <c r="AS127" i="1"/>
  <c r="AT126" i="1"/>
  <c r="AS126" i="1"/>
  <c r="AR126" i="1"/>
  <c r="AT125" i="1"/>
  <c r="AS125" i="1"/>
  <c r="AR125" i="1"/>
  <c r="AT124" i="1"/>
  <c r="AS124" i="1"/>
  <c r="AR124" i="1"/>
  <c r="AT123" i="1"/>
  <c r="AS123" i="1"/>
  <c r="AR123" i="1"/>
  <c r="AT122" i="1"/>
  <c r="AS122" i="1"/>
  <c r="AR122" i="1"/>
  <c r="AT121" i="1"/>
  <c r="AS121" i="1"/>
  <c r="AR121" i="1"/>
  <c r="AT120" i="1"/>
  <c r="AS120" i="1"/>
  <c r="AR120" i="1"/>
  <c r="AT119" i="1"/>
  <c r="AS119" i="1"/>
  <c r="AR119" i="1"/>
  <c r="AT118" i="1"/>
  <c r="AS118" i="1"/>
  <c r="AR118" i="1"/>
  <c r="AT117" i="1"/>
  <c r="AS117" i="1"/>
  <c r="AR117" i="1"/>
  <c r="AT116" i="1"/>
  <c r="AS116" i="1"/>
  <c r="AR116" i="1"/>
  <c r="AT115" i="1"/>
  <c r="AS115" i="1"/>
  <c r="AT114" i="1"/>
  <c r="AS114" i="1"/>
  <c r="AT113" i="1"/>
  <c r="AS113" i="1"/>
  <c r="AR113" i="1"/>
  <c r="AT112" i="1"/>
  <c r="AS112" i="1"/>
  <c r="AR112" i="1"/>
  <c r="AT111" i="1"/>
  <c r="AS111" i="1"/>
  <c r="AR111" i="1"/>
  <c r="AT110" i="1"/>
  <c r="AS110" i="1"/>
  <c r="AT109" i="1"/>
  <c r="AS109" i="1"/>
  <c r="AR109" i="1"/>
  <c r="AT108" i="1"/>
  <c r="AS108" i="1"/>
  <c r="AT107" i="1"/>
  <c r="AS107" i="1"/>
  <c r="AR107" i="1"/>
  <c r="AT106" i="1"/>
  <c r="AS106" i="1"/>
  <c r="AT105" i="1"/>
  <c r="AS105" i="1"/>
  <c r="AR105" i="1"/>
  <c r="AT104" i="1"/>
  <c r="AS104" i="1"/>
  <c r="AR104" i="1"/>
  <c r="AT103" i="1"/>
  <c r="AS103" i="1"/>
  <c r="AR103" i="1"/>
  <c r="AT102" i="1"/>
  <c r="AS102" i="1"/>
  <c r="AR102" i="1"/>
  <c r="AT101" i="1"/>
  <c r="AS101" i="1"/>
  <c r="AR101" i="1"/>
  <c r="AT100" i="1"/>
  <c r="AS100" i="1"/>
  <c r="AR100" i="1"/>
  <c r="AT99" i="1"/>
  <c r="AS99" i="1"/>
  <c r="AT98" i="1"/>
  <c r="AS98" i="1"/>
  <c r="AR98" i="1"/>
  <c r="AT97" i="1"/>
  <c r="AS97" i="1"/>
  <c r="AT96" i="1"/>
  <c r="AS96" i="1"/>
  <c r="AT95" i="1"/>
  <c r="AS95" i="1"/>
  <c r="AR95" i="1"/>
  <c r="AT94" i="1"/>
  <c r="AS94" i="1"/>
  <c r="AR94" i="1"/>
  <c r="AT93" i="1"/>
  <c r="AS93" i="1"/>
  <c r="AT92" i="1"/>
  <c r="AS92" i="1"/>
  <c r="AT91" i="1"/>
  <c r="AS91" i="1"/>
  <c r="AT90" i="1"/>
  <c r="AS90" i="1"/>
  <c r="AR90" i="1"/>
  <c r="AT89" i="1"/>
  <c r="AS89" i="1"/>
  <c r="AR89" i="1"/>
  <c r="AT88" i="1"/>
  <c r="AS88" i="1"/>
  <c r="AT87" i="1"/>
  <c r="AS87" i="1"/>
  <c r="AR87" i="1"/>
  <c r="AT86" i="1"/>
  <c r="AS86" i="1"/>
  <c r="AR86" i="1"/>
  <c r="AT85" i="1"/>
  <c r="AS85" i="1"/>
  <c r="AR85" i="1"/>
  <c r="AT84" i="1"/>
  <c r="AS84" i="1"/>
  <c r="AR84" i="1"/>
  <c r="AT83" i="1"/>
  <c r="AS83" i="1"/>
  <c r="AR83" i="1"/>
  <c r="AT82" i="1"/>
  <c r="AS82" i="1"/>
  <c r="AR82" i="1"/>
  <c r="AT81" i="1"/>
  <c r="AS81" i="1"/>
  <c r="AR81" i="1"/>
  <c r="AT80" i="1"/>
  <c r="AS80" i="1"/>
  <c r="AT79" i="1"/>
  <c r="AS79" i="1"/>
  <c r="AT78" i="1"/>
  <c r="AS78" i="1"/>
  <c r="AT77" i="1"/>
  <c r="AS77" i="1"/>
  <c r="AT76" i="1"/>
  <c r="AS76" i="1"/>
  <c r="AT75" i="1"/>
  <c r="AS75" i="1"/>
  <c r="AR75" i="1"/>
  <c r="AT74" i="1"/>
  <c r="AS74" i="1"/>
  <c r="AT73" i="1"/>
  <c r="AS73" i="1"/>
  <c r="AT72" i="1"/>
  <c r="AS72" i="1"/>
  <c r="AR72" i="1"/>
  <c r="AT71" i="1"/>
  <c r="AS71" i="1"/>
  <c r="AR71" i="1"/>
  <c r="AT70" i="1"/>
  <c r="AS70" i="1"/>
  <c r="AT69" i="1"/>
  <c r="AS69" i="1"/>
  <c r="AR69" i="1"/>
  <c r="AT68" i="1"/>
  <c r="AS68" i="1"/>
  <c r="AR68" i="1"/>
  <c r="AT67" i="1"/>
  <c r="AS67" i="1"/>
  <c r="AT66" i="1"/>
  <c r="AS66" i="1"/>
  <c r="AR66" i="1"/>
  <c r="AT65" i="1"/>
  <c r="AS65" i="1"/>
  <c r="AR65" i="1"/>
  <c r="AT64" i="1"/>
  <c r="AS64" i="1"/>
  <c r="AR64" i="1"/>
  <c r="AT63" i="1"/>
  <c r="AS63" i="1"/>
  <c r="AT62" i="1"/>
  <c r="AS62" i="1"/>
  <c r="AT61" i="1"/>
  <c r="AS61" i="1"/>
  <c r="AR61" i="1"/>
  <c r="AT60" i="1"/>
  <c r="AS60" i="1"/>
  <c r="AR60" i="1"/>
  <c r="AT59" i="1"/>
  <c r="AS59" i="1"/>
  <c r="AT58" i="1"/>
  <c r="AS58" i="1"/>
  <c r="AT57" i="1"/>
  <c r="AS57" i="1"/>
  <c r="AT56" i="1"/>
  <c r="AS56" i="1"/>
  <c r="AR56" i="1"/>
  <c r="AT55" i="1"/>
  <c r="AS55" i="1"/>
  <c r="AR55" i="1"/>
  <c r="AT54" i="1"/>
  <c r="AS54" i="1"/>
  <c r="AR54" i="1"/>
  <c r="AT53" i="1"/>
  <c r="AS53" i="1"/>
  <c r="AR53" i="1"/>
  <c r="AT52" i="1"/>
  <c r="AS52" i="1"/>
  <c r="AR52" i="1"/>
  <c r="AT51" i="1"/>
  <c r="AS51" i="1"/>
  <c r="AR51" i="1"/>
  <c r="AT50" i="1"/>
  <c r="AS50" i="1"/>
  <c r="AT49" i="1"/>
  <c r="AS49" i="1"/>
  <c r="AT48" i="1"/>
  <c r="AS48" i="1"/>
  <c r="AT47" i="1"/>
  <c r="AS47" i="1"/>
  <c r="AR47" i="1"/>
  <c r="AT46" i="1"/>
  <c r="AS46" i="1"/>
  <c r="AT45" i="1"/>
  <c r="AS45" i="1"/>
  <c r="AR45" i="1"/>
  <c r="AT44" i="1"/>
  <c r="AS44" i="1"/>
  <c r="AR44" i="1"/>
  <c r="AT43" i="1"/>
  <c r="AS43" i="1"/>
  <c r="AT42" i="1"/>
  <c r="AS42" i="1"/>
  <c r="AT41" i="1"/>
  <c r="AS41" i="1"/>
  <c r="AR41" i="1"/>
  <c r="AT40" i="1"/>
  <c r="AS40" i="1"/>
  <c r="AR40" i="1"/>
  <c r="AT39" i="1"/>
  <c r="AS39" i="1"/>
  <c r="AT38" i="1"/>
  <c r="AS38" i="1"/>
  <c r="AT37" i="1"/>
  <c r="AS37" i="1"/>
  <c r="AR37" i="1"/>
  <c r="AT36" i="1"/>
  <c r="AS36" i="1"/>
  <c r="AT35" i="1"/>
  <c r="AS35" i="1"/>
  <c r="AT34" i="1"/>
  <c r="AS34" i="1"/>
  <c r="AT33" i="1"/>
  <c r="AS33" i="1"/>
  <c r="AT32" i="1"/>
  <c r="AS32" i="1"/>
  <c r="AT31" i="1"/>
  <c r="AS31" i="1"/>
  <c r="AR31" i="1"/>
  <c r="AT30" i="1"/>
  <c r="AS30" i="1"/>
  <c r="AR30" i="1"/>
  <c r="AT29" i="1"/>
  <c r="AS29" i="1"/>
  <c r="AT28" i="1"/>
  <c r="AS28" i="1"/>
  <c r="AR28" i="1"/>
  <c r="AT27" i="1"/>
  <c r="AS27" i="1"/>
  <c r="AR27" i="1"/>
  <c r="AT26" i="1"/>
  <c r="AS26" i="1"/>
  <c r="AR26" i="1"/>
  <c r="AT25" i="1"/>
  <c r="AS25" i="1"/>
  <c r="AR25" i="1"/>
  <c r="AT24" i="1"/>
  <c r="AS24" i="1"/>
  <c r="AT23" i="1"/>
  <c r="AS23" i="1"/>
  <c r="AR23" i="1"/>
  <c r="AT22" i="1"/>
  <c r="AS22" i="1"/>
  <c r="AR22" i="1"/>
  <c r="AT21" i="1"/>
  <c r="AS21" i="1"/>
  <c r="AR21" i="1"/>
  <c r="AT20" i="1"/>
  <c r="AS20" i="1"/>
  <c r="AR20" i="1"/>
  <c r="AT19" i="1"/>
  <c r="AS19" i="1"/>
  <c r="AR19" i="1"/>
  <c r="AT18" i="1"/>
  <c r="AS18" i="1"/>
  <c r="AR18" i="1"/>
  <c r="AT17" i="1"/>
  <c r="AS17" i="1"/>
  <c r="AR17" i="1"/>
  <c r="AT16" i="1"/>
  <c r="AS16" i="1"/>
  <c r="AR16" i="1"/>
  <c r="AT15" i="1"/>
  <c r="AS15" i="1"/>
  <c r="AR15" i="1"/>
  <c r="AT14" i="1"/>
  <c r="AS14" i="1"/>
  <c r="AR14" i="1"/>
  <c r="AT13" i="1"/>
  <c r="AS13" i="1"/>
  <c r="AR13" i="1"/>
  <c r="AT12" i="1"/>
  <c r="AS12" i="1"/>
  <c r="AR12" i="1"/>
  <c r="AT11" i="1"/>
  <c r="AS11" i="1"/>
  <c r="AR11" i="1"/>
  <c r="AT10" i="1"/>
  <c r="AS10" i="1"/>
  <c r="AR10" i="1"/>
  <c r="AT9" i="1"/>
  <c r="AS9" i="1"/>
  <c r="AR9" i="1"/>
  <c r="AT8" i="1"/>
  <c r="AS8" i="1"/>
  <c r="AR8" i="1"/>
  <c r="AT7" i="1"/>
  <c r="AS7" i="1"/>
  <c r="AR7" i="1"/>
  <c r="AT6" i="1"/>
  <c r="AS6" i="1"/>
  <c r="AT5" i="1"/>
  <c r="AS5" i="1"/>
  <c r="AR5" i="1"/>
  <c r="AT4" i="1"/>
  <c r="AS4" i="1"/>
  <c r="AR4" i="1"/>
  <c r="AT3" i="1"/>
  <c r="AS3" i="1"/>
  <c r="AR3" i="1"/>
  <c r="AT2" i="1"/>
  <c r="AS2" i="1"/>
  <c r="AR2" i="1"/>
</calcChain>
</file>

<file path=xl/sharedStrings.xml><?xml version="1.0" encoding="utf-8"?>
<sst xmlns="http://schemas.openxmlformats.org/spreadsheetml/2006/main" count="6406" uniqueCount="2586">
  <si>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</si>
  <si>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</si>
  <si>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</si>
  <si>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</si>
  <si>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</si>
  <si>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</si>
  <si>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</si>
  <si>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</si>
  <si>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</si>
  <si>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</si>
  <si>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</si>
  <si>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</si>
  <si>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</si>
  <si>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</si>
  <si>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</si>
  <si>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</si>
  <si>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</si>
  <si>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</si>
  <si>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</si>
  <si>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</si>
  <si>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</si>
  <si>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</si>
  <si>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</si>
  <si>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</si>
  <si>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</si>
  <si>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</si>
  <si>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</si>
  <si>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</si>
  <si>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</si>
  <si>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 xml:space="preserve">All Comparator Library Holdings </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</si>
  <si>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</si>
  <si>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</si>
  <si>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</si>
  <si>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</si>
  <si>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</si>
  <si>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</si>
  <si>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</si>
  <si>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</si>
  <si>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</si>
  <si>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</si>
  <si>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</si>
  <si>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</si>
  <si>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</si>
  <si>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</si>
  <si>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</si>
  <si>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</si>
  <si>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</si>
  <si>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</si>
  <si>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</si>
  <si>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</si>
  <si>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</si>
  <si>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</si>
  <si>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</si>
  <si>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</si>
  <si>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</si>
  <si>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QK10 .S7 1995</t>
  </si>
  <si>
    <t>0                      QK 0010000S  7           1995</t>
  </si>
  <si>
    <t>Botanical Latin : history, grammar, syntax, terminology, and vocabulary / William T. Stearn.</t>
  </si>
  <si>
    <t>No</t>
  </si>
  <si>
    <t>1</t>
  </si>
  <si>
    <t>0</t>
  </si>
  <si>
    <t>Stearn, William T. (William Thomas), 1911-2001.</t>
  </si>
  <si>
    <t>Portland, Or. : Timber Press, 1995, c1992.</t>
  </si>
  <si>
    <t>1995</t>
  </si>
  <si>
    <t>4th ed.</t>
  </si>
  <si>
    <t>eng</t>
  </si>
  <si>
    <t>oru</t>
  </si>
  <si>
    <t xml:space="preserve">QK </t>
  </si>
  <si>
    <t>2000-09-19</t>
  </si>
  <si>
    <t>Yes</t>
  </si>
  <si>
    <t>501301253:eng</t>
  </si>
  <si>
    <t>33216151</t>
  </si>
  <si>
    <t>991003258369702656</t>
  </si>
  <si>
    <t>2269388950002656</t>
  </si>
  <si>
    <t>BOOK</t>
  </si>
  <si>
    <t>9780881923216</t>
  </si>
  <si>
    <t>32285003763033</t>
  </si>
  <si>
    <t>893352751</t>
  </si>
  <si>
    <t>QK101 .E87 1968b</t>
  </si>
  <si>
    <t>0                      QK 0101000E  87          1968b</t>
  </si>
  <si>
    <t>Vegetation and soils; a world picture, by S. R. Eyre.</t>
  </si>
  <si>
    <t>Eyre, S. R.</t>
  </si>
  <si>
    <t>Chicago, Aldine Pub. Co. [1968]</t>
  </si>
  <si>
    <t>1968</t>
  </si>
  <si>
    <t>2d ed.</t>
  </si>
  <si>
    <t>ilu</t>
  </si>
  <si>
    <t>2000-02-10</t>
  </si>
  <si>
    <t>1997-07-15</t>
  </si>
  <si>
    <t>285863:eng</t>
  </si>
  <si>
    <t>441202</t>
  </si>
  <si>
    <t>991002784649702656</t>
  </si>
  <si>
    <t>2257208350002656</t>
  </si>
  <si>
    <t>32285002936879</t>
  </si>
  <si>
    <t>893335708</t>
  </si>
  <si>
    <t>QK101 .P6</t>
  </si>
  <si>
    <t>0                      QK 0101000P  6</t>
  </si>
  <si>
    <t>Introduction to plant geography and some related sciences.</t>
  </si>
  <si>
    <t>Polunin, Nicholas.</t>
  </si>
  <si>
    <t>New York, McGraw-Hill, 1960.</t>
  </si>
  <si>
    <t>1960</t>
  </si>
  <si>
    <t>nyu</t>
  </si>
  <si>
    <t>2002-11-16</t>
  </si>
  <si>
    <t>1599903:eng</t>
  </si>
  <si>
    <t>1492206</t>
  </si>
  <si>
    <t>991003779949702656</t>
  </si>
  <si>
    <t>2269876340002656</t>
  </si>
  <si>
    <t>32285002936895</t>
  </si>
  <si>
    <t>893228467</t>
  </si>
  <si>
    <t>QK105 .M8</t>
  </si>
  <si>
    <t>0                      QK 0105000M  8</t>
  </si>
  <si>
    <t>Aquatic plants of the United States, by Walter Conrad Muenscher ...</t>
  </si>
  <si>
    <t>Muenscher, Walter Conrad Leopold, 1891-1963.</t>
  </si>
  <si>
    <t>Ithaca, N.Y., Comstock Publishing Company, inc., 1944.</t>
  </si>
  <si>
    <t>1944</t>
  </si>
  <si>
    <t>Handbooks of American natural history. Vol. IV</t>
  </si>
  <si>
    <t>2000-05-22</t>
  </si>
  <si>
    <t>450006:eng</t>
  </si>
  <si>
    <t>876779</t>
  </si>
  <si>
    <t>991003345039702656</t>
  </si>
  <si>
    <t>2263880130002656</t>
  </si>
  <si>
    <t>32285002936911</t>
  </si>
  <si>
    <t>893787247</t>
  </si>
  <si>
    <t>QK110 .N854 1988</t>
  </si>
  <si>
    <t>0                      QK 0110000N  854         1988</t>
  </si>
  <si>
    <t>North American terrestrial vegetation / edited by Michael G. Barbour, William Dwight Billings.</t>
  </si>
  <si>
    <t>Cambridge [Cambridgeshire] ; New York : Cambridge University Press, 1988.</t>
  </si>
  <si>
    <t>1988</t>
  </si>
  <si>
    <t>enk</t>
  </si>
  <si>
    <t>2001-02-21</t>
  </si>
  <si>
    <t>1993-05-13</t>
  </si>
  <si>
    <t>349975967:eng</t>
  </si>
  <si>
    <t>15018949</t>
  </si>
  <si>
    <t>991000980379702656</t>
  </si>
  <si>
    <t>2262909280002656</t>
  </si>
  <si>
    <t>9780521261982</t>
  </si>
  <si>
    <t>32285001643989</t>
  </si>
  <si>
    <t>893340059</t>
  </si>
  <si>
    <t>QK110 .S65 1977</t>
  </si>
  <si>
    <t>0                      QK 0110000S  65          1977</t>
  </si>
  <si>
    <t>Vascular plant families : an introduction to the families of vascular plants native to North America and selected families of ornamental or economic importance / by James Payne Smith, Jr. ; illustrations by Kathryn E. Simpson.</t>
  </si>
  <si>
    <t>Smith, James P., Jr. (James Payne), 1941-</t>
  </si>
  <si>
    <t>Eureka, Calif. : Mad River Press, c1977.</t>
  </si>
  <si>
    <t>1977</t>
  </si>
  <si>
    <t>cau</t>
  </si>
  <si>
    <t>894395925:eng</t>
  </si>
  <si>
    <t>3259093</t>
  </si>
  <si>
    <t>991004390099702656</t>
  </si>
  <si>
    <t>2268928920002656</t>
  </si>
  <si>
    <t>9780916422073</t>
  </si>
  <si>
    <t>32285001644003</t>
  </si>
  <si>
    <t>893605970</t>
  </si>
  <si>
    <t>QK110 .V36 1979</t>
  </si>
  <si>
    <t>0                      QK 0110000V  36          1979</t>
  </si>
  <si>
    <t>The natural vegetation of North America : an introduction / John L. Vankat.</t>
  </si>
  <si>
    <t>Vankat, John L., 1943-</t>
  </si>
  <si>
    <t>New York : Wiley, c1979.</t>
  </si>
  <si>
    <t>1979</t>
  </si>
  <si>
    <t>2001-02-20</t>
  </si>
  <si>
    <t>1992-04-14</t>
  </si>
  <si>
    <t>14925219:eng</t>
  </si>
  <si>
    <t>4592995</t>
  </si>
  <si>
    <t>991004686049702656</t>
  </si>
  <si>
    <t>2272796080002656</t>
  </si>
  <si>
    <t>9780471017707</t>
  </si>
  <si>
    <t>32285001035384</t>
  </si>
  <si>
    <t>893712907</t>
  </si>
  <si>
    <t>QK115 .L43 1998</t>
  </si>
  <si>
    <t>0                      QK 0115000L  43          1998</t>
  </si>
  <si>
    <t>Trees of the central hardwood forests of North America : an identification and cultivation guide / Donald J. Leopold, William C. McComb, Robert N. Muller.</t>
  </si>
  <si>
    <t>Leopold, Donald Joseph, 1956-</t>
  </si>
  <si>
    <t>Portland, Or. : Timber Press, c1998.</t>
  </si>
  <si>
    <t>1998</t>
  </si>
  <si>
    <t>1998-12-10</t>
  </si>
  <si>
    <t>889951760:eng</t>
  </si>
  <si>
    <t>36379783</t>
  </si>
  <si>
    <t>991002771009702656</t>
  </si>
  <si>
    <t>2271910230002656</t>
  </si>
  <si>
    <t>9780881924060</t>
  </si>
  <si>
    <t>32285003505533</t>
  </si>
  <si>
    <t>893233397</t>
  </si>
  <si>
    <t>QK115 .R5</t>
  </si>
  <si>
    <t>0                      QK 0115000R  5</t>
  </si>
  <si>
    <t>Wild flowers of the United States / General editor, William C. Steere. Collaborators: Rogers McVaugh [and others.</t>
  </si>
  <si>
    <t>Rickett, Harold William, 1896-1989.</t>
  </si>
  <si>
    <t>New York : McGraw-Hill, [1966-73]</t>
  </si>
  <si>
    <t>1966</t>
  </si>
  <si>
    <t>1st ed.]</t>
  </si>
  <si>
    <t>1996-07-29</t>
  </si>
  <si>
    <t>1992-12-18</t>
  </si>
  <si>
    <t>4915167227:eng</t>
  </si>
  <si>
    <t>169439</t>
  </si>
  <si>
    <t>991000961419702656</t>
  </si>
  <si>
    <t>2263984000002656</t>
  </si>
  <si>
    <t>32285001470011</t>
  </si>
  <si>
    <t>893249849</t>
  </si>
  <si>
    <t>QK115 .R5 V.1 PT.2</t>
  </si>
  <si>
    <t>0                      QK 0115000R  5                                                       V.1 PT.2</t>
  </si>
  <si>
    <t>V.1 PT.2*</t>
  </si>
  <si>
    <t>32285001444909</t>
  </si>
  <si>
    <t>893249848</t>
  </si>
  <si>
    <t>QK115 .R5 V.2 PT.1</t>
  </si>
  <si>
    <t>0                      QK 0115000R  5                                                       V.2 PT.1</t>
  </si>
  <si>
    <t>V.2 PT.1*</t>
  </si>
  <si>
    <t>32285001444917</t>
  </si>
  <si>
    <t>893225489</t>
  </si>
  <si>
    <t>QK115 .R5 V.2 PT.2</t>
  </si>
  <si>
    <t>0                      QK 0115000R  5                                                       V.2 PT.2</t>
  </si>
  <si>
    <t>V.2 PT.2*</t>
  </si>
  <si>
    <t>32285001444925</t>
  </si>
  <si>
    <t>893225488</t>
  </si>
  <si>
    <t>QK115 .R5 V.3 PT.1</t>
  </si>
  <si>
    <t>0                      QK 0115000R  5                                                       V.3 PT.1</t>
  </si>
  <si>
    <t>V.3 PT.1*</t>
  </si>
  <si>
    <t>32285001470029</t>
  </si>
  <si>
    <t>893237766</t>
  </si>
  <si>
    <t>QK115 .R5 V.3 PT.2</t>
  </si>
  <si>
    <t>0                      QK 0115000R  5                                                       V.3 PT.2</t>
  </si>
  <si>
    <t>V.3 PT.2*</t>
  </si>
  <si>
    <t>32285001444933</t>
  </si>
  <si>
    <t>893249847</t>
  </si>
  <si>
    <t>QK115 .R5 V.4 PT.1</t>
  </si>
  <si>
    <t>0                      QK 0115000R  5                                                       V.4 PT.1</t>
  </si>
  <si>
    <t>V.4 PT.1*</t>
  </si>
  <si>
    <t>32285001444941</t>
  </si>
  <si>
    <t>893237765</t>
  </si>
  <si>
    <t>QK115 .R5 V.4 PT.2</t>
  </si>
  <si>
    <t>0                      QK 0115000R  5                                                       V.4 PT.2</t>
  </si>
  <si>
    <t>V.4 PT.2*</t>
  </si>
  <si>
    <t>32285001444958</t>
  </si>
  <si>
    <t>893225487</t>
  </si>
  <si>
    <t>QK115 .R5 V.4 PT.3</t>
  </si>
  <si>
    <t>0                      QK 0115000R  5                                                       V.4 PT.3</t>
  </si>
  <si>
    <t>V.4 PT.3*</t>
  </si>
  <si>
    <t>32285001444966</t>
  </si>
  <si>
    <t>893249846</t>
  </si>
  <si>
    <t>QK115 .R5 V.5 PT.1</t>
  </si>
  <si>
    <t>0                      QK 0115000R  5                                                       V.5 PT.1</t>
  </si>
  <si>
    <t>V.5 PT.1*</t>
  </si>
  <si>
    <t>32285001470037</t>
  </si>
  <si>
    <t>893237764</t>
  </si>
  <si>
    <t>QK115 .R5 V.5 PT.2</t>
  </si>
  <si>
    <t>0                      QK 0115000R  5                                                       V.5 PT.2</t>
  </si>
  <si>
    <t>V.5 PT.2*</t>
  </si>
  <si>
    <t>32285001444974</t>
  </si>
  <si>
    <t>893225486</t>
  </si>
  <si>
    <t>QK115 .R5 V.6 PT.1</t>
  </si>
  <si>
    <t>0                      QK 0115000R  5                                                       V.6 PT.1</t>
  </si>
  <si>
    <t>V.6 PT.1*</t>
  </si>
  <si>
    <t>32285001470045</t>
  </si>
  <si>
    <t>893237767</t>
  </si>
  <si>
    <t>QK115 .R5 V.6 PT.2</t>
  </si>
  <si>
    <t>0                      QK 0115000R  5                                                       V.6 PT.2</t>
  </si>
  <si>
    <t>V.6 PT.2*</t>
  </si>
  <si>
    <t>32285001444982</t>
  </si>
  <si>
    <t>893255895</t>
  </si>
  <si>
    <t>QK115 .R5 V.6 PT.3</t>
  </si>
  <si>
    <t>0                      QK 0115000R  5                                                       V.6 PT.3</t>
  </si>
  <si>
    <t>V.6 PT.3*</t>
  </si>
  <si>
    <t>32285001444990</t>
  </si>
  <si>
    <t>893237763</t>
  </si>
  <si>
    <t>QK115 .S38 1999</t>
  </si>
  <si>
    <t>0                      QK 0115000S  38          1999</t>
  </si>
  <si>
    <t>Savannas, barrens, and rock outcrop plant communities of North America / edited by Roger C. Anderson, James S. Fralish, Jerry M. Baskin.</t>
  </si>
  <si>
    <t>Cambridge, UK ; New York, NY, USA : Cambridge University Press, 1999.</t>
  </si>
  <si>
    <t>1999</t>
  </si>
  <si>
    <t>2005-07-05</t>
  </si>
  <si>
    <t>2002-04-02</t>
  </si>
  <si>
    <t>350343244:eng</t>
  </si>
  <si>
    <t>39170038</t>
  </si>
  <si>
    <t>991003742869702656</t>
  </si>
  <si>
    <t>2270170210002656</t>
  </si>
  <si>
    <t>9780521573221</t>
  </si>
  <si>
    <t>32285004476551</t>
  </si>
  <si>
    <t>893535599</t>
  </si>
  <si>
    <t>QK117 .B8</t>
  </si>
  <si>
    <t>0                      QK 0117000B  8</t>
  </si>
  <si>
    <t>An illustrated flora of the northern United States, Canada and the British possessions, from Newfoundland to the parallel of the southern boundary of Virginia, and from the Atlantic Ocean westward to the 102d meridian, by Nathaniel Lord Britton and Hon. Addison Brown.</t>
  </si>
  <si>
    <t>V.3</t>
  </si>
  <si>
    <t>Britton, Nathaniel Lord, 1859-1934.</t>
  </si>
  <si>
    <t>New York, C. Scribner's sons, 1913.</t>
  </si>
  <si>
    <t>1913</t>
  </si>
  <si>
    <t>2d ed.--rev. and enl.</t>
  </si>
  <si>
    <t xml:space="preserve">xx </t>
  </si>
  <si>
    <t>2001-02-16</t>
  </si>
  <si>
    <t>4020084466:eng</t>
  </si>
  <si>
    <t>852525</t>
  </si>
  <si>
    <t>991003323799702656</t>
  </si>
  <si>
    <t>2266408420002656</t>
  </si>
  <si>
    <t>32285002936945</t>
  </si>
  <si>
    <t>893535433</t>
  </si>
  <si>
    <t>V.1</t>
  </si>
  <si>
    <t>32285002936929</t>
  </si>
  <si>
    <t>893499193</t>
  </si>
  <si>
    <t>V.2</t>
  </si>
  <si>
    <t>32285002936937</t>
  </si>
  <si>
    <t>893535434</t>
  </si>
  <si>
    <t>QK117 .G75 1950</t>
  </si>
  <si>
    <t>0                      QK 0117000G  75          1950</t>
  </si>
  <si>
    <t>Manual of botany; a handbook of the flowering plants and ferns of the central and northeastern United States and adjacent Canada.</t>
  </si>
  <si>
    <t>Gray, Asa, 1810-1888.</t>
  </si>
  <si>
    <t>New York, American Book Co. [1950]</t>
  </si>
  <si>
    <t>1950</t>
  </si>
  <si>
    <t>8th (centennial) ed., illustrated. Largely rewritten and expanded by Merritt Lyndon Fernald, with assistance of specialists in some groups.</t>
  </si>
  <si>
    <t>2000-02-09</t>
  </si>
  <si>
    <t>5453935156:eng</t>
  </si>
  <si>
    <t>501270</t>
  </si>
  <si>
    <t>991002873649702656</t>
  </si>
  <si>
    <t>2256767460002656</t>
  </si>
  <si>
    <t>32285002936960</t>
  </si>
  <si>
    <t>893692109</t>
  </si>
  <si>
    <t>QK117 .L48 1995</t>
  </si>
  <si>
    <t>0                      QK 0117000L  48          1995</t>
  </si>
  <si>
    <t>A guide to wildflowers in winter : herbaceous plants of northeastern North America / Carol Levine ; illustrations by Dick Rauh ; photographs by Samuel Ristich ; additional illustrations by Redenta Soprano.</t>
  </si>
  <si>
    <t>Levine, Carol, 1928-</t>
  </si>
  <si>
    <t>New Haven : Yale University Press, c1995.</t>
  </si>
  <si>
    <t>ctu</t>
  </si>
  <si>
    <t>2009-02-23</t>
  </si>
  <si>
    <t>1997-01-27</t>
  </si>
  <si>
    <t>24134171:eng</t>
  </si>
  <si>
    <t>31710427</t>
  </si>
  <si>
    <t>991002432499702656</t>
  </si>
  <si>
    <t>2256928320002656</t>
  </si>
  <si>
    <t>9780300062076</t>
  </si>
  <si>
    <t>32285002411741</t>
  </si>
  <si>
    <t>893498106</t>
  </si>
  <si>
    <t>QK118 .P24 1963</t>
  </si>
  <si>
    <t>0                      QK 0118000P  24          1963</t>
  </si>
  <si>
    <t>How to know the wild flowers : a guide to the names, haunts, and habits of our common wild flowers / by Mrs. William Starr Dana. Illustrated by Marion Satterlee.</t>
  </si>
  <si>
    <t>Parsons, Frances Theodora, 1861-1952.</t>
  </si>
  <si>
    <t>New York : Dover Publications, [1963]</t>
  </si>
  <si>
    <t>1963</t>
  </si>
  <si>
    <t>Rev. ed. by Clarence J. Hylander.</t>
  </si>
  <si>
    <t>2007-04-20</t>
  </si>
  <si>
    <t>1990-07-05</t>
  </si>
  <si>
    <t>4915936035:eng</t>
  </si>
  <si>
    <t>519718</t>
  </si>
  <si>
    <t>991002906579702656</t>
  </si>
  <si>
    <t>2257065110002656</t>
  </si>
  <si>
    <t>32285000206945</t>
  </si>
  <si>
    <t>893257870</t>
  </si>
  <si>
    <t>QK118 .R5</t>
  </si>
  <si>
    <t>0                      QK 0118000R  5</t>
  </si>
  <si>
    <t>The new field book of American wild flowers / with 96 illus. in full color and over 700 drawings by the author.</t>
  </si>
  <si>
    <t>New York : Putnam, [1963]</t>
  </si>
  <si>
    <t>2000-04-18</t>
  </si>
  <si>
    <t>1995-05-09</t>
  </si>
  <si>
    <t>1601735:eng</t>
  </si>
  <si>
    <t>552864</t>
  </si>
  <si>
    <t>991002977419702656</t>
  </si>
  <si>
    <t>2259720310002656</t>
  </si>
  <si>
    <t>32285002032869</t>
  </si>
  <si>
    <t>893317501</t>
  </si>
  <si>
    <t>QK128 .K54 1995</t>
  </si>
  <si>
    <t>0                      QK 0128000K  54          1995</t>
  </si>
  <si>
    <t>Prairie plants of the Midwest : identification and ecology / by Russell R. Kirt ; illustrations by Henrietta H. Tweedie and Roberta L. Simonds.</t>
  </si>
  <si>
    <t>Kirt, Russell R.</t>
  </si>
  <si>
    <t>Champaign, Ill. : Stipes Pub., c1995.</t>
  </si>
  <si>
    <t>2000-05-19</t>
  </si>
  <si>
    <t>1997-04-18</t>
  </si>
  <si>
    <t>5375605115:eng</t>
  </si>
  <si>
    <t>32796122</t>
  </si>
  <si>
    <t>991005421879702656</t>
  </si>
  <si>
    <t>2264169800002656</t>
  </si>
  <si>
    <t>9780875635736</t>
  </si>
  <si>
    <t>32285002498532</t>
  </si>
  <si>
    <t>893339069</t>
  </si>
  <si>
    <t>QK139 .S77 1988</t>
  </si>
  <si>
    <t>0                      QK 0139000S  77          1988</t>
  </si>
  <si>
    <t>Forest wildflowers : showy wildflowers of the woods, mountains, and forests of the northern Rocky Mountain states / photography and text by Dee Strickler ; illustration and graphic design by Zoe Strickler-Wilson.</t>
  </si>
  <si>
    <t>Strickler, Dee.</t>
  </si>
  <si>
    <t>Columbia Falls, Mont. : Flower Press, c1988.</t>
  </si>
  <si>
    <t>mtu</t>
  </si>
  <si>
    <t>2002-02-22</t>
  </si>
  <si>
    <t>1997-03-20</t>
  </si>
  <si>
    <t>1039980:eng</t>
  </si>
  <si>
    <t>18768112</t>
  </si>
  <si>
    <t>991001391219702656</t>
  </si>
  <si>
    <t>2272037520002656</t>
  </si>
  <si>
    <t>9780937959367</t>
  </si>
  <si>
    <t>32285002475100</t>
  </si>
  <si>
    <t>893315751</t>
  </si>
  <si>
    <t>QK139 .S78 1986</t>
  </si>
  <si>
    <t>0                      QK 0139000S  78          1986</t>
  </si>
  <si>
    <t>Prairie wildflowers : showy wildflowers of the plains, valleys, and foothills in the northern Rocky Mountain states / photography and text by Dee Strickler ; illustration and graphic design by Zoe Strickler-Wilson.</t>
  </si>
  <si>
    <t>Columbia Falls, Mont. : Flower Press, c1986.</t>
  </si>
  <si>
    <t>1986</t>
  </si>
  <si>
    <t>2002-04-01</t>
  </si>
  <si>
    <t>1104944736:eng</t>
  </si>
  <si>
    <t>16924714</t>
  </si>
  <si>
    <t>991001167099702656</t>
  </si>
  <si>
    <t>2271013500002656</t>
  </si>
  <si>
    <t>9780934318990</t>
  </si>
  <si>
    <t>32285002475118</t>
  </si>
  <si>
    <t>893426381</t>
  </si>
  <si>
    <t>QK139 .S79 1990</t>
  </si>
  <si>
    <t>0                      QK 0139000S  79          1990</t>
  </si>
  <si>
    <t>Alpine wildflowers : showy wildflowers of the alpine and subalpine areas of the Rocky Mountain states / photography and text by Dee Strickler ; illustration and graphic design by Zoe Strickler-Wilson.</t>
  </si>
  <si>
    <t>Columbia Falls, Mont. : Flower Press, c1990.</t>
  </si>
  <si>
    <t>1990</t>
  </si>
  <si>
    <t>1997-03-21</t>
  </si>
  <si>
    <t>475954145:eng</t>
  </si>
  <si>
    <t>22294758</t>
  </si>
  <si>
    <t>991001763979702656</t>
  </si>
  <si>
    <t>2265805060002656</t>
  </si>
  <si>
    <t>9781560440116</t>
  </si>
  <si>
    <t>32285002475324</t>
  </si>
  <si>
    <t>893779052</t>
  </si>
  <si>
    <t>QK146 .A52</t>
  </si>
  <si>
    <t>0                      QK 0146000A  52</t>
  </si>
  <si>
    <t>Anderson's Flora of Alaska and adjacent parts of Canada. [By] Stanley L. Welsh.</t>
  </si>
  <si>
    <t>Anderson, Jacob Peter.</t>
  </si>
  <si>
    <t>Provo, Utah, Brigham Young University Press [1974]</t>
  </si>
  <si>
    <t>1974</t>
  </si>
  <si>
    <t>utu</t>
  </si>
  <si>
    <t>352082356:eng</t>
  </si>
  <si>
    <t>1031187</t>
  </si>
  <si>
    <t>991003483809702656</t>
  </si>
  <si>
    <t>2267654900002656</t>
  </si>
  <si>
    <t>9780842507059</t>
  </si>
  <si>
    <t>32285002936994</t>
  </si>
  <si>
    <t>893252411</t>
  </si>
  <si>
    <t>QK146 .S5</t>
  </si>
  <si>
    <t>0                      QK 0146000S  5</t>
  </si>
  <si>
    <t>Alaska wild flowers, by Ada White Sharples.</t>
  </si>
  <si>
    <t>Sharples, Ada White.</t>
  </si>
  <si>
    <t>Stanford University, Calif., Stanford university press; London, H. Milford, Oxford university press [c1938]</t>
  </si>
  <si>
    <t>1938</t>
  </si>
  <si>
    <t>2388409:eng</t>
  </si>
  <si>
    <t>1557172</t>
  </si>
  <si>
    <t>991003820029702656</t>
  </si>
  <si>
    <t>2268769380002656</t>
  </si>
  <si>
    <t>32285002937000</t>
  </si>
  <si>
    <t>893599014</t>
  </si>
  <si>
    <t>QK15 .M67</t>
  </si>
  <si>
    <t>0                      QK 0015000M  67</t>
  </si>
  <si>
    <t>History of botanical science : an account of the development of botany from ancient times to the present day / A. G. Morton.</t>
  </si>
  <si>
    <t>Morton, A. G.</t>
  </si>
  <si>
    <t>London ; New York : Academic Press, 1981.</t>
  </si>
  <si>
    <t>1981</t>
  </si>
  <si>
    <t>1998-11-11</t>
  </si>
  <si>
    <t>1993-05-12</t>
  </si>
  <si>
    <t>793857297:eng</t>
  </si>
  <si>
    <t>8067899</t>
  </si>
  <si>
    <t>991005200249702656</t>
  </si>
  <si>
    <t>2257444950002656</t>
  </si>
  <si>
    <t>9780125083805</t>
  </si>
  <si>
    <t>32285001643831</t>
  </si>
  <si>
    <t>893625606</t>
  </si>
  <si>
    <t>QK150 .W4 1972</t>
  </si>
  <si>
    <t>0                      QK 0150000W  4           1972</t>
  </si>
  <si>
    <t>Rocky Mountain flora : a field guide for the identification of the ferns, conifers, and flowering plants of the southern Rocky Mountains from Pikes Peak to Rocky Mountain National Park and from the plains to the Continental Divide / [by] William A. Weber.</t>
  </si>
  <si>
    <t>Weber, William A. (William Alfred), 1918-</t>
  </si>
  <si>
    <t>Boulder : Colorado Associated University Press, [1972]</t>
  </si>
  <si>
    <t>1972</t>
  </si>
  <si>
    <t>[4th ed., rev.]</t>
  </si>
  <si>
    <t>cou</t>
  </si>
  <si>
    <t>2010-08-18</t>
  </si>
  <si>
    <t>796080494:eng</t>
  </si>
  <si>
    <t>389309</t>
  </si>
  <si>
    <t>991002656359702656</t>
  </si>
  <si>
    <t>2256625050002656</t>
  </si>
  <si>
    <t>9780870810411</t>
  </si>
  <si>
    <t>32285002032851</t>
  </si>
  <si>
    <t>893233235</t>
  </si>
  <si>
    <t>QK164 .H45 1997</t>
  </si>
  <si>
    <t>0                      QK 0164000H  45          1997</t>
  </si>
  <si>
    <t>The trees in my forest / Bernd Heinrich.</t>
  </si>
  <si>
    <t>Heinrich, Bernd, 1940-</t>
  </si>
  <si>
    <t>New York, NY : Cliff Street Books, c1997.</t>
  </si>
  <si>
    <t>1997</t>
  </si>
  <si>
    <t>1st ed.</t>
  </si>
  <si>
    <t>2000-09-20</t>
  </si>
  <si>
    <t>1999-05-11</t>
  </si>
  <si>
    <t>587087:eng</t>
  </si>
  <si>
    <t>36847749</t>
  </si>
  <si>
    <t>991002805109702656</t>
  </si>
  <si>
    <t>2259055470002656</t>
  </si>
  <si>
    <t>9780060174460</t>
  </si>
  <si>
    <t>32285003570461</t>
  </si>
  <si>
    <t>893517775</t>
  </si>
  <si>
    <t>QK170 .S76</t>
  </si>
  <si>
    <t>0                      QK 0170000S  76</t>
  </si>
  <si>
    <t>Flora of Missouri.</t>
  </si>
  <si>
    <t>Steyermark, Julian A. (Julian Alfred), 1909-1988.</t>
  </si>
  <si>
    <t>Ames, Iowa, Iowa State University Press [1963]</t>
  </si>
  <si>
    <t>iau</t>
  </si>
  <si>
    <t>475044:eng</t>
  </si>
  <si>
    <t>324848</t>
  </si>
  <si>
    <t>991002347889702656</t>
  </si>
  <si>
    <t>2254737790002656</t>
  </si>
  <si>
    <t>32285002937042</t>
  </si>
  <si>
    <t>893703962</t>
  </si>
  <si>
    <t>QK172 .L65</t>
  </si>
  <si>
    <t>0                      QK 0172000L  65</t>
  </si>
  <si>
    <t>Nebraska wild flowers / [by] Robert C. Lommasson.</t>
  </si>
  <si>
    <t>Lommasson, Robert C.</t>
  </si>
  <si>
    <t>Lincoln : University of Nebraska Press, [1973]</t>
  </si>
  <si>
    <t>1973</t>
  </si>
  <si>
    <t>nbu</t>
  </si>
  <si>
    <t>2008-10-29</t>
  </si>
  <si>
    <t>1992-11-05</t>
  </si>
  <si>
    <t>454926:eng</t>
  </si>
  <si>
    <t>700256</t>
  </si>
  <si>
    <t>991003160919702656</t>
  </si>
  <si>
    <t>2256511720002656</t>
  </si>
  <si>
    <t>9780803208162</t>
  </si>
  <si>
    <t>32285001381135</t>
  </si>
  <si>
    <t>893233866</t>
  </si>
  <si>
    <t>QK186 .D674 1977</t>
  </si>
  <si>
    <t>0                      QK 0186000D  674         1977</t>
  </si>
  <si>
    <t>Flora of the Black Hills / Robert D. Dorn ; illus. by Jane L. Dorn.</t>
  </si>
  <si>
    <t>Dorn, Robert D.</t>
  </si>
  <si>
    <t>[Cheyenne, Wyo.] : R. D. Dorn, c1977.</t>
  </si>
  <si>
    <t>wyu</t>
  </si>
  <si>
    <t>2006-04-07</t>
  </si>
  <si>
    <t>1996-12-05</t>
  </si>
  <si>
    <t>12050170:eng</t>
  </si>
  <si>
    <t>3641537</t>
  </si>
  <si>
    <t>991004485509702656</t>
  </si>
  <si>
    <t>2260236700002656</t>
  </si>
  <si>
    <t>32285002388287</t>
  </si>
  <si>
    <t>893712655</t>
  </si>
  <si>
    <t>QK195 .D47 1990</t>
  </si>
  <si>
    <t>0                      QK 0195000D  47          1990</t>
  </si>
  <si>
    <t>Yellowstone vegetation : consequences of environment and history in a natural setting / Don G. Despain.</t>
  </si>
  <si>
    <t>Despain, Don G.</t>
  </si>
  <si>
    <t>Boulder : Roberts Rinehart, c1990.</t>
  </si>
  <si>
    <t>2005-01-24</t>
  </si>
  <si>
    <t>1996-09-27</t>
  </si>
  <si>
    <t>997576940:eng</t>
  </si>
  <si>
    <t>24444378</t>
  </si>
  <si>
    <t>991001935519702656</t>
  </si>
  <si>
    <t>2266729740002656</t>
  </si>
  <si>
    <t>9780911797756</t>
  </si>
  <si>
    <t>32285002320918</t>
  </si>
  <si>
    <t>893709649</t>
  </si>
  <si>
    <t>QK227.7 .L56</t>
  </si>
  <si>
    <t>0                      QK 0227700L  56</t>
  </si>
  <si>
    <t>La flora de la Hispaniola / Alain Henri Liogier.</t>
  </si>
  <si>
    <t>V.9</t>
  </si>
  <si>
    <t>Liogier, Alain H.</t>
  </si>
  <si>
    <t>San Pedro de Macorís : Universidad Central del Este, 1981-&lt;2000 &gt;</t>
  </si>
  <si>
    <t>spa</t>
  </si>
  <si>
    <t xml:space="preserve">dr </t>
  </si>
  <si>
    <t>Universidad Central del Este ; &lt;44, 56, 64, 69-72 &gt;. Serie científica ; &lt;15, 22, 24, 26-29 &gt;</t>
  </si>
  <si>
    <t>2010-08-12</t>
  </si>
  <si>
    <t>2001-06-11</t>
  </si>
  <si>
    <t>1807639543:spa</t>
  </si>
  <si>
    <t>7083968</t>
  </si>
  <si>
    <t>991003547409702656</t>
  </si>
  <si>
    <t>2269603050002656</t>
  </si>
  <si>
    <t>32285004326277</t>
  </si>
  <si>
    <t>893868542</t>
  </si>
  <si>
    <t>QK227.8 .H67 1997, v...</t>
  </si>
  <si>
    <t>0                      QK 0227800H  67          1997                                        v...</t>
  </si>
  <si>
    <t>Arboles que florecen en la República Dominicana / Jürgen Hoppe.</t>
  </si>
  <si>
    <t>Hoppe, Jürgen.</t>
  </si>
  <si>
    <t>Santo Domingo : EDUCA : Acción para la Educación Básica, Inc. [distributor], 1997-</t>
  </si>
  <si>
    <t>1. ed.</t>
  </si>
  <si>
    <t>2000-09-05</t>
  </si>
  <si>
    <t>1998-06-11</t>
  </si>
  <si>
    <t>27062480:spa</t>
  </si>
  <si>
    <t>39181057</t>
  </si>
  <si>
    <t>991002942439702656</t>
  </si>
  <si>
    <t>2272556570002656</t>
  </si>
  <si>
    <t>9788492314126</t>
  </si>
  <si>
    <t>32285003414819</t>
  </si>
  <si>
    <t>893445462</t>
  </si>
  <si>
    <t>QK26 .G75 2008</t>
  </si>
  <si>
    <t>0                      QK 0026000G  75          2008</t>
  </si>
  <si>
    <t>Flower hunters / Mary Gribbin &amp; John Gribbin.</t>
  </si>
  <si>
    <t>Gribbin, Mary.</t>
  </si>
  <si>
    <t>Oxford ; New York : Oxford University Press, 2008.</t>
  </si>
  <si>
    <t>2008</t>
  </si>
  <si>
    <t>2008-11-24</t>
  </si>
  <si>
    <t>117449935:eng</t>
  </si>
  <si>
    <t>183610492</t>
  </si>
  <si>
    <t>991005276939702656</t>
  </si>
  <si>
    <t>2257750750002656</t>
  </si>
  <si>
    <t>9780192807182</t>
  </si>
  <si>
    <t>32285005468508</t>
  </si>
  <si>
    <t>893344960</t>
  </si>
  <si>
    <t>QK281 .H485 2000</t>
  </si>
  <si>
    <t>0                      QK 0281000H  485         2000</t>
  </si>
  <si>
    <t>Wild flowers [of Britain &amp; Europe] : a photographic guide to the flowers of Britain and Northern Europe / Peter Heukels ; photographs assembled by Natural Image.</t>
  </si>
  <si>
    <t>Heukels, Peter.</t>
  </si>
  <si>
    <t>London : HarperCollins, 2000.</t>
  </si>
  <si>
    <t>2000</t>
  </si>
  <si>
    <t>Collins wildlife trust guides</t>
  </si>
  <si>
    <t>2001-12-06</t>
  </si>
  <si>
    <t>3902752457:eng</t>
  </si>
  <si>
    <t>46690277</t>
  </si>
  <si>
    <t>991003671129702656</t>
  </si>
  <si>
    <t>2258411590002656</t>
  </si>
  <si>
    <t>9780002201391</t>
  </si>
  <si>
    <t>32285004426879</t>
  </si>
  <si>
    <t>893246603</t>
  </si>
  <si>
    <t>QK281 .S5713 1974</t>
  </si>
  <si>
    <t>0                      QK 0281000S  5713        1974</t>
  </si>
  <si>
    <t>A colour guide to familiar wild flowers, ferns, and grasses / illustrated by Vlastimil Choc ; [translated from the Czech by Daniela Coxon].</t>
  </si>
  <si>
    <t>Slavík, Bohumil.</t>
  </si>
  <si>
    <t>London : Octopus Books, c1974, 1975 printing.</t>
  </si>
  <si>
    <t>1992-01-21</t>
  </si>
  <si>
    <t>196651601:eng</t>
  </si>
  <si>
    <t>3053618</t>
  </si>
  <si>
    <t>991004329339702656</t>
  </si>
  <si>
    <t>2265947200002656</t>
  </si>
  <si>
    <t>9780706402896</t>
  </si>
  <si>
    <t>32285000916659</t>
  </si>
  <si>
    <t>893259600</t>
  </si>
  <si>
    <t>QK31.H35 W35 2001</t>
  </si>
  <si>
    <t>0                      QK 0031000H  35                 W  35          2001</t>
  </si>
  <si>
    <t>Darwin's mentor ; John Stevens Henslow, 1796-1861 / S.M. Walters &amp; E.A. Stow.</t>
  </si>
  <si>
    <t>Walters, S. M. (Stuart Max)</t>
  </si>
  <si>
    <t>Cambridge, UK ; New York : Cambridge University Press, 2001.</t>
  </si>
  <si>
    <t>2001</t>
  </si>
  <si>
    <t>2003-03-27</t>
  </si>
  <si>
    <t>2002-09-24</t>
  </si>
  <si>
    <t>117218569:eng</t>
  </si>
  <si>
    <t>45890477</t>
  </si>
  <si>
    <t>991003860059702656</t>
  </si>
  <si>
    <t>2265137970002656</t>
  </si>
  <si>
    <t>9780521591461</t>
  </si>
  <si>
    <t>32285004648605</t>
  </si>
  <si>
    <t>893605291</t>
  </si>
  <si>
    <t>QK332 .P64</t>
  </si>
  <si>
    <t>0                      QK 0332000P  64</t>
  </si>
  <si>
    <t>Flowers of Greece and the Balkans : a field guide / Oleg Polunin ; with 80 pages of ill. in colour from photos. taken by the author and others ; 28 pages of line drawings by Barbara Everard and Ann Davies, 34 pages of line drawings by Pat Halliday ; and maps by John Callow.</t>
  </si>
  <si>
    <t>Polunin, Oleg.</t>
  </si>
  <si>
    <t>Oxford ; New York : Oxford University Press, 1980.</t>
  </si>
  <si>
    <t>1980</t>
  </si>
  <si>
    <t>1996-11-25</t>
  </si>
  <si>
    <t>836691515:eng</t>
  </si>
  <si>
    <t>5889823</t>
  </si>
  <si>
    <t>991004893849702656</t>
  </si>
  <si>
    <t>2271563330002656</t>
  </si>
  <si>
    <t>9780192176264</t>
  </si>
  <si>
    <t>32285001644052</t>
  </si>
  <si>
    <t>893810738</t>
  </si>
  <si>
    <t>QK45 .C59</t>
  </si>
  <si>
    <t>0                      QK 0045000C  59</t>
  </si>
  <si>
    <t>The life of plants [by] E. J. H. Corner.</t>
  </si>
  <si>
    <t>Corner, E. J. H. (Edred John Henry)</t>
  </si>
  <si>
    <t>Cleveland, World Pub. Co. [1964]</t>
  </si>
  <si>
    <t>1964</t>
  </si>
  <si>
    <t>[1st ed.]</t>
  </si>
  <si>
    <t>ohu</t>
  </si>
  <si>
    <t>2003-01-13</t>
  </si>
  <si>
    <t>418067:eng</t>
  </si>
  <si>
    <t>552226</t>
  </si>
  <si>
    <t>991002976679702656</t>
  </si>
  <si>
    <t>2259805890002656</t>
  </si>
  <si>
    <t>32285002936523</t>
  </si>
  <si>
    <t>893440772</t>
  </si>
  <si>
    <t>QK463 .H86 2004</t>
  </si>
  <si>
    <t>0                      QK 0463000H  86          2004</t>
  </si>
  <si>
    <t>From weta to kauri : a guide to the New Zealand forest / Janet Hunt, Rob Lucas.</t>
  </si>
  <si>
    <t>Hunt, Janet, 1951-</t>
  </si>
  <si>
    <t>Auckland, N.Z. : Random House, 2004.</t>
  </si>
  <si>
    <t>2004</t>
  </si>
  <si>
    <t xml:space="preserve">nz </t>
  </si>
  <si>
    <t>2006-06-13</t>
  </si>
  <si>
    <t>1018662633:eng</t>
  </si>
  <si>
    <t>61373009</t>
  </si>
  <si>
    <t>991004830019702656</t>
  </si>
  <si>
    <t>2260354510002656</t>
  </si>
  <si>
    <t>9781869416553</t>
  </si>
  <si>
    <t>32285005190953</t>
  </si>
  <si>
    <t>893418067</t>
  </si>
  <si>
    <t>QK47 .B782</t>
  </si>
  <si>
    <t>0                      QK 0047000B  782</t>
  </si>
  <si>
    <t>An introduction to plant biology [by] Dale C. Braungart [and] Ross H. Arnett, Jr.</t>
  </si>
  <si>
    <t>Braungart, Dale C. (Dale Carl), 1912-</t>
  </si>
  <si>
    <t>St. Louis, Mosby, 1962.</t>
  </si>
  <si>
    <t>1962</t>
  </si>
  <si>
    <t>mau</t>
  </si>
  <si>
    <t>2003-12-11</t>
  </si>
  <si>
    <t>1599827:eng</t>
  </si>
  <si>
    <t>1003118</t>
  </si>
  <si>
    <t>991003461359702656</t>
  </si>
  <si>
    <t>2256010840002656</t>
  </si>
  <si>
    <t>32285002936564</t>
  </si>
  <si>
    <t>893246364</t>
  </si>
  <si>
    <t>QK47 .B792</t>
  </si>
  <si>
    <t>0                      QK 0047000B  792</t>
  </si>
  <si>
    <t>The living plant; an introduction to botany, with illus. by the author, Alan J. Brook.</t>
  </si>
  <si>
    <t>Brook, Alan J.</t>
  </si>
  <si>
    <t>Chicago, Aldine Pub. Co. [1964]</t>
  </si>
  <si>
    <t>2001-02-19</t>
  </si>
  <si>
    <t>326547087:eng</t>
  </si>
  <si>
    <t>711126</t>
  </si>
  <si>
    <t>991003177919702656</t>
  </si>
  <si>
    <t>2264088100002656</t>
  </si>
  <si>
    <t>32285002936572</t>
  </si>
  <si>
    <t>893434714</t>
  </si>
  <si>
    <t>QK47 .C842</t>
  </si>
  <si>
    <t>0                      QK 0047000C  842</t>
  </si>
  <si>
    <t>Plant structures; a second book of botany, by John M. Coulter.</t>
  </si>
  <si>
    <t>Coulter, John Merle, 1851-1928.</t>
  </si>
  <si>
    <t>New York, D. Appleton and company, 1904.</t>
  </si>
  <si>
    <t>1904</t>
  </si>
  <si>
    <t>2d ed., rev.</t>
  </si>
  <si>
    <t>Twentieth century text-books</t>
  </si>
  <si>
    <t>2001-02-17</t>
  </si>
  <si>
    <t>5731912:eng</t>
  </si>
  <si>
    <t>4340872</t>
  </si>
  <si>
    <t>991004626129702656</t>
  </si>
  <si>
    <t>2268888990002656</t>
  </si>
  <si>
    <t>32285002936580</t>
  </si>
  <si>
    <t>893687950</t>
  </si>
  <si>
    <t>QK47 .C893 1964</t>
  </si>
  <si>
    <t>0                      QK 0047000C  893         1964</t>
  </si>
  <si>
    <t>The story of the plant kingdom. Rev. by Howard J. Dittmer.</t>
  </si>
  <si>
    <t>Coulter, Merle C. (Merle Crowe), 1894-1958.</t>
  </si>
  <si>
    <t>Chicago, University of Chicago Press [1964]</t>
  </si>
  <si>
    <t>3d ed.</t>
  </si>
  <si>
    <t>418070:eng</t>
  </si>
  <si>
    <t>552230</t>
  </si>
  <si>
    <t>991002976709702656</t>
  </si>
  <si>
    <t>2259795270002656</t>
  </si>
  <si>
    <t>32285002936614</t>
  </si>
  <si>
    <t>893780476</t>
  </si>
  <si>
    <t>QK47 .C895</t>
  </si>
  <si>
    <t>0                      QK 0047000C  895</t>
  </si>
  <si>
    <t>Introductory botany.</t>
  </si>
  <si>
    <t>Cronquist, Arthur.</t>
  </si>
  <si>
    <t>New York, Harper [1961]</t>
  </si>
  <si>
    <t>1961</t>
  </si>
  <si>
    <t>1168003:eng</t>
  </si>
  <si>
    <t>421739</t>
  </si>
  <si>
    <t>991002743109702656</t>
  </si>
  <si>
    <t>2270052460002656</t>
  </si>
  <si>
    <t>32285002936622</t>
  </si>
  <si>
    <t>893511133</t>
  </si>
  <si>
    <t>QK47 .F88 1951</t>
  </si>
  <si>
    <t>0                      QK 0047000F  88          1951</t>
  </si>
  <si>
    <t>The plant world; a text in college botany.</t>
  </si>
  <si>
    <t>Fuller, Harry J., 1907-1973.</t>
  </si>
  <si>
    <t>New York, Holt [1951]</t>
  </si>
  <si>
    <t>1951</t>
  </si>
  <si>
    <t>Rev. ed.</t>
  </si>
  <si>
    <t>816347170:eng</t>
  </si>
  <si>
    <t>1040093</t>
  </si>
  <si>
    <t>991003490879702656</t>
  </si>
  <si>
    <t>2272233470002656</t>
  </si>
  <si>
    <t>32285002936648</t>
  </si>
  <si>
    <t>893623537</t>
  </si>
  <si>
    <t>QK47 .G83</t>
  </si>
  <si>
    <t>0                      QK 0047000G  83</t>
  </si>
  <si>
    <t>Plants : an introduction to modern botany / [by] Victor A. Greulach and J. Edison Adams.</t>
  </si>
  <si>
    <t>Greulach, Victor A.</t>
  </si>
  <si>
    <t>New York : Wiley, [1962]</t>
  </si>
  <si>
    <t>1992-05-14</t>
  </si>
  <si>
    <t>1328232:eng</t>
  </si>
  <si>
    <t>1025539</t>
  </si>
  <si>
    <t>991003479289702656</t>
  </si>
  <si>
    <t>2271665020002656</t>
  </si>
  <si>
    <t>32285001109254</t>
  </si>
  <si>
    <t>893499333</t>
  </si>
  <si>
    <t>QK47 .R92</t>
  </si>
  <si>
    <t>0                      QK 0047000R  92</t>
  </si>
  <si>
    <t>An introduction to the plant kingdom.</t>
  </si>
  <si>
    <t>Russell, Norman H.</t>
  </si>
  <si>
    <t>St. Louis, Mosby, 1958.</t>
  </si>
  <si>
    <t>1958</t>
  </si>
  <si>
    <t>1918452:eng</t>
  </si>
  <si>
    <t>1003065</t>
  </si>
  <si>
    <t>991003461309702656</t>
  </si>
  <si>
    <t>2256245650002656</t>
  </si>
  <si>
    <t>32285002936671</t>
  </si>
  <si>
    <t>893228076</t>
  </si>
  <si>
    <t>QK47 .W726 1962</t>
  </si>
  <si>
    <t>0                      QK 0047000W  726         1962</t>
  </si>
  <si>
    <t>Botany / [by] Carl L. Wilson and Walter E. Loomis. With line drawings by Hannah T. Croasdale.</t>
  </si>
  <si>
    <t>Wilson, Carl L. (Carl Louis), 1897-</t>
  </si>
  <si>
    <t>New York : Holt, Rinehart and Winston, [1962]</t>
  </si>
  <si>
    <t>2008-03-31</t>
  </si>
  <si>
    <t>401733:eng</t>
  </si>
  <si>
    <t>1282094</t>
  </si>
  <si>
    <t>991003667249702656</t>
  </si>
  <si>
    <t>2265655770002656</t>
  </si>
  <si>
    <t>32285001109239</t>
  </si>
  <si>
    <t>893598821</t>
  </si>
  <si>
    <t>QK477.2.I4 P45 1978</t>
  </si>
  <si>
    <t>0                      QK 0477200I  4                  P  45          1978</t>
  </si>
  <si>
    <t>Trees of North America and Europe / by Roger Phillips, assisted by Sheila Grant ; edited by Tom Wellsted ; line drawings by John White.</t>
  </si>
  <si>
    <t>Phillips, Roger, 1932-</t>
  </si>
  <si>
    <t>New York : Random House, c1978.</t>
  </si>
  <si>
    <t>1978</t>
  </si>
  <si>
    <t>1st American ed.</t>
  </si>
  <si>
    <t>3992191427:eng</t>
  </si>
  <si>
    <t>4036251</t>
  </si>
  <si>
    <t>991004572119702656</t>
  </si>
  <si>
    <t>2269602530002656</t>
  </si>
  <si>
    <t>9780394502595</t>
  </si>
  <si>
    <t>32285000916642</t>
  </si>
  <si>
    <t>893259883</t>
  </si>
  <si>
    <t>QK481 .H32 1958</t>
  </si>
  <si>
    <t>0                      QK 0481000H  32          1958</t>
  </si>
  <si>
    <t>Textbook of dendrology, covering the important forest trees of the United States and Canada [by] William M. Harlow [and] Ellwood S. Harrar.</t>
  </si>
  <si>
    <t>Harlow, William M. (William Morehouse), 1900-1986.</t>
  </si>
  <si>
    <t>New York, McGraw-Hill, 1958.</t>
  </si>
  <si>
    <t>The American forestry series</t>
  </si>
  <si>
    <t>2003-02-25</t>
  </si>
  <si>
    <t>1564658:eng</t>
  </si>
  <si>
    <t>1217085</t>
  </si>
  <si>
    <t>991003625819702656</t>
  </si>
  <si>
    <t>2272344250002656</t>
  </si>
  <si>
    <t>32285002937141</t>
  </si>
  <si>
    <t>893711583</t>
  </si>
  <si>
    <t>QK481 .H8</t>
  </si>
  <si>
    <t>0                      QK 0481000H  8</t>
  </si>
  <si>
    <t>Handbook of the trees of the northern states and Canada east of the Rocky mountains / photo-descriptive by Romeyn Beck Hough.</t>
  </si>
  <si>
    <t>Hough, Romeyn Beck, 1857-1924.</t>
  </si>
  <si>
    <t>Lowville, N.Y. : The author, 1907.</t>
  </si>
  <si>
    <t>1907</t>
  </si>
  <si>
    <t>2003-02-21</t>
  </si>
  <si>
    <t>1994-04-18</t>
  </si>
  <si>
    <t>1600321:eng</t>
  </si>
  <si>
    <t>607241</t>
  </si>
  <si>
    <t>991003047059702656</t>
  </si>
  <si>
    <t>2262064830002656</t>
  </si>
  <si>
    <t>32285001888725</t>
  </si>
  <si>
    <t>893329901</t>
  </si>
  <si>
    <t>QK481 .S21 1926</t>
  </si>
  <si>
    <t>0                      QK 0481000S  21          1926</t>
  </si>
  <si>
    <t>Manual of the trees of North America (exclusive of Mexico) / with seven hundred and eighty-three illustrations by Charles Edward Faxon and Mary W. Gill.</t>
  </si>
  <si>
    <t>Sargent, Charles Sprague, 1841-1927.</t>
  </si>
  <si>
    <t>Boston : Houghton Mifflin, 1926.</t>
  </si>
  <si>
    <t>1926</t>
  </si>
  <si>
    <t>2d ed., reprinted with corrections.</t>
  </si>
  <si>
    <t>1994-12-14</t>
  </si>
  <si>
    <t>491333:eng</t>
  </si>
  <si>
    <t>4047863</t>
  </si>
  <si>
    <t>991004577249702656</t>
  </si>
  <si>
    <t>2270613410002656</t>
  </si>
  <si>
    <t>32285001982130</t>
  </si>
  <si>
    <t>893337882</t>
  </si>
  <si>
    <t>QK481 .V5 1970</t>
  </si>
  <si>
    <t>0                      QK 0481000V  5           1970</t>
  </si>
  <si>
    <t>Trees, shrubs and vines : a pictorial guide to the ornamental woody plants of the Northern United States exclusive of conifers / [by] Arthur T. Viertel.</t>
  </si>
  <si>
    <t>Viertel, Arthur T.</t>
  </si>
  <si>
    <t>[Syracuse, N.Y.] : Syracuse University Press, [1970]</t>
  </si>
  <si>
    <t>1970</t>
  </si>
  <si>
    <t>1998-10-19</t>
  </si>
  <si>
    <t>1993-04-23</t>
  </si>
  <si>
    <t>477491:eng</t>
  </si>
  <si>
    <t>63401</t>
  </si>
  <si>
    <t>991000188999702656</t>
  </si>
  <si>
    <t>2255978810002656</t>
  </si>
  <si>
    <t>9780815600688</t>
  </si>
  <si>
    <t>32285001623775</t>
  </si>
  <si>
    <t>893261391</t>
  </si>
  <si>
    <t>QK482 .C27 1964</t>
  </si>
  <si>
    <t>0                      QK 0482000C  27          1964</t>
  </si>
  <si>
    <t>Knowing your trees / by G. H. Collingwood and Warren D. Brush.</t>
  </si>
  <si>
    <t>Collingwood, G. H. (George Harris), 1890-1958.</t>
  </si>
  <si>
    <t>Washington : American Forestry Association, 1964 [i.e. 1965, c1964]</t>
  </si>
  <si>
    <t>1965</t>
  </si>
  <si>
    <t>Rev. and edited by Devereux Butcher. With more than 900 illus. showing typical trees and their leaves, bark, flowers, and fruits.</t>
  </si>
  <si>
    <t>dcu</t>
  </si>
  <si>
    <t>433457:eng</t>
  </si>
  <si>
    <t>5105291</t>
  </si>
  <si>
    <t>991004780659702656</t>
  </si>
  <si>
    <t>2267124200002656</t>
  </si>
  <si>
    <t>32285001888717</t>
  </si>
  <si>
    <t>893606467</t>
  </si>
  <si>
    <t>QK484.G7 S73 1973</t>
  </si>
  <si>
    <t>0                      QK 0484000G  7                  S  73          1973</t>
  </si>
  <si>
    <t>Woody plants of the North Central Plains / by H. A. Stephens.</t>
  </si>
  <si>
    <t>Stephens, H. A. (Homer A.)</t>
  </si>
  <si>
    <t>Lawrence : University Press of Kansas, [1973]</t>
  </si>
  <si>
    <t>ksu</t>
  </si>
  <si>
    <t>1994-04-06</t>
  </si>
  <si>
    <t>1992-06-02</t>
  </si>
  <si>
    <t>444113:eng</t>
  </si>
  <si>
    <t>834763</t>
  </si>
  <si>
    <t>991003310879702656</t>
  </si>
  <si>
    <t>2267365350002656</t>
  </si>
  <si>
    <t>9780700601073</t>
  </si>
  <si>
    <t>32285001125631</t>
  </si>
  <si>
    <t>893711250</t>
  </si>
  <si>
    <t>QK495.C74 H43</t>
  </si>
  <si>
    <t>0                      QK 0495000C  74                 H  43</t>
  </si>
  <si>
    <t>The sunflower / Charles B. Heiser, Jr.</t>
  </si>
  <si>
    <t>Heiser, Charles B. (Charles Bixler), 1920-</t>
  </si>
  <si>
    <t>Norman : University of Oklahoma Press, c1976.</t>
  </si>
  <si>
    <t>1976</t>
  </si>
  <si>
    <t>oku</t>
  </si>
  <si>
    <t>2005-04-27</t>
  </si>
  <si>
    <t>2067191:eng</t>
  </si>
  <si>
    <t>1093384</t>
  </si>
  <si>
    <t>991003530289702656</t>
  </si>
  <si>
    <t>2264851300002656</t>
  </si>
  <si>
    <t>9780806112299</t>
  </si>
  <si>
    <t>32285002937182</t>
  </si>
  <si>
    <t>893435089</t>
  </si>
  <si>
    <t>QK495.E68 S38 1992</t>
  </si>
  <si>
    <t>0                      QK 0495000E  68                 S  38          1992</t>
  </si>
  <si>
    <t>Ericas of South Africa / Dolf Schumann, Gerhard Kirsten, in collaboration with E.G.H. Oliver.</t>
  </si>
  <si>
    <t>Schumann, Dolf.</t>
  </si>
  <si>
    <t>Vlaeberg : Fernwood Press, 1992.</t>
  </si>
  <si>
    <t>1992</t>
  </si>
  <si>
    <t xml:space="preserve">sa </t>
  </si>
  <si>
    <t>2001-02-07</t>
  </si>
  <si>
    <t>2000-11-16</t>
  </si>
  <si>
    <t>28505120:eng</t>
  </si>
  <si>
    <t>26109619</t>
  </si>
  <si>
    <t>991003258239702656</t>
  </si>
  <si>
    <t>2272272220002656</t>
  </si>
  <si>
    <t>9780958315432</t>
  </si>
  <si>
    <t>32285004266499</t>
  </si>
  <si>
    <t>893348493</t>
  </si>
  <si>
    <t>QK495.G74 C422 1996</t>
  </si>
  <si>
    <t>0                      QK 0495000G  74                 C  422         1996</t>
  </si>
  <si>
    <t>The biology of grasses / G.P. Chapman.</t>
  </si>
  <si>
    <t>Chapman, G. P. (Geoffrey Peter)</t>
  </si>
  <si>
    <t>Wallingford : CAB International, c1996.</t>
  </si>
  <si>
    <t>1996</t>
  </si>
  <si>
    <t>1996-11-01</t>
  </si>
  <si>
    <t>339311857:eng</t>
  </si>
  <si>
    <t>36726815</t>
  </si>
  <si>
    <t>991002695549702656</t>
  </si>
  <si>
    <t>2259359680002656</t>
  </si>
  <si>
    <t>9780851991115</t>
  </si>
  <si>
    <t>32285002370806</t>
  </si>
  <si>
    <t>893773926</t>
  </si>
  <si>
    <t>QK495.G74 C592 1996</t>
  </si>
  <si>
    <t>0                      QK 0495000G  74                 C  592         1996</t>
  </si>
  <si>
    <t>Agnes Chase's first book of grasses : the structure of grasses explained for beginners / Lynn G. Clark and Richard W. Pohl.</t>
  </si>
  <si>
    <t>Clark, Lynn G.</t>
  </si>
  <si>
    <t>Washington : Smithsonian Institution Press, c1996.</t>
  </si>
  <si>
    <t>1997-09-18</t>
  </si>
  <si>
    <t>38177270:eng</t>
  </si>
  <si>
    <t>32891512</t>
  </si>
  <si>
    <t>991002529989702656</t>
  </si>
  <si>
    <t>2256621250002656</t>
  </si>
  <si>
    <t>9781560986560</t>
  </si>
  <si>
    <t>32285003176319</t>
  </si>
  <si>
    <t>893233079</t>
  </si>
  <si>
    <t>QK495.G74 G74</t>
  </si>
  <si>
    <t>0                      QK 0495000G  74                 G  74</t>
  </si>
  <si>
    <t>Grasses and grasslands : systematics and ecology / edited by James R. Estes, Ronald J. Tyrl, Jere N. Brunken.</t>
  </si>
  <si>
    <t>Norman : University of Oklahoma Press, c1982.</t>
  </si>
  <si>
    <t>1982</t>
  </si>
  <si>
    <t>2002-10-04</t>
  </si>
  <si>
    <t>795593792:eng</t>
  </si>
  <si>
    <t>7597309</t>
  </si>
  <si>
    <t>991005139419702656</t>
  </si>
  <si>
    <t>2255025490002656</t>
  </si>
  <si>
    <t>9780806117782</t>
  </si>
  <si>
    <t>32285001644193</t>
  </si>
  <si>
    <t>893719849</t>
  </si>
  <si>
    <t>QK495.G74 H5 1935</t>
  </si>
  <si>
    <t>0                      QK 0495000G  74                 H  5           1935</t>
  </si>
  <si>
    <t>Manual of the grasses of the United States / By A. S. Hitchcock.</t>
  </si>
  <si>
    <t>Hitchcock, A. S. (Albert Spear), 1865-1935.</t>
  </si>
  <si>
    <t>Washington : Government Printing Office, 1935.</t>
  </si>
  <si>
    <t>1935</t>
  </si>
  <si>
    <t>___</t>
  </si>
  <si>
    <t>U.S. Dept of agriculture. Miscellaneous publication no.200.</t>
  </si>
  <si>
    <t>8907727663:eng</t>
  </si>
  <si>
    <t>250374</t>
  </si>
  <si>
    <t>991001935289702656</t>
  </si>
  <si>
    <t>2266824940002656</t>
  </si>
  <si>
    <t>32285001644201</t>
  </si>
  <si>
    <t>893232395</t>
  </si>
  <si>
    <t>QK495.G74 P755 1998</t>
  </si>
  <si>
    <t>0                      QK 0495000G  74                 P  755         1998</t>
  </si>
  <si>
    <t>Population biology of grasses / edited by G.P. Cheplick.</t>
  </si>
  <si>
    <t>Cambridge, U.K. ; New York : Cambridge University Press, 1998.</t>
  </si>
  <si>
    <t>2004-07-16</t>
  </si>
  <si>
    <t>2002-01-08</t>
  </si>
  <si>
    <t>917503985:eng</t>
  </si>
  <si>
    <t>37211294</t>
  </si>
  <si>
    <t>991003666499702656</t>
  </si>
  <si>
    <t>2258833520002656</t>
  </si>
  <si>
    <t>9780521572057</t>
  </si>
  <si>
    <t>32285004446570</t>
  </si>
  <si>
    <t>893531456</t>
  </si>
  <si>
    <t>QK495.G8 S5 1981</t>
  </si>
  <si>
    <t>0                      QK 0495000G  8                  S  5           1981</t>
  </si>
  <si>
    <t>A key to the genera of grasses of the conterminous United States / by James Payne Smith, Jr.</t>
  </si>
  <si>
    <t>Eureka, Calif. : Mad River Press, 1981.</t>
  </si>
  <si>
    <t>6th ed.</t>
  </si>
  <si>
    <t>560862:eng</t>
  </si>
  <si>
    <t>8040450</t>
  </si>
  <si>
    <t>991005196029702656</t>
  </si>
  <si>
    <t>2255222330002656</t>
  </si>
  <si>
    <t>9780916422226</t>
  </si>
  <si>
    <t>32285001644227</t>
  </si>
  <si>
    <t>893242355</t>
  </si>
  <si>
    <t>QK495.L25 U67 2004</t>
  </si>
  <si>
    <t>0                      QK 0495000L  25                 U  67          2004</t>
  </si>
  <si>
    <t>The genus Lavandula / Tim Upson and Susyn Andrews ; with illustrations by Georita Harriott, Christabel King and Joanna Langhorne.</t>
  </si>
  <si>
    <t>Upson, Tim.</t>
  </si>
  <si>
    <t>Portland, Or. : Timber Press, 2004.</t>
  </si>
  <si>
    <t>Botanical magazine monograph</t>
  </si>
  <si>
    <t>2006-07-31</t>
  </si>
  <si>
    <t>733830:eng</t>
  </si>
  <si>
    <t>55965668</t>
  </si>
  <si>
    <t>991004852229702656</t>
  </si>
  <si>
    <t>2268146770002656</t>
  </si>
  <si>
    <t>9780881926422</t>
  </si>
  <si>
    <t>32285005198626</t>
  </si>
  <si>
    <t>893235993</t>
  </si>
  <si>
    <t>QK50 .A77 1995</t>
  </si>
  <si>
    <t>0                      QK 0050000A  77          1995</t>
  </si>
  <si>
    <t>The private life of plants : a natural history of plant behaviour / David Attenborough.</t>
  </si>
  <si>
    <t>Attenborough, David, 1926-</t>
  </si>
  <si>
    <t>Princeton, NJ : Princeton University Press, c1995.</t>
  </si>
  <si>
    <t>nju</t>
  </si>
  <si>
    <t>2008-05-21</t>
  </si>
  <si>
    <t>1996-04-23</t>
  </si>
  <si>
    <t>3863094819:eng</t>
  </si>
  <si>
    <t>32465059</t>
  </si>
  <si>
    <t>991002494219702656</t>
  </si>
  <si>
    <t>2268663550002656</t>
  </si>
  <si>
    <t>9780691006390</t>
  </si>
  <si>
    <t>32285002156197</t>
  </si>
  <si>
    <t>893898815</t>
  </si>
  <si>
    <t>QK50 .K59 2003</t>
  </si>
  <si>
    <t>0                      QK 0050000K  59          2003</t>
  </si>
  <si>
    <t>Plant discoveries : a botanist's voyage through plant exploration / Sandra Knapp.</t>
  </si>
  <si>
    <t>Knapp, Sandra.</t>
  </si>
  <si>
    <t>Buffalo, N.Y. : Firefly Books, 2003.</t>
  </si>
  <si>
    <t>2003</t>
  </si>
  <si>
    <t>2005-12-22</t>
  </si>
  <si>
    <t>2005-03-28</t>
  </si>
  <si>
    <t>770352:eng</t>
  </si>
  <si>
    <t>55625672</t>
  </si>
  <si>
    <t>991004513889702656</t>
  </si>
  <si>
    <t>2263935990002656</t>
  </si>
  <si>
    <t>9781552978108</t>
  </si>
  <si>
    <t>32285005044994</t>
  </si>
  <si>
    <t>893325462</t>
  </si>
  <si>
    <t>QK50 .W43</t>
  </si>
  <si>
    <t>0                      QK 0050000W  43</t>
  </si>
  <si>
    <t>The plants / by Frits W. Went and the editors of Time-Life Books.</t>
  </si>
  <si>
    <t>Went, F. W. (Frits Warmolt), 1903-1990.</t>
  </si>
  <si>
    <t>New York : Time-Life Books, 1968, c1963.</t>
  </si>
  <si>
    <t>Rev.</t>
  </si>
  <si>
    <t>Life nature library</t>
  </si>
  <si>
    <t>2003-02-20</t>
  </si>
  <si>
    <t>1992-11-13</t>
  </si>
  <si>
    <t>4820544862:eng</t>
  </si>
  <si>
    <t>2825447</t>
  </si>
  <si>
    <t>991004256049702656</t>
  </si>
  <si>
    <t>2256001840002656</t>
  </si>
  <si>
    <t>32285001384808</t>
  </si>
  <si>
    <t>893624517</t>
  </si>
  <si>
    <t>QK523.B69 F4</t>
  </si>
  <si>
    <t>0                      QK 0523000B  69                 F  4</t>
  </si>
  <si>
    <t>The ferns (Filicales) treated comparatively with a view to their natural classification. By F. O. Bower.</t>
  </si>
  <si>
    <t>Bower, F. O. (Frederick Orpen), 1855-1948.</t>
  </si>
  <si>
    <t>Cambridge [Eng.] University Press, 1923-28.</t>
  </si>
  <si>
    <t>1923</t>
  </si>
  <si>
    <t>Cambridge botanical handbooks</t>
  </si>
  <si>
    <t>2001-02-18</t>
  </si>
  <si>
    <t>4820429825:eng</t>
  </si>
  <si>
    <t>1153162</t>
  </si>
  <si>
    <t>991003575519702656</t>
  </si>
  <si>
    <t>2265167680002656</t>
  </si>
  <si>
    <t>32285002937257</t>
  </si>
  <si>
    <t>893705376</t>
  </si>
  <si>
    <t>32285002937240</t>
  </si>
  <si>
    <t>893699148</t>
  </si>
  <si>
    <t>32285002937232</t>
  </si>
  <si>
    <t>893717816</t>
  </si>
  <si>
    <t>QK525 .W6 1948</t>
  </si>
  <si>
    <t>0                      QK 0525000W  6           1948</t>
  </si>
  <si>
    <t>Guide to eastern ferns.</t>
  </si>
  <si>
    <t>Wherry, Edgar T. (Edgar Theodore), 1885-1982.</t>
  </si>
  <si>
    <t>Philadelphia, University of Pennsylvania Press, 1948 [c1942]</t>
  </si>
  <si>
    <t>1948</t>
  </si>
  <si>
    <t>[2d ed.]</t>
  </si>
  <si>
    <t>1975125:eng</t>
  </si>
  <si>
    <t>991793</t>
  </si>
  <si>
    <t>991003452699702656</t>
  </si>
  <si>
    <t>2256467250002656</t>
  </si>
  <si>
    <t>32285002937265</t>
  </si>
  <si>
    <t>893505582</t>
  </si>
  <si>
    <t>QK533 .W3</t>
  </si>
  <si>
    <t>0                      QK 0533000W  3</t>
  </si>
  <si>
    <t>The structure and life of bryophytes [by] E.V. Watson.</t>
  </si>
  <si>
    <t>Watson, E. Vernon (Eric Vernon), 1914-</t>
  </si>
  <si>
    <t>London, New York, Hutchinson University Library [1964]</t>
  </si>
  <si>
    <t>Hutchinson university library. Biological sciences</t>
  </si>
  <si>
    <t>1511853:eng</t>
  </si>
  <si>
    <t>423310</t>
  </si>
  <si>
    <t>991002747339702656</t>
  </si>
  <si>
    <t>2266560380002656</t>
  </si>
  <si>
    <t>32285002937273</t>
  </si>
  <si>
    <t>893603963</t>
  </si>
  <si>
    <t>QK565 .B56 1988</t>
  </si>
  <si>
    <t>0                      QK 0565000B  56          1988</t>
  </si>
  <si>
    <t>Biochemistry of the algae and cyanobacteria / edited by L.J. Rogers and J.R. Gallon.</t>
  </si>
  <si>
    <t>Oxford [Oxfordshire] ; New York : Clarendon Press, 1988.</t>
  </si>
  <si>
    <t>Annual proceedings of the Phytochemical Society of Europe ; v. 28</t>
  </si>
  <si>
    <t>2001-02-22</t>
  </si>
  <si>
    <t>355006582:eng</t>
  </si>
  <si>
    <t>17878384</t>
  </si>
  <si>
    <t>991001278099702656</t>
  </si>
  <si>
    <t>2267679030002656</t>
  </si>
  <si>
    <t>9780198542391</t>
  </si>
  <si>
    <t>32285001644268</t>
  </si>
  <si>
    <t>893772473</t>
  </si>
  <si>
    <t>QK566 .S68 1987</t>
  </si>
  <si>
    <t>0                      QK 0566000S  68          1987</t>
  </si>
  <si>
    <t>Introduction to phycology / G. Robin South, Alan Whittick.</t>
  </si>
  <si>
    <t>South, G. Robin (Graham Robin)</t>
  </si>
  <si>
    <t>Oxford [Oxfordshire] ; Boston : Blackwell Scientific Publications, 1987.</t>
  </si>
  <si>
    <t>1987</t>
  </si>
  <si>
    <t>2009-04-29</t>
  </si>
  <si>
    <t>10972273:eng</t>
  </si>
  <si>
    <t>16004978</t>
  </si>
  <si>
    <t>991001074529702656</t>
  </si>
  <si>
    <t>2271410580002656</t>
  </si>
  <si>
    <t>9780632017263</t>
  </si>
  <si>
    <t>32285001644292</t>
  </si>
  <si>
    <t>893897487</t>
  </si>
  <si>
    <t>QK567 .C45</t>
  </si>
  <si>
    <t>0                      QK 0567000C  45</t>
  </si>
  <si>
    <t>Seaweeds and their uses [by] V. J. Chapman.</t>
  </si>
  <si>
    <t>Chapman, V. J. (Valentine Jackson), 1910-1980.</t>
  </si>
  <si>
    <t>London, Methuen [1950]</t>
  </si>
  <si>
    <t>2005-11-29</t>
  </si>
  <si>
    <t>1168464:eng</t>
  </si>
  <si>
    <t>1226835</t>
  </si>
  <si>
    <t>991003633069702656</t>
  </si>
  <si>
    <t>2266666740002656</t>
  </si>
  <si>
    <t>32285002937323</t>
  </si>
  <si>
    <t>893598780</t>
  </si>
  <si>
    <t>QK567 .C45 1980</t>
  </si>
  <si>
    <t>0                      QK 0567000C  45          1980</t>
  </si>
  <si>
    <t>Seaweeds and their uses / V. J. Chapman ; with chapters by D.J. Chapman.</t>
  </si>
  <si>
    <t>London : Chapman and Hall ; New York : Chapman and Hall in association with Methuen, 1980.</t>
  </si>
  <si>
    <t>6961624</t>
  </si>
  <si>
    <t>991005066139702656</t>
  </si>
  <si>
    <t>2256788470002656</t>
  </si>
  <si>
    <t>9780412157400</t>
  </si>
  <si>
    <t>32285001644300</t>
  </si>
  <si>
    <t>893242138</t>
  </si>
  <si>
    <t>QK567 .P4 1984</t>
  </si>
  <si>
    <t>0                      QK 0567000P  4           1984</t>
  </si>
  <si>
    <t>Introduction to freshwater algae / by Allan Pentecost.</t>
  </si>
  <si>
    <t>Pentecost, Allan.</t>
  </si>
  <si>
    <t>Richmond, Surrey, Eng. : Richmond Pub. Co., 1984.</t>
  </si>
  <si>
    <t>1984</t>
  </si>
  <si>
    <t>2006-09-25</t>
  </si>
  <si>
    <t>1993-01-28</t>
  </si>
  <si>
    <t>4243170:eng</t>
  </si>
  <si>
    <t>11552509</t>
  </si>
  <si>
    <t>991000555719702656</t>
  </si>
  <si>
    <t>2263121220002656</t>
  </si>
  <si>
    <t>9780855461430</t>
  </si>
  <si>
    <t>32285001479327</t>
  </si>
  <si>
    <t>893432067</t>
  </si>
  <si>
    <t>QK569.C37 M4513 1999</t>
  </si>
  <si>
    <t>0                      QK 0569000C  37                 M  4513        1999</t>
  </si>
  <si>
    <t>Killer algae / Alexandre Meinesz ; translated by Daniel Simberloff ; with a foreword by David Quammen.</t>
  </si>
  <si>
    <t>Meinesz, Alexandre.</t>
  </si>
  <si>
    <t>Chicago : University of Chicago Press, 1999.</t>
  </si>
  <si>
    <t>2007-09-21</t>
  </si>
  <si>
    <t>1999-12-02</t>
  </si>
  <si>
    <t>27295600:eng</t>
  </si>
  <si>
    <t>41431708</t>
  </si>
  <si>
    <t>991003028419702656</t>
  </si>
  <si>
    <t>2271893890002656</t>
  </si>
  <si>
    <t>9780226519227</t>
  </si>
  <si>
    <t>32285003626933</t>
  </si>
  <si>
    <t>893415950</t>
  </si>
  <si>
    <t>QK571 .G8</t>
  </si>
  <si>
    <t>0                      QK 0571000G  8</t>
  </si>
  <si>
    <t>Seaweeds at ebb tide. Illustrated by Elizabeth L. Curtis.</t>
  </si>
  <si>
    <t>Guberlet, Muriel L. (Muriel Lewin)</t>
  </si>
  <si>
    <t>Seattle, University of Washington Press, 1956.</t>
  </si>
  <si>
    <t>1956</t>
  </si>
  <si>
    <t>wau</t>
  </si>
  <si>
    <t>1348916:eng</t>
  </si>
  <si>
    <t>254231</t>
  </si>
  <si>
    <t>991001972809702656</t>
  </si>
  <si>
    <t>2269344790002656</t>
  </si>
  <si>
    <t>32285002937356</t>
  </si>
  <si>
    <t>893779257</t>
  </si>
  <si>
    <t>QK581 .A35</t>
  </si>
  <si>
    <t>0                      QK 0581000A  35</t>
  </si>
  <si>
    <t>The lichen symbiosis.</t>
  </si>
  <si>
    <t>Ahmadjian, Vernon.</t>
  </si>
  <si>
    <t>Waltham, Mass., Blaisdell Pub. Co. [1967]</t>
  </si>
  <si>
    <t>1967</t>
  </si>
  <si>
    <t>A Blaisdell book in the pure and applied sciences</t>
  </si>
  <si>
    <t>2010-02-22</t>
  </si>
  <si>
    <t>340495:eng</t>
  </si>
  <si>
    <t>901964</t>
  </si>
  <si>
    <t>991003365849702656</t>
  </si>
  <si>
    <t>2265727130002656</t>
  </si>
  <si>
    <t>32285002937380</t>
  </si>
  <si>
    <t>893228004</t>
  </si>
  <si>
    <t>QK581 .H3</t>
  </si>
  <si>
    <t>0                      QK 0581000H  3</t>
  </si>
  <si>
    <t>The biology of lichens [by] Mason E. Hale.</t>
  </si>
  <si>
    <t>Hale, Mason E.</t>
  </si>
  <si>
    <t>London, Edward Arnold, 1967.</t>
  </si>
  <si>
    <t>Contemporary biology</t>
  </si>
  <si>
    <t>1353047:eng</t>
  </si>
  <si>
    <t>230580</t>
  </si>
  <si>
    <t>991001408569702656</t>
  </si>
  <si>
    <t>2269293640002656</t>
  </si>
  <si>
    <t>32285002937398</t>
  </si>
  <si>
    <t>893444678</t>
  </si>
  <si>
    <t>QK587.5.C6 F56</t>
  </si>
  <si>
    <t>0                      QK 0587500C  6                  F  56</t>
  </si>
  <si>
    <t>The influence of snow cover and soil moisture on bryophyte and lichen distribution, Niwot Ridge, Boulder County, Colorado / by JoAnn Walton Flock.</t>
  </si>
  <si>
    <t>Flock, JoAnn Walton.</t>
  </si>
  <si>
    <t>3436193:eng</t>
  </si>
  <si>
    <t>29715383</t>
  </si>
  <si>
    <t>991002293169702656</t>
  </si>
  <si>
    <t>2268242130002656</t>
  </si>
  <si>
    <t>32285002937422</t>
  </si>
  <si>
    <t>893251046</t>
  </si>
  <si>
    <t>QK601 .F86</t>
  </si>
  <si>
    <t>0                      QK 0601000F  86</t>
  </si>
  <si>
    <t>Fungal walls and hyphal growth : symposium of the British Mycological Society held at Queen Elizabeth College, London, April 1978 / edited by J. H. Burnett &amp; A. P. J. Trinci.</t>
  </si>
  <si>
    <t>Cambridge ; New York : Cambridge University Press, 1979.</t>
  </si>
  <si>
    <t>British Mycological Society symposium ; 2</t>
  </si>
  <si>
    <t>2000-02-19</t>
  </si>
  <si>
    <t>365688814:eng</t>
  </si>
  <si>
    <t>4569845</t>
  </si>
  <si>
    <t>991004681099702656</t>
  </si>
  <si>
    <t>2257195480002656</t>
  </si>
  <si>
    <t>9780521224994</t>
  </si>
  <si>
    <t>32285001644326</t>
  </si>
  <si>
    <t>893688017</t>
  </si>
  <si>
    <t>QK603 .A55</t>
  </si>
  <si>
    <t>0                      QK 0603000A  55</t>
  </si>
  <si>
    <t>Introductory mycology. Art work by Mrs. Sun Huang Sung.</t>
  </si>
  <si>
    <t>Alexopoulos, Constantine John, 1907-1986.</t>
  </si>
  <si>
    <t>New York, Wiley [1952]</t>
  </si>
  <si>
    <t>1952</t>
  </si>
  <si>
    <t>2005-03-24</t>
  </si>
  <si>
    <t>1998-02-16</t>
  </si>
  <si>
    <t>488347:eng</t>
  </si>
  <si>
    <t>1115687</t>
  </si>
  <si>
    <t>991003548359702656</t>
  </si>
  <si>
    <t>2267028980002656</t>
  </si>
  <si>
    <t>32285003261061</t>
  </si>
  <si>
    <t>893512080</t>
  </si>
  <si>
    <t>QK604.2.C64 F86 2005</t>
  </si>
  <si>
    <t>0                      QK 0604200C  64                 F  86          2005</t>
  </si>
  <si>
    <t>The Fungal community : its organization and role in the ecosystem / edited by John Dighton, James F. White, Peter Oudemans.</t>
  </si>
  <si>
    <t>Boca Raton, FL : Taylor &amp; Francis, 2005.</t>
  </si>
  <si>
    <t>2005</t>
  </si>
  <si>
    <t>3rd ed.</t>
  </si>
  <si>
    <t>flu</t>
  </si>
  <si>
    <t>Mycology series ; 23</t>
  </si>
  <si>
    <t>2006-03-15</t>
  </si>
  <si>
    <t>2006-03-06</t>
  </si>
  <si>
    <t>5616515029:eng</t>
  </si>
  <si>
    <t>56894398</t>
  </si>
  <si>
    <t>991004759789702656</t>
  </si>
  <si>
    <t>2262366190002656</t>
  </si>
  <si>
    <t>9780824723552</t>
  </si>
  <si>
    <t>32285005165666</t>
  </si>
  <si>
    <t>893332006</t>
  </si>
  <si>
    <t>QK617 .K8 1936</t>
  </si>
  <si>
    <t>0                      QK 0617000K  8           1936</t>
  </si>
  <si>
    <t>The mushroom handbook, by Louis C. C. Krieger ... illustrated by photographs and drawings by the author.</t>
  </si>
  <si>
    <t>Krieger, L. C. C. (Louis Charles Christopher), 1873-1940.</t>
  </si>
  <si>
    <t>New York, The Macmillan Company, 1936.</t>
  </si>
  <si>
    <t>1936</t>
  </si>
  <si>
    <t>2005-03-30</t>
  </si>
  <si>
    <t>1997-07-17</t>
  </si>
  <si>
    <t>1895867:eng</t>
  </si>
  <si>
    <t>1533896</t>
  </si>
  <si>
    <t>991003809379702656</t>
  </si>
  <si>
    <t>2270936330002656</t>
  </si>
  <si>
    <t>32285002937539</t>
  </si>
  <si>
    <t>893499744</t>
  </si>
  <si>
    <t>QK617 .L32 v...</t>
  </si>
  <si>
    <t>0                      QK 0617000L  32                                                      v...</t>
  </si>
  <si>
    <t>How to identify mushrooms to genus / by David L. Largent.</t>
  </si>
  <si>
    <t>V.5</t>
  </si>
  <si>
    <t>Largent, David L.</t>
  </si>
  <si>
    <t>Eureka, Calif. : Mad River Press, 1973-</t>
  </si>
  <si>
    <t>1997-02-09</t>
  </si>
  <si>
    <t>2864101740:eng</t>
  </si>
  <si>
    <t>3624312</t>
  </si>
  <si>
    <t>991004479559702656</t>
  </si>
  <si>
    <t>2272235470002656</t>
  </si>
  <si>
    <t>32285001644417</t>
  </si>
  <si>
    <t>893712647</t>
  </si>
  <si>
    <t>V.4</t>
  </si>
  <si>
    <t>32285001644409</t>
  </si>
  <si>
    <t>893722452</t>
  </si>
  <si>
    <t>32285001644391</t>
  </si>
  <si>
    <t>893718949</t>
  </si>
  <si>
    <t>32285001644383</t>
  </si>
  <si>
    <t>893712648</t>
  </si>
  <si>
    <t>32285001644375</t>
  </si>
  <si>
    <t>893700295</t>
  </si>
  <si>
    <t>QK617 .O77</t>
  </si>
  <si>
    <t>0                      QK 0617000O  77</t>
  </si>
  <si>
    <t>Mushrooms of Western North America / Robert T. Orr and Dorothy B. Orr ; drawings by Jacqueline Schonewald and Paul Vergeer, col. ill. by the authors.</t>
  </si>
  <si>
    <t>Orr, Robert T. (Robert Thomas), 1908-1994.</t>
  </si>
  <si>
    <t>Berkeley : University of California Press, c1979.</t>
  </si>
  <si>
    <t>California natural history guides ; 42</t>
  </si>
  <si>
    <t>355042154:eng</t>
  </si>
  <si>
    <t>6539034</t>
  </si>
  <si>
    <t>991005000379702656</t>
  </si>
  <si>
    <t>2261263880002656</t>
  </si>
  <si>
    <t>9780520036567</t>
  </si>
  <si>
    <t>32285001644425</t>
  </si>
  <si>
    <t>893326031</t>
  </si>
  <si>
    <t>QK617 .R33</t>
  </si>
  <si>
    <t>0                      QK 0617000R  33</t>
  </si>
  <si>
    <t>Mushrooms &amp; toadstools; a study of the activities of fungi, with 84 colour photos. by Paul L. de Laszlo and others.</t>
  </si>
  <si>
    <t>Ramsbottom, John, 1885-1974.</t>
  </si>
  <si>
    <t>London, Collins, 1953.</t>
  </si>
  <si>
    <t>1953</t>
  </si>
  <si>
    <t>The New naturalist; a survey of British natural history [7]</t>
  </si>
  <si>
    <t>2005-02-18</t>
  </si>
  <si>
    <t>836660052:eng</t>
  </si>
  <si>
    <t>657799</t>
  </si>
  <si>
    <t>991003112469702656</t>
  </si>
  <si>
    <t>2259888060002656</t>
  </si>
  <si>
    <t>32285002937547</t>
  </si>
  <si>
    <t>893227702</t>
  </si>
  <si>
    <t>QK617 .S56 1980</t>
  </si>
  <si>
    <t>0                      QK 0617000S  56          1980</t>
  </si>
  <si>
    <t>The mushroom hunter's field guide / Alexander H. Smith and Nancy Smith Weber.</t>
  </si>
  <si>
    <t>Smith, Alexander H. (Alexander Hanchett), 1904-1986.</t>
  </si>
  <si>
    <t>Ann Arbor : University of Michigan Press, c1980.</t>
  </si>
  <si>
    <t>All col. and enl.</t>
  </si>
  <si>
    <t>miu</t>
  </si>
  <si>
    <t>1992-12-10</t>
  </si>
  <si>
    <t>424161:eng</t>
  </si>
  <si>
    <t>6016061</t>
  </si>
  <si>
    <t>991004915349702656</t>
  </si>
  <si>
    <t>2269500340002656</t>
  </si>
  <si>
    <t>9780472856107</t>
  </si>
  <si>
    <t>32285001440618</t>
  </si>
  <si>
    <t>893870245</t>
  </si>
  <si>
    <t>QK617.5 .Y44 1983</t>
  </si>
  <si>
    <t>0                      QK 0617500Y  44          1983</t>
  </si>
  <si>
    <t>Yeast genetics : fundamental and applied aspects / edited by J.F.T. Spencer, Dorothy M. Spencer, and A.R.W. Smith ; with contributions by E.A. Bevan ... [et al.].</t>
  </si>
  <si>
    <t>New York : Springer-Verlag, c1983.</t>
  </si>
  <si>
    <t>1983</t>
  </si>
  <si>
    <t>Springer series in molecular biology</t>
  </si>
  <si>
    <t>2002-02-04</t>
  </si>
  <si>
    <t>4915874675:eng</t>
  </si>
  <si>
    <t>9488663</t>
  </si>
  <si>
    <t>991000299509702656</t>
  </si>
  <si>
    <t>2265290630002656</t>
  </si>
  <si>
    <t>9780387907932</t>
  </si>
  <si>
    <t>32285001644433</t>
  </si>
  <si>
    <t>893884279</t>
  </si>
  <si>
    <t>QK617.5 .Y477 1987, v.4</t>
  </si>
  <si>
    <t>0                      QK 0617500Y  477         1987                                        v.4</t>
  </si>
  <si>
    <t>Yeast organelles / edited by Anthony H. Rose, J. Stuart Harrison.</t>
  </si>
  <si>
    <t>London ; Orlando : Academic Press, 1991.</t>
  </si>
  <si>
    <t>1991</t>
  </si>
  <si>
    <t>2nd ed.</t>
  </si>
  <si>
    <t>The Yeasts ; v. 4</t>
  </si>
  <si>
    <t>3901270175:eng</t>
  </si>
  <si>
    <t>24146412</t>
  </si>
  <si>
    <t>991001912749702656</t>
  </si>
  <si>
    <t>2267910460002656</t>
  </si>
  <si>
    <t>9780125964142</t>
  </si>
  <si>
    <t>32285001115277</t>
  </si>
  <si>
    <t>893516667</t>
  </si>
  <si>
    <t>QK623.S23 M6 1991, v...</t>
  </si>
  <si>
    <t>0                      QK 0623000S  23                 M  6           1991                  v...</t>
  </si>
  <si>
    <t>The Molecular and cellular biology of the yeast Saccharomyces / edited by James R. Broach, John R. Pringle, Elizabeth W. Jones.</t>
  </si>
  <si>
    <t>Cold Spring Harbor, NY : Cole Spring Harbor Laboratory Press, c1991-</t>
  </si>
  <si>
    <t>Cold Spring Harbor monograph series ; 21-</t>
  </si>
  <si>
    <t>2002-02-17</t>
  </si>
  <si>
    <t>1997-10-01</t>
  </si>
  <si>
    <t>4039907584:eng</t>
  </si>
  <si>
    <t>22207415</t>
  </si>
  <si>
    <t>991001754719702656</t>
  </si>
  <si>
    <t>2256841020002656</t>
  </si>
  <si>
    <t>9780879693558</t>
  </si>
  <si>
    <t>32285003252011</t>
  </si>
  <si>
    <t>893426823</t>
  </si>
  <si>
    <t>1996-02-21</t>
  </si>
  <si>
    <t>32285002136918</t>
  </si>
  <si>
    <t>893426824</t>
  </si>
  <si>
    <t>QK623.S23 M64</t>
  </si>
  <si>
    <t>0                      QK 0623000S  23                 M  64</t>
  </si>
  <si>
    <t>The Molecular biology of the yeast saccharomyces, life cycle and inheritance / edited by Jeffrey N. Strathern, Elizabeth W. Jones, James R. Broach.</t>
  </si>
  <si>
    <t>Cold Spring Harbor, N.Y. : Cold Spring Harbor Laboratory, 1981.</t>
  </si>
  <si>
    <t>Cold Spring Harbor monograph series, 0270-1847 ; 11a</t>
  </si>
  <si>
    <t>1992-12-22</t>
  </si>
  <si>
    <t>4916581775:eng</t>
  </si>
  <si>
    <t>8034740</t>
  </si>
  <si>
    <t>991005195269702656</t>
  </si>
  <si>
    <t>2267561040002656</t>
  </si>
  <si>
    <t>9780879691394</t>
  </si>
  <si>
    <t>32285001471621</t>
  </si>
  <si>
    <t>893783177</t>
  </si>
  <si>
    <t>QK635 .B6 1967</t>
  </si>
  <si>
    <t>0                      QK 0635000B  6           1967</t>
  </si>
  <si>
    <t>The cellular slime molds.</t>
  </si>
  <si>
    <t>Bonner, John Tyler.</t>
  </si>
  <si>
    <t>Princeton, N.J., Princeton University Press, 1967.</t>
  </si>
  <si>
    <t>2d ed., rev. and augm.</t>
  </si>
  <si>
    <t>2005-03-03</t>
  </si>
  <si>
    <t>1375606:eng</t>
  </si>
  <si>
    <t>312535</t>
  </si>
  <si>
    <t>991002289399702656</t>
  </si>
  <si>
    <t>2271161940002656</t>
  </si>
  <si>
    <t>32285002937562</t>
  </si>
  <si>
    <t>893316630</t>
  </si>
  <si>
    <t>QK635 .G66</t>
  </si>
  <si>
    <t>0                      QK 0635000G  66</t>
  </si>
  <si>
    <t>Biology of the myxomycetes [by] William D. Gray [and] Constantine J. Alexopoulos.</t>
  </si>
  <si>
    <t>Gray, William Dudley, 1912-</t>
  </si>
  <si>
    <t>New York, Ronald Press Co. [1968]</t>
  </si>
  <si>
    <t>2004-02-22</t>
  </si>
  <si>
    <t>2643484009:eng</t>
  </si>
  <si>
    <t>371824</t>
  </si>
  <si>
    <t>991002561599702656</t>
  </si>
  <si>
    <t>2259951690002656</t>
  </si>
  <si>
    <t>32285002937570</t>
  </si>
  <si>
    <t>893341578</t>
  </si>
  <si>
    <t>QK635 .M13</t>
  </si>
  <si>
    <t>0                      QK 0635000M  13</t>
  </si>
  <si>
    <t>The Myxomycetes; a descriptive list of the known species with special reference to those occurring in North America, by Thomas H. Macbride and G.W. Martin ...</t>
  </si>
  <si>
    <t>Macbride, Thomas H. (Thomas Huston), 1848-1934.</t>
  </si>
  <si>
    <t>New York, The Macmillan Company, 1934.</t>
  </si>
  <si>
    <t>1934</t>
  </si>
  <si>
    <t>3855332667:eng</t>
  </si>
  <si>
    <t>1080651</t>
  </si>
  <si>
    <t>991003520509702656</t>
  </si>
  <si>
    <t>2268700600002656</t>
  </si>
  <si>
    <t>32285002937588</t>
  </si>
  <si>
    <t>893692796</t>
  </si>
  <si>
    <t>QK641 .B596</t>
  </si>
  <si>
    <t>0                      QK 0641000B  596</t>
  </si>
  <si>
    <t>Morphology of plants.</t>
  </si>
  <si>
    <t>Bold, Harold C. (Harold Charles), 1909-1987.</t>
  </si>
  <si>
    <t>New York, Harper [1957]</t>
  </si>
  <si>
    <t>1957</t>
  </si>
  <si>
    <t>2001-02-15</t>
  </si>
  <si>
    <t>1320080:eng</t>
  </si>
  <si>
    <t>1002853</t>
  </si>
  <si>
    <t>991003461149702656</t>
  </si>
  <si>
    <t>2257161330002656</t>
  </si>
  <si>
    <t>32285002937596</t>
  </si>
  <si>
    <t>893252381</t>
  </si>
  <si>
    <t>QK641 .E3 1947</t>
  </si>
  <si>
    <t>0                      QK 0641000E  3           1947</t>
  </si>
  <si>
    <t>An introduction to plant anatomy, by Arthur J. Eames and Laurence H. MacDaniels.</t>
  </si>
  <si>
    <t>Eames, Arthur J., 1881-1969.</t>
  </si>
  <si>
    <t>1947</t>
  </si>
  <si>
    <t>McGraw-Hill publications in the botanical sciences</t>
  </si>
  <si>
    <t>542491:eng</t>
  </si>
  <si>
    <t>350779</t>
  </si>
  <si>
    <t>991002443289702656</t>
  </si>
  <si>
    <t>2268848170002656</t>
  </si>
  <si>
    <t>32285003261079</t>
  </si>
  <si>
    <t>893262294</t>
  </si>
  <si>
    <t>QK641 .E33</t>
  </si>
  <si>
    <t>0                      QK 0641000E  33</t>
  </si>
  <si>
    <t>Morphology of vascular plants : lower groups (Psilophytales to Filicales) / by Arthur J. Eames.</t>
  </si>
  <si>
    <t>New York ; London : McGraw-Hill Book Company, inc., 1936.</t>
  </si>
  <si>
    <t>McGraw-Hill publications in the agricultural and botanical sciences</t>
  </si>
  <si>
    <t>1992-05-19</t>
  </si>
  <si>
    <t>1614604:eng</t>
  </si>
  <si>
    <t>873247</t>
  </si>
  <si>
    <t>991003341689702656</t>
  </si>
  <si>
    <t>2262051580002656</t>
  </si>
  <si>
    <t>32285001111391</t>
  </si>
  <si>
    <t>893705138</t>
  </si>
  <si>
    <t>QK641 .F6</t>
  </si>
  <si>
    <t>0                      QK 0641000F  6</t>
  </si>
  <si>
    <t>Comparative morphology of vascular plants, by Adriance S. Foster and Ernest M. Gifford, Jr. Drawings by Evan L. Gillespie.</t>
  </si>
  <si>
    <t>Foster, Adriance S. (Adriance Sherwood), 1901-1973.</t>
  </si>
  <si>
    <t>San Francisco, W. H. Freeman, 1959.</t>
  </si>
  <si>
    <t>1959</t>
  </si>
  <si>
    <t>A Series of books in biology</t>
  </si>
  <si>
    <t>447089:eng</t>
  </si>
  <si>
    <t>252848</t>
  </si>
  <si>
    <t>991001953329702656</t>
  </si>
  <si>
    <t>2270092240002656</t>
  </si>
  <si>
    <t>32285002937638</t>
  </si>
  <si>
    <t>893226264</t>
  </si>
  <si>
    <t>QK641 .H33</t>
  </si>
  <si>
    <t>0                      QK 0641000H  33</t>
  </si>
  <si>
    <t>Plant morphology.</t>
  </si>
  <si>
    <t>Haupt, Arthur W. (Arthur Wing), 1894-1987.</t>
  </si>
  <si>
    <t>New York, McGraw-Hill, 1953.</t>
  </si>
  <si>
    <t>2001-03-01</t>
  </si>
  <si>
    <t>1614597:eng</t>
  </si>
  <si>
    <t>555426</t>
  </si>
  <si>
    <t>991002981979702656</t>
  </si>
  <si>
    <t>2260355770002656</t>
  </si>
  <si>
    <t>32285002937646</t>
  </si>
  <si>
    <t>893774256</t>
  </si>
  <si>
    <t>QK641 .S5</t>
  </si>
  <si>
    <t>0                      QK 0641000S  5</t>
  </si>
  <si>
    <t>Plant morphogenesis.</t>
  </si>
  <si>
    <t>Sinnott, Edmund W. (Edmund Ware), 1888-1958.</t>
  </si>
  <si>
    <t>144189238:eng</t>
  </si>
  <si>
    <t>325141</t>
  </si>
  <si>
    <t>991002349939702656</t>
  </si>
  <si>
    <t>2271701730002656</t>
  </si>
  <si>
    <t>32285002937653</t>
  </si>
  <si>
    <t>893408995</t>
  </si>
  <si>
    <t>QK643.A5 E2</t>
  </si>
  <si>
    <t>0                      QK 0643000A  5                  E  2</t>
  </si>
  <si>
    <t>Morphology of the angiosperms.</t>
  </si>
  <si>
    <t>New York, McGraw-Hill, 1961.</t>
  </si>
  <si>
    <t>2002-01-02</t>
  </si>
  <si>
    <t>1419459:eng</t>
  </si>
  <si>
    <t>327546</t>
  </si>
  <si>
    <t>991002377559702656</t>
  </si>
  <si>
    <t>2272768060002656</t>
  </si>
  <si>
    <t>32285002937679</t>
  </si>
  <si>
    <t>893773539</t>
  </si>
  <si>
    <t>QK643.G99 S65</t>
  </si>
  <si>
    <t>0                      QK 0643000G  99                 S  65</t>
  </si>
  <si>
    <t>The morphology of gymnosperms; the structure and evolution of primitive seed-plants [by] K.R. Sporne.</t>
  </si>
  <si>
    <t>Sporne, K. R.</t>
  </si>
  <si>
    <t>London, Hutchinson University Library [1965]</t>
  </si>
  <si>
    <t>1102981193:eng</t>
  </si>
  <si>
    <t>307390</t>
  </si>
  <si>
    <t>991002267019702656</t>
  </si>
  <si>
    <t>2265723290002656</t>
  </si>
  <si>
    <t>32285002937687</t>
  </si>
  <si>
    <t>893251013</t>
  </si>
  <si>
    <t>QK644 .W54</t>
  </si>
  <si>
    <t>0                      QK 0644000W  54</t>
  </si>
  <si>
    <t>Roots : miracles below.</t>
  </si>
  <si>
    <t>Wilson, Charles Morrow, 1905-1977.</t>
  </si>
  <si>
    <t>Garden City, N.Y. : Doubleday, 1968.</t>
  </si>
  <si>
    <t>2008-09-08</t>
  </si>
  <si>
    <t>1994-06-29</t>
  </si>
  <si>
    <t>1565390:eng</t>
  </si>
  <si>
    <t>440154</t>
  </si>
  <si>
    <t>991002780789702656</t>
  </si>
  <si>
    <t>2256530470002656</t>
  </si>
  <si>
    <t>32285001935559</t>
  </si>
  <si>
    <t>893347923</t>
  </si>
  <si>
    <t>QK647 .J3</t>
  </si>
  <si>
    <t>0                      QK 0647000J  3</t>
  </si>
  <si>
    <t>The structure of wood.</t>
  </si>
  <si>
    <t>Jane, F. W. (Frank W.)</t>
  </si>
  <si>
    <t>London : A. &amp; C. Black, [1956]</t>
  </si>
  <si>
    <t>2008-05-19</t>
  </si>
  <si>
    <t>1990-02-21</t>
  </si>
  <si>
    <t>1289767:eng</t>
  </si>
  <si>
    <t>3389245</t>
  </si>
  <si>
    <t>991004422629702656</t>
  </si>
  <si>
    <t>2258154140002656</t>
  </si>
  <si>
    <t>32285000044122</t>
  </si>
  <si>
    <t>893532374</t>
  </si>
  <si>
    <t>QK653 .M68 1994</t>
  </si>
  <si>
    <t>0                      QK 0653000M  68          1994</t>
  </si>
  <si>
    <t>Molecular and cellular aspects of plant reproduction / edited by R.J. Scott, A.D. Stead.</t>
  </si>
  <si>
    <t>Cambridge ; New York : Cambridge University Press, 1994.</t>
  </si>
  <si>
    <t>1994</t>
  </si>
  <si>
    <t>Seminar series / Society for Experimental Biology ; 55</t>
  </si>
  <si>
    <t>2008-03-25</t>
  </si>
  <si>
    <t>1995-07-23</t>
  </si>
  <si>
    <t>365346041:eng</t>
  </si>
  <si>
    <t>30625777</t>
  </si>
  <si>
    <t>991002354119702656</t>
  </si>
  <si>
    <t>2260908860002656</t>
  </si>
  <si>
    <t>9780521455251</t>
  </si>
  <si>
    <t>32285002075793</t>
  </si>
  <si>
    <t>893792354</t>
  </si>
  <si>
    <t>QK658 .S52</t>
  </si>
  <si>
    <t>0                      QK 0658000S  52</t>
  </si>
  <si>
    <t>Collection of ten articles / by A.N. Sladkov.</t>
  </si>
  <si>
    <t>Sladkov, A. N. (Artemiĭ Nikolaevich)</t>
  </si>
  <si>
    <t>Jerusalem : Published pursuant to an agreement with the Smithsonian Institution and the National Science Foundation, Washington, D.C., by the Israel Program for Scientific Translations ; Springfield, Va. : Available from the U.S. Dept. of Commerce, Clearinghouse for Federal Scientific and Technical Information, 1969.</t>
  </si>
  <si>
    <t>1969</t>
  </si>
  <si>
    <t xml:space="preserve">is </t>
  </si>
  <si>
    <t>1059088957:eng</t>
  </si>
  <si>
    <t>13064264</t>
  </si>
  <si>
    <t>991000775809702656</t>
  </si>
  <si>
    <t>2257013130002656</t>
  </si>
  <si>
    <t>32285002937703</t>
  </si>
  <si>
    <t>893796977</t>
  </si>
  <si>
    <t>QK660 .B313</t>
  </si>
  <si>
    <t>0                      QK 0660000B  313</t>
  </si>
  <si>
    <t>Nature as designer: a botanical art study. [Translated by Albert Read]</t>
  </si>
  <si>
    <t>Bager, Bertel, 1890-1960.</t>
  </si>
  <si>
    <t>New York, Reinhold Pub. Corp. [1966]</t>
  </si>
  <si>
    <t>1869998090:eng</t>
  </si>
  <si>
    <t>167720</t>
  </si>
  <si>
    <t>991000954829702656</t>
  </si>
  <si>
    <t>2272700760002656</t>
  </si>
  <si>
    <t>32285002937711</t>
  </si>
  <si>
    <t>893791026</t>
  </si>
  <si>
    <t>QK662 .S9</t>
  </si>
  <si>
    <t>0                      QK 0662000S  9</t>
  </si>
  <si>
    <t>Spores, their dormancy and germination [by] Alfred S. Sussman [and] Harlyn O. Halvorson.</t>
  </si>
  <si>
    <t>Sussman, Alfred S.</t>
  </si>
  <si>
    <t>New York, Harper &amp; Row [1966]</t>
  </si>
  <si>
    <t>2120769:eng</t>
  </si>
  <si>
    <t>1175581</t>
  </si>
  <si>
    <t>991003595209702656</t>
  </si>
  <si>
    <t>2271871630002656</t>
  </si>
  <si>
    <t>32285002937752</t>
  </si>
  <si>
    <t>893499462</t>
  </si>
  <si>
    <t>QK665 .M22</t>
  </si>
  <si>
    <t>0                      QK 0665000M  22</t>
  </si>
  <si>
    <t>An introduction to the embryology of angiosperms / by P. Maheshwari.</t>
  </si>
  <si>
    <t>Maheshwari, P. (Panchanan), 1904-1966.</t>
  </si>
  <si>
    <t>New York : McGraw-Hill, 1950.</t>
  </si>
  <si>
    <t>2001-07-24</t>
  </si>
  <si>
    <t>2000-02-01</t>
  </si>
  <si>
    <t>1614569:eng</t>
  </si>
  <si>
    <t>555419</t>
  </si>
  <si>
    <t>991002981939702656</t>
  </si>
  <si>
    <t>2260356860002656</t>
  </si>
  <si>
    <t>32285003657615</t>
  </si>
  <si>
    <t>893692236</t>
  </si>
  <si>
    <t>QK665 .S79 1989</t>
  </si>
  <si>
    <t>0                      QK 0665000S  79          1989</t>
  </si>
  <si>
    <t>Patterns in plant development / Taylor A. Steeves, Ian M. Sussex.</t>
  </si>
  <si>
    <t>Steeves, Taylor A., 1926-</t>
  </si>
  <si>
    <t>Cambridge [England] ; New York : Cambridge University Press, 1989.</t>
  </si>
  <si>
    <t>1989</t>
  </si>
  <si>
    <t>2001-04-11</t>
  </si>
  <si>
    <t>1990-08-01</t>
  </si>
  <si>
    <t>1565777:eng</t>
  </si>
  <si>
    <t>17478773</t>
  </si>
  <si>
    <t>991001221779702656</t>
  </si>
  <si>
    <t>2270252070002656</t>
  </si>
  <si>
    <t>9780521288958</t>
  </si>
  <si>
    <t>32285000241181</t>
  </si>
  <si>
    <t>893225708</t>
  </si>
  <si>
    <t>QK671 .E8 1965</t>
  </si>
  <si>
    <t>0                      QK 0671000E  8           1965</t>
  </si>
  <si>
    <t>Plant anatomy / Katherine Esau.</t>
  </si>
  <si>
    <t>Esau, Katherine, 1898-1997.</t>
  </si>
  <si>
    <t>New York : Wiley, [1965]</t>
  </si>
  <si>
    <t>1995-08-16</t>
  </si>
  <si>
    <t>131808520:eng</t>
  </si>
  <si>
    <t>327933</t>
  </si>
  <si>
    <t>991002378819702656</t>
  </si>
  <si>
    <t>2272575110002656</t>
  </si>
  <si>
    <t>32285002064896</t>
  </si>
  <si>
    <t>893591276</t>
  </si>
  <si>
    <t>QK673 .C44 1924</t>
  </si>
  <si>
    <t>0                      QK 0673000C  44          1924</t>
  </si>
  <si>
    <t>Methods in plant histology / by Charles J. Chamberlain.</t>
  </si>
  <si>
    <t>Chamberlain, Charles Joseph, 1863-1943.</t>
  </si>
  <si>
    <t>Chicago : University of Chicago Press, 1924.</t>
  </si>
  <si>
    <t>1924</t>
  </si>
  <si>
    <t>4th rev. ed.</t>
  </si>
  <si>
    <t>1829586:eng</t>
  </si>
  <si>
    <t>18572370</t>
  </si>
  <si>
    <t>991001371119702656</t>
  </si>
  <si>
    <t>2271668130002656</t>
  </si>
  <si>
    <t>32285002937786</t>
  </si>
  <si>
    <t>893509574</t>
  </si>
  <si>
    <t>QK7 .M37 1988</t>
  </si>
  <si>
    <t>0                      QK 0007000M  37          1988</t>
  </si>
  <si>
    <t>The Marshall Cavendish illustrated encyclopedia of plants and earth sciences / editor-in-chief, David M. Moore.</t>
  </si>
  <si>
    <t>V.7</t>
  </si>
  <si>
    <t>New York : Marshall Cavendish, 1988.</t>
  </si>
  <si>
    <t>1997-02-23</t>
  </si>
  <si>
    <t>1990-06-29</t>
  </si>
  <si>
    <t>55007961:eng</t>
  </si>
  <si>
    <t>16580750</t>
  </si>
  <si>
    <t>991001120959702656</t>
  </si>
  <si>
    <t>2260362980002656</t>
  </si>
  <si>
    <t>9780863079016</t>
  </si>
  <si>
    <t>32285000207364</t>
  </si>
  <si>
    <t>893321644</t>
  </si>
  <si>
    <t>32285000207349</t>
  </si>
  <si>
    <t>893346254</t>
  </si>
  <si>
    <t>V.10</t>
  </si>
  <si>
    <t>32285000207398</t>
  </si>
  <si>
    <t>893334072</t>
  </si>
  <si>
    <t>V.6</t>
  </si>
  <si>
    <t>2001-03-28</t>
  </si>
  <si>
    <t>32285000207356</t>
  </si>
  <si>
    <t>893334073</t>
  </si>
  <si>
    <t>32285000207380</t>
  </si>
  <si>
    <t>893321645</t>
  </si>
  <si>
    <t>32285000207315</t>
  </si>
  <si>
    <t>893346255</t>
  </si>
  <si>
    <t>32285000207331</t>
  </si>
  <si>
    <t>893334074</t>
  </si>
  <si>
    <t>32285000207323</t>
  </si>
  <si>
    <t>893315535</t>
  </si>
  <si>
    <t>32285000207307</t>
  </si>
  <si>
    <t>893334071</t>
  </si>
  <si>
    <t>V.8</t>
  </si>
  <si>
    <t>32285000207372</t>
  </si>
  <si>
    <t>893327855</t>
  </si>
  <si>
    <t>QK711.2 .A38 1987</t>
  </si>
  <si>
    <t>0                      QK 0711200A  38          1987</t>
  </si>
  <si>
    <t>Advanced plant physiology / edited by Malcolm B. Wilkins.</t>
  </si>
  <si>
    <t>Essex, England : Longman Scientific &amp; Technical ; New York : J. Wiley, 1987, c1984.</t>
  </si>
  <si>
    <t>2008-02-19</t>
  </si>
  <si>
    <t>1992-06-01</t>
  </si>
  <si>
    <t>54605284:eng</t>
  </si>
  <si>
    <t>18351819</t>
  </si>
  <si>
    <t>991001336699702656</t>
  </si>
  <si>
    <t>2265666340002656</t>
  </si>
  <si>
    <t>9780582015951</t>
  </si>
  <si>
    <t>32285001114486</t>
  </si>
  <si>
    <t>893346426</t>
  </si>
  <si>
    <t>QK711.2 .F566 1987</t>
  </si>
  <si>
    <t>0                      QK 0711200F  566         1987</t>
  </si>
  <si>
    <t>Environmental physiology of plants / A.H. Fitter, R.K.M. Hay.</t>
  </si>
  <si>
    <t>Fitter, Alastair.</t>
  </si>
  <si>
    <t>London ; San Diego : Academic Press, 1987.</t>
  </si>
  <si>
    <t>2000-02-14</t>
  </si>
  <si>
    <t>1992-02-19</t>
  </si>
  <si>
    <t>9349805839:eng</t>
  </si>
  <si>
    <t>16468459</t>
  </si>
  <si>
    <t>991001283199702656</t>
  </si>
  <si>
    <t>2261194500002656</t>
  </si>
  <si>
    <t>9780122577642</t>
  </si>
  <si>
    <t>32285000980747</t>
  </si>
  <si>
    <t>893426491</t>
  </si>
  <si>
    <t>QK725 .H597 1984</t>
  </si>
  <si>
    <t>0                      QK 0725000H  597         1984</t>
  </si>
  <si>
    <t>Chloroplasts / J. Kenneth Hoober.</t>
  </si>
  <si>
    <t>Hoober, J. Kenneth, 1938-</t>
  </si>
  <si>
    <t>New York : Plenum Press, c1984.</t>
  </si>
  <si>
    <t>Cellular organelles</t>
  </si>
  <si>
    <t>2008-02-22</t>
  </si>
  <si>
    <t>1993-05-17</t>
  </si>
  <si>
    <t>3430155:eng</t>
  </si>
  <si>
    <t>10778406</t>
  </si>
  <si>
    <t>991005404139702656</t>
  </si>
  <si>
    <t>2268011310002656</t>
  </si>
  <si>
    <t>9780306416439</t>
  </si>
  <si>
    <t>32285001644490</t>
  </si>
  <si>
    <t>893536631</t>
  </si>
  <si>
    <t>QK73.U62 N49 2007</t>
  </si>
  <si>
    <t>0                      QK 0073000U  62                 N  49          2007</t>
  </si>
  <si>
    <t>Knowledge, truth, and service : the New York Botanical Garden, 1891 to 1980 / Harry M. Dunkak.</t>
  </si>
  <si>
    <t>Dunkak, Harry M., 1929-</t>
  </si>
  <si>
    <t>Lanham : University Press of America, c2007.</t>
  </si>
  <si>
    <t>2007</t>
  </si>
  <si>
    <t>mdu</t>
  </si>
  <si>
    <t>2007-11-13</t>
  </si>
  <si>
    <t>2286753741:eng</t>
  </si>
  <si>
    <t>156822440</t>
  </si>
  <si>
    <t>991005142869702656</t>
  </si>
  <si>
    <t>2266318040002656</t>
  </si>
  <si>
    <t>9780761838395</t>
  </si>
  <si>
    <t>32285005366959</t>
  </si>
  <si>
    <t>893594541</t>
  </si>
  <si>
    <t>QK731 .E89</t>
  </si>
  <si>
    <t>0                      QK 0731000E  89</t>
  </si>
  <si>
    <t>The quantitative analysis of plant growth [by] G. Clifford Evans.</t>
  </si>
  <si>
    <t>Evans, G. Clifford (George Clifford)</t>
  </si>
  <si>
    <t>Berkeley, University of California Press, 1972.</t>
  </si>
  <si>
    <t>Studies in ecology, v. 1</t>
  </si>
  <si>
    <t>1453701:eng</t>
  </si>
  <si>
    <t>410484</t>
  </si>
  <si>
    <t>991002713369702656</t>
  </si>
  <si>
    <t>2262525690002656</t>
  </si>
  <si>
    <t>9780520094321</t>
  </si>
  <si>
    <t>32285002937919</t>
  </si>
  <si>
    <t>893335632</t>
  </si>
  <si>
    <t>QK731 .L44</t>
  </si>
  <si>
    <t>0                      QK 0731000L  44</t>
  </si>
  <si>
    <t>Plant growth and development [by] A. Carl Leopold.</t>
  </si>
  <si>
    <t>Leopold, A. Carl (Aldo Carl), 1919-2009.</t>
  </si>
  <si>
    <t>New York, McGraw-Hill [1964]</t>
  </si>
  <si>
    <t>McGraw-Hill publications in the biological sciences</t>
  </si>
  <si>
    <t>462249483:eng</t>
  </si>
  <si>
    <t>555432</t>
  </si>
  <si>
    <t>991002982049702656</t>
  </si>
  <si>
    <t>2260353710002656</t>
  </si>
  <si>
    <t>32285002937935</t>
  </si>
  <si>
    <t>893899488</t>
  </si>
  <si>
    <t>QK731 .R26 2000</t>
  </si>
  <si>
    <t>0                      QK 0731000R  26          2000</t>
  </si>
  <si>
    <t>Developmental biology of flowering plants / V. Raghavan.</t>
  </si>
  <si>
    <t>Raghavan, V. (Valayamghat), 1931-</t>
  </si>
  <si>
    <t>New York : Springer, c2000.</t>
  </si>
  <si>
    <t>2001-05-09</t>
  </si>
  <si>
    <t>20861338:eng</t>
  </si>
  <si>
    <t>40588356</t>
  </si>
  <si>
    <t>991003511189702656</t>
  </si>
  <si>
    <t>2260469440002656</t>
  </si>
  <si>
    <t>9780387987811</t>
  </si>
  <si>
    <t>32285004316690</t>
  </si>
  <si>
    <t>893781081</t>
  </si>
  <si>
    <t>QK745 .E88</t>
  </si>
  <si>
    <t>0                      QK 0745000E  88</t>
  </si>
  <si>
    <t>Environmental control of plant growth; proceedings of a symposium held at Canberra, Australia, August, 1962.</t>
  </si>
  <si>
    <t>Evans, L. T., editor.</t>
  </si>
  <si>
    <t>New York, Academic Press, 1963.</t>
  </si>
  <si>
    <t>198178531:eng</t>
  </si>
  <si>
    <t>555266</t>
  </si>
  <si>
    <t>991002981619702656</t>
  </si>
  <si>
    <t>2260403180002656</t>
  </si>
  <si>
    <t>32285002937984</t>
  </si>
  <si>
    <t>893227542</t>
  </si>
  <si>
    <t>QK753.C3 C37 1996</t>
  </si>
  <si>
    <t>0                      QK 0753000C  3                  C  37          1996</t>
  </si>
  <si>
    <t>Carbon dioxide and terrestrial ecosystems / edited by George W. Koch, Harold A. Mooney.</t>
  </si>
  <si>
    <t>San Diego : Academic Press, 1996.</t>
  </si>
  <si>
    <t>Physiological ecology series</t>
  </si>
  <si>
    <t>2010-02-23</t>
  </si>
  <si>
    <t>1997-09-09</t>
  </si>
  <si>
    <t>766881590:eng</t>
  </si>
  <si>
    <t>32739485</t>
  </si>
  <si>
    <t>991002517219702656</t>
  </si>
  <si>
    <t>2271948580002656</t>
  </si>
  <si>
    <t>9780125052955</t>
  </si>
  <si>
    <t>32285003004586</t>
  </si>
  <si>
    <t>893597550</t>
  </si>
  <si>
    <t>QK754 .L42</t>
  </si>
  <si>
    <t>0                      QK 0754000L  42</t>
  </si>
  <si>
    <t>Responses of plants to environmental stresses / [by] J. Levitt.</t>
  </si>
  <si>
    <t>Levitt, J. (Jacob), 1911-1990.</t>
  </si>
  <si>
    <t>New York : Academic Press, 1972.</t>
  </si>
  <si>
    <t>Physiological ecology</t>
  </si>
  <si>
    <t>1990-05-10</t>
  </si>
  <si>
    <t>4918264654:eng</t>
  </si>
  <si>
    <t>480891</t>
  </si>
  <si>
    <t>991002838019702656</t>
  </si>
  <si>
    <t>2270903070002656</t>
  </si>
  <si>
    <t>9780124455603</t>
  </si>
  <si>
    <t>32285000139237</t>
  </si>
  <si>
    <t>893341914</t>
  </si>
  <si>
    <t>QK754.5 .B66 2002</t>
  </si>
  <si>
    <t>0                      QK 0754500B  66          2002</t>
  </si>
  <si>
    <t>Ecological climatology : concepts and applications / Gordon B. Bonan.</t>
  </si>
  <si>
    <t>Bonan, Gordon B.</t>
  </si>
  <si>
    <t>New York : Cambridge University Press, 2002.</t>
  </si>
  <si>
    <t>2002</t>
  </si>
  <si>
    <t>2004-11-02</t>
  </si>
  <si>
    <t>837082424:eng</t>
  </si>
  <si>
    <t>48123464</t>
  </si>
  <si>
    <t>991004397789702656</t>
  </si>
  <si>
    <t>2259369290002656</t>
  </si>
  <si>
    <t>9780521800327</t>
  </si>
  <si>
    <t>32285005008262</t>
  </si>
  <si>
    <t>893894946</t>
  </si>
  <si>
    <t>QK757 .P57</t>
  </si>
  <si>
    <t>0                      QK 0757000P  57</t>
  </si>
  <si>
    <t>Plants and the daylight spectrum / Edited by H. Smith.</t>
  </si>
  <si>
    <t>2001-04-19</t>
  </si>
  <si>
    <t>409799:eng</t>
  </si>
  <si>
    <t>8331568</t>
  </si>
  <si>
    <t>991005231239702656</t>
  </si>
  <si>
    <t>2261903010002656</t>
  </si>
  <si>
    <t>9780126509809</t>
  </si>
  <si>
    <t>32285001644581</t>
  </si>
  <si>
    <t>893801971</t>
  </si>
  <si>
    <t>QK757 .V43</t>
  </si>
  <si>
    <t>0                      QK 0757000V  43</t>
  </si>
  <si>
    <t>Light and plant growth / by R. van der Veen and G. Meijer.</t>
  </si>
  <si>
    <t>Veen, R. van der.</t>
  </si>
  <si>
    <t>[Eindhoven, Holland] : Philips' Technical Library, 1959.</t>
  </si>
  <si>
    <t xml:space="preserve">ne </t>
  </si>
  <si>
    <t>1990-05-30</t>
  </si>
  <si>
    <t>1614472:eng</t>
  </si>
  <si>
    <t>555379</t>
  </si>
  <si>
    <t>991002981829702656</t>
  </si>
  <si>
    <t>2260377310002656</t>
  </si>
  <si>
    <t>32285000159847</t>
  </si>
  <si>
    <t>893518023</t>
  </si>
  <si>
    <t>QK771 .D22 1966</t>
  </si>
  <si>
    <t>0                      QK 0771000D  22          1966</t>
  </si>
  <si>
    <t>The power of movement in plants, by Charles Darwin. Assisted by Francis Darwin. With a pref. by Barbara Gillespie Pickard.</t>
  </si>
  <si>
    <t>Darwin, Charles, 1809-1882.</t>
  </si>
  <si>
    <t>New York, Da Capo Press, 1966.</t>
  </si>
  <si>
    <t>2009-11-19</t>
  </si>
  <si>
    <t>4928352154:eng</t>
  </si>
  <si>
    <t>1141394</t>
  </si>
  <si>
    <t>991003567699702656</t>
  </si>
  <si>
    <t>2264864950002656</t>
  </si>
  <si>
    <t>32285002938040</t>
  </si>
  <si>
    <t>893686659</t>
  </si>
  <si>
    <t>QK825 .C6 1914a</t>
  </si>
  <si>
    <t>0                      QK 0825000C  6           1914a</t>
  </si>
  <si>
    <t>Evolution of sex in plants. With a new introd. by Francis Drouet.</t>
  </si>
  <si>
    <t>New York, Hafner Press [1973]</t>
  </si>
  <si>
    <t>2006-02-21</t>
  </si>
  <si>
    <t>1784231:eng</t>
  </si>
  <si>
    <t>799846</t>
  </si>
  <si>
    <t>991003275689702656</t>
  </si>
  <si>
    <t>2266797400002656</t>
  </si>
  <si>
    <t>9780028432304</t>
  </si>
  <si>
    <t>32285002938057</t>
  </si>
  <si>
    <t>893352756</t>
  </si>
  <si>
    <t>QK825 .W54 1983</t>
  </si>
  <si>
    <t>0                      QK 0825000W  54          1983</t>
  </si>
  <si>
    <t>Plant reproductive ecology / Mary F. Willson.</t>
  </si>
  <si>
    <t>Willson, Mary F.</t>
  </si>
  <si>
    <t>New York : Wiley, c1983.</t>
  </si>
  <si>
    <t>2004-02-25</t>
  </si>
  <si>
    <t>43053232:eng</t>
  </si>
  <si>
    <t>9110506</t>
  </si>
  <si>
    <t>991000129599702656</t>
  </si>
  <si>
    <t>2268551920002656</t>
  </si>
  <si>
    <t>9780471083627</t>
  </si>
  <si>
    <t>32285001644607</t>
  </si>
  <si>
    <t>893515037</t>
  </si>
  <si>
    <t>QK827 .E26 1992</t>
  </si>
  <si>
    <t>0                      QK 0827000E  26          1992</t>
  </si>
  <si>
    <t>Ecology and evolution of plant reproduction / edited by Robert Wyatt.</t>
  </si>
  <si>
    <t>New York : Chapman &amp; Hall, 1992.</t>
  </si>
  <si>
    <t>1994-05-06</t>
  </si>
  <si>
    <t>4202445056:eng</t>
  </si>
  <si>
    <t>26400389</t>
  </si>
  <si>
    <t>991002064399702656</t>
  </si>
  <si>
    <t>2267973030002656</t>
  </si>
  <si>
    <t>9780412030215</t>
  </si>
  <si>
    <t>32285001878197</t>
  </si>
  <si>
    <t>893798131</t>
  </si>
  <si>
    <t>QK827 .W646 1983</t>
  </si>
  <si>
    <t>0                      QK 0827000W  646         1983</t>
  </si>
  <si>
    <t>Mate choice in plants : tactics, mechanisms, and consequences / Mary F. Willson and Nancy Burley.</t>
  </si>
  <si>
    <t>Princeton, N.J. : Princeton University Press, 1983.</t>
  </si>
  <si>
    <t>Monographs in population biology ; 19</t>
  </si>
  <si>
    <t>836721929:eng</t>
  </si>
  <si>
    <t>9441398</t>
  </si>
  <si>
    <t>991000196139702656</t>
  </si>
  <si>
    <t>2264876580002656</t>
  </si>
  <si>
    <t>9780691083346</t>
  </si>
  <si>
    <t>32285001644615</t>
  </si>
  <si>
    <t>893339378</t>
  </si>
  <si>
    <t>QK844 .R67 2008</t>
  </si>
  <si>
    <t>0                      QK 0844000R  67          2008</t>
  </si>
  <si>
    <t>Fluorescing world of plant secreting cells / Victoria V. Roshchina.</t>
  </si>
  <si>
    <t>Roshchina, V. V. (Viktorii͡a Vladimirovna)</t>
  </si>
  <si>
    <t>Enfield, NH : Science Publishers, c2008.</t>
  </si>
  <si>
    <t>nhu</t>
  </si>
  <si>
    <t>2008-08-06</t>
  </si>
  <si>
    <t>112904474:eng</t>
  </si>
  <si>
    <t>166380551</t>
  </si>
  <si>
    <t>991005213739702656</t>
  </si>
  <si>
    <t>2269714410002656</t>
  </si>
  <si>
    <t>9781578085156</t>
  </si>
  <si>
    <t>32285005451777</t>
  </si>
  <si>
    <t>893607015</t>
  </si>
  <si>
    <t>QK86.A1 F73 1995</t>
  </si>
  <si>
    <t>0                      QK 0086000A  1                  F  73          1995</t>
  </si>
  <si>
    <t>The conservation of plant biodiversity / Otto H. Frankel, Anthony H.D. Brown, and Jeremy J. Burdon.</t>
  </si>
  <si>
    <t>Frankel, O. H. (Otto Herzberg), 1900-1998.</t>
  </si>
  <si>
    <t>Cambridge ; New York : Cambridge University Press, 1995.</t>
  </si>
  <si>
    <t>2007-04-15</t>
  </si>
  <si>
    <t>1996-08-09</t>
  </si>
  <si>
    <t>34489891:eng</t>
  </si>
  <si>
    <t>32089648</t>
  </si>
  <si>
    <t>991002462909702656</t>
  </si>
  <si>
    <t>2254799440002656</t>
  </si>
  <si>
    <t>9780521461658</t>
  </si>
  <si>
    <t>32285002273315</t>
  </si>
  <si>
    <t>893622315</t>
  </si>
  <si>
    <t>QK86.A1 T89 1999</t>
  </si>
  <si>
    <t>0                      QK 0086000A  1                  T  89          1999</t>
  </si>
  <si>
    <t>Nature's cornucopia : our stake in plant diversity / John Tuxill.</t>
  </si>
  <si>
    <t>Tuxill, John D.</t>
  </si>
  <si>
    <t>Washington, DC : Worldwatch Institute, c1999.</t>
  </si>
  <si>
    <t>Worldwatch paper ; 148</t>
  </si>
  <si>
    <t>1999-11-10</t>
  </si>
  <si>
    <t>144346463:eng</t>
  </si>
  <si>
    <t>42380422</t>
  </si>
  <si>
    <t>991003043769702656</t>
  </si>
  <si>
    <t>2271936410002656</t>
  </si>
  <si>
    <t>9781878071507</t>
  </si>
  <si>
    <t>32285003620662</t>
  </si>
  <si>
    <t>893774338</t>
  </si>
  <si>
    <t>QK861 .R58</t>
  </si>
  <si>
    <t>0                      QK 0861000R  58</t>
  </si>
  <si>
    <t>The organic constituents of higher plants: their chemistry and interrelationships. With contributions by Ernest Sondheimer.</t>
  </si>
  <si>
    <t>Robinson, Trevor.</t>
  </si>
  <si>
    <t>Minneapolis, Burgess Pub. Co. [1963]</t>
  </si>
  <si>
    <t>mnu</t>
  </si>
  <si>
    <t>Burgess life science series</t>
  </si>
  <si>
    <t>4926284575:eng</t>
  </si>
  <si>
    <t>295742</t>
  </si>
  <si>
    <t>991002235529702656</t>
  </si>
  <si>
    <t>2265856310002656</t>
  </si>
  <si>
    <t>32285002938115</t>
  </si>
  <si>
    <t>893685122</t>
  </si>
  <si>
    <t>QK870 .P49 1982</t>
  </si>
  <si>
    <t>0                      QK 0870000P  49          1982</t>
  </si>
  <si>
    <t>Physiological plant ecology II : water relations and carbon assimilation / edited by O.L. Lange ... [et al.] ; contributors, J.D. Bewly ... [et al.].</t>
  </si>
  <si>
    <t>Berlin ; New York : Springer-Verlag, 1982.</t>
  </si>
  <si>
    <t xml:space="preserve">gw </t>
  </si>
  <si>
    <t>Encyclopedia of plant physiology ; new ser., v. 12B</t>
  </si>
  <si>
    <t>2009-05-15</t>
  </si>
  <si>
    <t>3855620233:eng</t>
  </si>
  <si>
    <t>8588643</t>
  </si>
  <si>
    <t>991000025409702656</t>
  </si>
  <si>
    <t>2257644410002656</t>
  </si>
  <si>
    <t>9780387109060</t>
  </si>
  <si>
    <t>32285001644649</t>
  </si>
  <si>
    <t>893502153</t>
  </si>
  <si>
    <t>QK882 .F36 1997</t>
  </si>
  <si>
    <t>0                      QK 0882000F  36          1997</t>
  </si>
  <si>
    <t>Aquatic photosynthesis / Paul G. Falkowski, John A. Raven.</t>
  </si>
  <si>
    <t>Falkowski, Paul G.</t>
  </si>
  <si>
    <t>Malden, Mass. : Blackwell Science, c1997.</t>
  </si>
  <si>
    <t>2004-09-03</t>
  </si>
  <si>
    <t>1998-04-08</t>
  </si>
  <si>
    <t>10567287906:eng</t>
  </si>
  <si>
    <t>35325309</t>
  </si>
  <si>
    <t>991002705959702656</t>
  </si>
  <si>
    <t>2259772080002656</t>
  </si>
  <si>
    <t>9780865423879</t>
  </si>
  <si>
    <t>32285003383816</t>
  </si>
  <si>
    <t>893440414</t>
  </si>
  <si>
    <t>QK882 .H4</t>
  </si>
  <si>
    <t>0                      QK 0882000H  4</t>
  </si>
  <si>
    <t>The physiological aspects of photosynthesis / [by] O. V. S. Heath.</t>
  </si>
  <si>
    <t>Heath, O. V. S. (Oscar Victor Sayer)</t>
  </si>
  <si>
    <t>Stanford, Calif. : Stanford University Press, 1969.</t>
  </si>
  <si>
    <t>2000-04-07</t>
  </si>
  <si>
    <t>1994-03-01</t>
  </si>
  <si>
    <t>1144107:eng</t>
  </si>
  <si>
    <t>21831</t>
  </si>
  <si>
    <t>991000041429702656</t>
  </si>
  <si>
    <t>2261420540002656</t>
  </si>
  <si>
    <t>32285001850774</t>
  </si>
  <si>
    <t>893444167</t>
  </si>
  <si>
    <t>QK882 .S84</t>
  </si>
  <si>
    <t>0                      QK 0882000S  84</t>
  </si>
  <si>
    <t>Structure and function of chloroplasts / edited by Martin Gibbs.</t>
  </si>
  <si>
    <t>Berlin ; New York : Springer-Verlag, 1971.</t>
  </si>
  <si>
    <t>1971</t>
  </si>
  <si>
    <t>1995-04-24</t>
  </si>
  <si>
    <t>1321904:eng</t>
  </si>
  <si>
    <t>220413</t>
  </si>
  <si>
    <t>991001302089702656</t>
  </si>
  <si>
    <t>2261449380002656</t>
  </si>
  <si>
    <t>32285002028271</t>
  </si>
  <si>
    <t>893522482</t>
  </si>
  <si>
    <t>QK898.C5 V4</t>
  </si>
  <si>
    <t>0                      QK 0898000C  5                  V  4</t>
  </si>
  <si>
    <t>The chlorophylls. Edited by Leo P. Vernon and Gilbert R. Seely.</t>
  </si>
  <si>
    <t>Vernon, Leo P., editor.</t>
  </si>
  <si>
    <t>New York, Academic Press, 1966.</t>
  </si>
  <si>
    <t>355705609:eng</t>
  </si>
  <si>
    <t>553033</t>
  </si>
  <si>
    <t>991002977849702656</t>
  </si>
  <si>
    <t>2259119250002656</t>
  </si>
  <si>
    <t>32285002938263</t>
  </si>
  <si>
    <t>893239750</t>
  </si>
  <si>
    <t>QK9 .L733 2000</t>
  </si>
  <si>
    <t>0                      QK 0009000L  733         2000</t>
  </si>
  <si>
    <t>Diccionario botánico de nombres vulgares de la Española / Alain Henri Liogier.</t>
  </si>
  <si>
    <t>Santo Domingo, República Dominicana : Jardín Botánico Nacional, Dr. Rafael Ma. Moscoso, 2000.</t>
  </si>
  <si>
    <t>2. ed. / revisada y ampliada por Alain Liogier y el equipo técnico del Jardín Botánico Nacional "Dr. Rafael Ma. Moscoso", Milcíades Mejía ... [et al.].</t>
  </si>
  <si>
    <t>2827195:spa</t>
  </si>
  <si>
    <t>44391951</t>
  </si>
  <si>
    <t>991003247089702656</t>
  </si>
  <si>
    <t>2264251870002656</t>
  </si>
  <si>
    <t>32285003763009</t>
  </si>
  <si>
    <t>893348478</t>
  </si>
  <si>
    <t>QK901 .B345 1987</t>
  </si>
  <si>
    <t>0                      QK 0901000B  345         1987</t>
  </si>
  <si>
    <t>Terrestrial plant ecology / Michael G. Barbour, Jack H. Burk, Wanna D. Pitts.</t>
  </si>
  <si>
    <t>Barbour, Michael G.</t>
  </si>
  <si>
    <t>Menlo Park, Calif. : Benjamin/Cummings Pub. Co., c1987.</t>
  </si>
  <si>
    <t>2004-03-08</t>
  </si>
  <si>
    <t>8354525:eng</t>
  </si>
  <si>
    <t>14413023</t>
  </si>
  <si>
    <t>991005407239702656</t>
  </si>
  <si>
    <t>2266325670002656</t>
  </si>
  <si>
    <t>9780805305418</t>
  </si>
  <si>
    <t>32285001644706</t>
  </si>
  <si>
    <t>893689152</t>
  </si>
  <si>
    <t>QK901 .G84 1981</t>
  </si>
  <si>
    <t>0                      QK 0901000G  84          1981</t>
  </si>
  <si>
    <t>Plant strategies and vegetation processes / J. P. Grime.</t>
  </si>
  <si>
    <t>Grime, J. Philip (John Philip)</t>
  </si>
  <si>
    <t>Chichester ; New York : Wiley, 1981, c1979.</t>
  </si>
  <si>
    <t>13635549:eng</t>
  </si>
  <si>
    <t>8961282</t>
  </si>
  <si>
    <t>991000103199702656</t>
  </si>
  <si>
    <t>2259163160002656</t>
  </si>
  <si>
    <t>9780471996958</t>
  </si>
  <si>
    <t>32285001644748</t>
  </si>
  <si>
    <t>893314677</t>
  </si>
  <si>
    <t>QK901 .M47 1986</t>
  </si>
  <si>
    <t>0                      QK 0901000M  47          1986</t>
  </si>
  <si>
    <t>Methods in plant ecology.</t>
  </si>
  <si>
    <t>Oxford : Blackwell Scientific, 1986.</t>
  </si>
  <si>
    <t>2nd ed. / edited by P.D. Moore &amp; S.B. Chapman.</t>
  </si>
  <si>
    <t>2006-05-15</t>
  </si>
  <si>
    <t>1991-11-13</t>
  </si>
  <si>
    <t>354465909:eng</t>
  </si>
  <si>
    <t>12512409</t>
  </si>
  <si>
    <t>991000695559702656</t>
  </si>
  <si>
    <t>2257043980002656</t>
  </si>
  <si>
    <t>9780632009961</t>
  </si>
  <si>
    <t>32285000824218</t>
  </si>
  <si>
    <t>893608204</t>
  </si>
  <si>
    <t>QK910 .B39 1996</t>
  </si>
  <si>
    <t>0                      QK 0910000B  39          1996</t>
  </si>
  <si>
    <t>Plants in changing environments : linking physiological, population, and community ecology / F.A. Bazzaz.</t>
  </si>
  <si>
    <t>Bazzaz, F. A. (Fakhri A.)</t>
  </si>
  <si>
    <t>Cambridge ; New York : Cambridge University Press, 1996.</t>
  </si>
  <si>
    <t>1997-01-17</t>
  </si>
  <si>
    <t>293381868:eng</t>
  </si>
  <si>
    <t>34318249</t>
  </si>
  <si>
    <t>991002617169702656</t>
  </si>
  <si>
    <t>2262045870002656</t>
  </si>
  <si>
    <t>9780521391900</t>
  </si>
  <si>
    <t>32285002409000</t>
  </si>
  <si>
    <t>893427788</t>
  </si>
  <si>
    <t>QK910 .T55 1988</t>
  </si>
  <si>
    <t>0                      QK 0910000T  55          1988</t>
  </si>
  <si>
    <t>Plant strategies and the dynamics and structure of plant communities / David Tilman.</t>
  </si>
  <si>
    <t>Tilman, David, 1949-</t>
  </si>
  <si>
    <t>Princeton, N.J. : Princeton University Press, c1988.</t>
  </si>
  <si>
    <t>Monographs in population biology ; 26</t>
  </si>
  <si>
    <t>892776:eng</t>
  </si>
  <si>
    <t>16805975</t>
  </si>
  <si>
    <t>991001150929702656</t>
  </si>
  <si>
    <t>2271660660002656</t>
  </si>
  <si>
    <t>9780691084893</t>
  </si>
  <si>
    <t>32285000824242</t>
  </si>
  <si>
    <t>893315562</t>
  </si>
  <si>
    <t>QK910 .V42 1993</t>
  </si>
  <si>
    <t>0                      QK 0910000V  42          1993</t>
  </si>
  <si>
    <t>Vegetation dynamics &amp; global change / edited by Allen M. Solomon and Herman H. Shugart.</t>
  </si>
  <si>
    <t>New York : Chapman &amp; Hall ; [Laxenburg, Austria : IIASA], 1993.</t>
  </si>
  <si>
    <t>1993</t>
  </si>
  <si>
    <t>2001-11-14</t>
  </si>
  <si>
    <t>1995-03-07</t>
  </si>
  <si>
    <t>354863408:eng</t>
  </si>
  <si>
    <t>26809611</t>
  </si>
  <si>
    <t>991002089939702656</t>
  </si>
  <si>
    <t>2257105990002656</t>
  </si>
  <si>
    <t>9780412036712</t>
  </si>
  <si>
    <t>32285002001260</t>
  </si>
  <si>
    <t>893779412</t>
  </si>
  <si>
    <t>QK911 .H33</t>
  </si>
  <si>
    <t>0                      QK 0911000H  33</t>
  </si>
  <si>
    <t>The plant community [by] Herbert C. Hanson [and] Ethan D. Churchill.</t>
  </si>
  <si>
    <t>Hanson, Herbert C. (Herbert Christian), 1891-</t>
  </si>
  <si>
    <t>New York, Reinhold Pub. Corp. [1961]</t>
  </si>
  <si>
    <t>Reinhold books in the biological sciences</t>
  </si>
  <si>
    <t>2002-02-09</t>
  </si>
  <si>
    <t>1617610:eng</t>
  </si>
  <si>
    <t>556250</t>
  </si>
  <si>
    <t>991002983659702656</t>
  </si>
  <si>
    <t>2259704380002656</t>
  </si>
  <si>
    <t>32285002938321</t>
  </si>
  <si>
    <t>893409787</t>
  </si>
  <si>
    <t>QK911 .H35 1977</t>
  </si>
  <si>
    <t>0                      QK 0911000H  35          1977</t>
  </si>
  <si>
    <t>Population biology of plants / John L. Harper.</t>
  </si>
  <si>
    <t>Harper, John L.</t>
  </si>
  <si>
    <t>London ; New York : Academic Press, c1977, 1982 printing.</t>
  </si>
  <si>
    <t>409127:eng</t>
  </si>
  <si>
    <t>3372590</t>
  </si>
  <si>
    <t>991004418169702656</t>
  </si>
  <si>
    <t>2257536900002656</t>
  </si>
  <si>
    <t>9780123258502</t>
  </si>
  <si>
    <t>32285001644805</t>
  </si>
  <si>
    <t>893869695</t>
  </si>
  <si>
    <t>QK911 .P37 1990</t>
  </si>
  <si>
    <t>0                      QK 0911000P  37          1990</t>
  </si>
  <si>
    <t>Perspectives on plant competition / edited by James B. Grace, David Tilman.</t>
  </si>
  <si>
    <t>San Diego : Academic Press, c1990.</t>
  </si>
  <si>
    <t>2007-04-10</t>
  </si>
  <si>
    <t>1995-07-12</t>
  </si>
  <si>
    <t>349955839:eng</t>
  </si>
  <si>
    <t>19623580</t>
  </si>
  <si>
    <t>991001479899702656</t>
  </si>
  <si>
    <t>2263068460002656</t>
  </si>
  <si>
    <t>9780122944529</t>
  </si>
  <si>
    <t>32285002054111</t>
  </si>
  <si>
    <t>893328154</t>
  </si>
  <si>
    <t>QK911 .R5</t>
  </si>
  <si>
    <t>0                      QK 0911000R  5</t>
  </si>
  <si>
    <t>Allelopathy [by] Elroy L. Rice.</t>
  </si>
  <si>
    <t>Rice, Elroy L. (Elroy Leon), 1917-2000.</t>
  </si>
  <si>
    <t>New York, Academic Press, 1974.</t>
  </si>
  <si>
    <t>1813253:eng</t>
  </si>
  <si>
    <t>858310</t>
  </si>
  <si>
    <t>991003328119702656</t>
  </si>
  <si>
    <t>2267073010002656</t>
  </si>
  <si>
    <t>9780125870504</t>
  </si>
  <si>
    <t>32285001644839</t>
  </si>
  <si>
    <t>893793532</t>
  </si>
  <si>
    <t>QK911 .S65</t>
  </si>
  <si>
    <t>0                      QK 0911000S  65</t>
  </si>
  <si>
    <t>Demography and evolution in plant populations / edited by Otto T. Solbrig.</t>
  </si>
  <si>
    <t>Oxford : Blackwell Scientific Publications ; Berkeley : distributed in the United States of America and Canada by University of California Press, 1980.</t>
  </si>
  <si>
    <t>Botanical monographs ; v. 15</t>
  </si>
  <si>
    <t>2002-11-08</t>
  </si>
  <si>
    <t>54391601:eng</t>
  </si>
  <si>
    <t>6538794</t>
  </si>
  <si>
    <t>991005000349702656</t>
  </si>
  <si>
    <t>2260108850002656</t>
  </si>
  <si>
    <t>9780632004959</t>
  </si>
  <si>
    <t>32285001644847</t>
  </si>
  <si>
    <t>893412189</t>
  </si>
  <si>
    <t>QK917 .M37 2007</t>
  </si>
  <si>
    <t>0                      QK 0917000M  37          2007</t>
  </si>
  <si>
    <t>Pitcher plants of the Americas / by Stewart McPherson.</t>
  </si>
  <si>
    <t>McPherson, Stewart, 1983-</t>
  </si>
  <si>
    <t>Blacksburg, Va. : McDonald &amp; Woodward Pub. Co., c2007.</t>
  </si>
  <si>
    <t>vau</t>
  </si>
  <si>
    <t>2007-12-17</t>
  </si>
  <si>
    <t>55969213:eng</t>
  </si>
  <si>
    <t>70176848</t>
  </si>
  <si>
    <t>991005149809702656</t>
  </si>
  <si>
    <t>2271750200002656</t>
  </si>
  <si>
    <t>9780939923748</t>
  </si>
  <si>
    <t>32285005373195</t>
  </si>
  <si>
    <t>893877024</t>
  </si>
  <si>
    <t>QK918 .A45 1991</t>
  </si>
  <si>
    <t>0                      QK 0918000A  45          1991</t>
  </si>
  <si>
    <t>The ecology of mycorrhizae / Michael F. Allen.</t>
  </si>
  <si>
    <t>Allen, Michael F., 1952-</t>
  </si>
  <si>
    <t>Cambridge ; New York : Cambridge University Press, 1991.</t>
  </si>
  <si>
    <t>Cambridge studies in ecology</t>
  </si>
  <si>
    <t>23152111:eng</t>
  </si>
  <si>
    <t>21520969</t>
  </si>
  <si>
    <t>991001699239702656</t>
  </si>
  <si>
    <t>2257425380002656</t>
  </si>
  <si>
    <t>9780521335317</t>
  </si>
  <si>
    <t>32285003004529</t>
  </si>
  <si>
    <t>893879096</t>
  </si>
  <si>
    <t>QK922 .G53 1996</t>
  </si>
  <si>
    <t>0                      QK 0922000G  53          1996</t>
  </si>
  <si>
    <t>Structure-function relations of warm desert plants / Arthur C. Gibson.</t>
  </si>
  <si>
    <t>Gibson, Arthur C.</t>
  </si>
  <si>
    <t>Berlin ; New York : Springer, c1996.</t>
  </si>
  <si>
    <t>Adaptations of desert organisms</t>
  </si>
  <si>
    <t>2003-02-23</t>
  </si>
  <si>
    <t>2002-05-08</t>
  </si>
  <si>
    <t>40073705:eng</t>
  </si>
  <si>
    <t>34721686</t>
  </si>
  <si>
    <t>991003743229702656</t>
  </si>
  <si>
    <t>2260729280002656</t>
  </si>
  <si>
    <t>9783540592679</t>
  </si>
  <si>
    <t>32285004486295</t>
  </si>
  <si>
    <t>893512307</t>
  </si>
  <si>
    <t>QK926 .M418 1984</t>
  </si>
  <si>
    <t>0                      QK 0926000M  418         1984</t>
  </si>
  <si>
    <t>The sex life of flowers / Bastiaan Meeuse and Sean Morris ; photographs by Oxford Scientific Films ; drawings by Michael Woods.</t>
  </si>
  <si>
    <t>Meeuse, Bastiaan.</t>
  </si>
  <si>
    <t>New York, NY : Facts on File, 1984.</t>
  </si>
  <si>
    <t>3333730:eng</t>
  </si>
  <si>
    <t>10483411</t>
  </si>
  <si>
    <t>991000378609702656</t>
  </si>
  <si>
    <t>2263342860002656</t>
  </si>
  <si>
    <t>9780871969071</t>
  </si>
  <si>
    <t>32285001644862</t>
  </si>
  <si>
    <t>893502427</t>
  </si>
  <si>
    <t>QK929 .G67 2003</t>
  </si>
  <si>
    <t>0                      QK 0929000G  67          2003</t>
  </si>
  <si>
    <t>Seed dispersal by ants in a deciduous forest ecosystem : mechanisms, strategies, adaptations / by Elena Gorb, Stanislav Gorb.</t>
  </si>
  <si>
    <t>Gorb, Elena.</t>
  </si>
  <si>
    <t>Dordrecht Boston : Kluwer Academic Publishers, c2003.</t>
  </si>
  <si>
    <t xml:space="preserve">na </t>
  </si>
  <si>
    <t>838980731:eng</t>
  </si>
  <si>
    <t>52208437</t>
  </si>
  <si>
    <t>991005158489702656</t>
  </si>
  <si>
    <t>2255158340002656</t>
  </si>
  <si>
    <t>9781402013799</t>
  </si>
  <si>
    <t>32285005393912</t>
  </si>
  <si>
    <t>893619559</t>
  </si>
  <si>
    <t>QK929 .S443 2007</t>
  </si>
  <si>
    <t>0                      QK 0929000S  443         2007</t>
  </si>
  <si>
    <t>Seed dispersal : theory and its application in a changing world / edited by Andrew J. Dennis ... [et al.].</t>
  </si>
  <si>
    <t>Oxfordshire ; Cambridge, MA : CABI, c2007.</t>
  </si>
  <si>
    <t>2008-03-19</t>
  </si>
  <si>
    <t>2008-01-29</t>
  </si>
  <si>
    <t>799356823:eng</t>
  </si>
  <si>
    <t>80359216</t>
  </si>
  <si>
    <t>991005158509702656</t>
  </si>
  <si>
    <t>2257528420002656</t>
  </si>
  <si>
    <t>9781845931650</t>
  </si>
  <si>
    <t>32285005390819</t>
  </si>
  <si>
    <t>893527014</t>
  </si>
  <si>
    <t>QK929 .S444 2002</t>
  </si>
  <si>
    <t>0                      QK 0929000S  444         2002</t>
  </si>
  <si>
    <t>Seed dispersal and frugivory : ecology, evolution, and conservation / edited by Douglas J. Levey, Wesley R. Silva, and Mauro Galetti.</t>
  </si>
  <si>
    <t>New York : CABI Pub., c2002.</t>
  </si>
  <si>
    <t>2008-02-25</t>
  </si>
  <si>
    <t>797214363:eng</t>
  </si>
  <si>
    <t>46769562</t>
  </si>
  <si>
    <t>991005158469702656</t>
  </si>
  <si>
    <t>2271839570002656</t>
  </si>
  <si>
    <t>9780851995250</t>
  </si>
  <si>
    <t>32285005394100</t>
  </si>
  <si>
    <t>893694837</t>
  </si>
  <si>
    <t>QK93 .L38</t>
  </si>
  <si>
    <t>0                      QK 0093000L  38</t>
  </si>
  <si>
    <t>Taxonomy of vascular plants.</t>
  </si>
  <si>
    <t>Lawrence, George H. M. (George Hill Mathewson), 1910-1978.</t>
  </si>
  <si>
    <t>New York, Macmillan [1951]</t>
  </si>
  <si>
    <t>153381826:eng</t>
  </si>
  <si>
    <t>552233</t>
  </si>
  <si>
    <t>991002976719702656</t>
  </si>
  <si>
    <t>2259795640002656</t>
  </si>
  <si>
    <t>32285002936804</t>
  </si>
  <si>
    <t>893434516</t>
  </si>
  <si>
    <t>QK932 .R54 1984</t>
  </si>
  <si>
    <t>0                      QK 0932000R  54          1984</t>
  </si>
  <si>
    <t>Introduction to freshwater vegetation / Donald N. Riemer.</t>
  </si>
  <si>
    <t>Riemer, Donald N.</t>
  </si>
  <si>
    <t>Westport, Conn. : AVI Pub. Co., c1984.</t>
  </si>
  <si>
    <t>3008066:eng</t>
  </si>
  <si>
    <t>10162508</t>
  </si>
  <si>
    <t>991005403609702656</t>
  </si>
  <si>
    <t>2267881940002656</t>
  </si>
  <si>
    <t>9780870554483</t>
  </si>
  <si>
    <t>32285001644896</t>
  </si>
  <si>
    <t>893594996</t>
  </si>
  <si>
    <t>QK932.7 .H37</t>
  </si>
  <si>
    <t>0                      QK 0932700H  37</t>
  </si>
  <si>
    <t>River plants : the macrophytic vegetation of watercourses / S. M. Haslam ; illustrated by P. A. Wolseley.</t>
  </si>
  <si>
    <t>Haslam, S. M. (Sylvia Mary), 1934-</t>
  </si>
  <si>
    <t>Cambridge ; New York : Cambridge University Press, 1978.</t>
  </si>
  <si>
    <t>836663554:eng</t>
  </si>
  <si>
    <t>3072459</t>
  </si>
  <si>
    <t>991005370639702656</t>
  </si>
  <si>
    <t>2265230190002656</t>
  </si>
  <si>
    <t>9780521214933</t>
  </si>
  <si>
    <t>32285001644904</t>
  </si>
  <si>
    <t>893508142</t>
  </si>
  <si>
    <t>QK938.D4 V44 1991</t>
  </si>
  <si>
    <t>0                      QK 0938000D  4                  V  44          1991</t>
  </si>
  <si>
    <t>Vegetation and climate interactions in semi-arid regions / edited by A. Henderson-Sellers and A.J. Pitman.</t>
  </si>
  <si>
    <t>Dordrecht ; Boston : Kluwer Academic Publishers, 1991.</t>
  </si>
  <si>
    <t>Advances in vegetation science ; v. 12</t>
  </si>
  <si>
    <t>2010-03-01</t>
  </si>
  <si>
    <t>1991-11-18</t>
  </si>
  <si>
    <t>350555295:eng</t>
  </si>
  <si>
    <t>22710887</t>
  </si>
  <si>
    <t>991001807649702656</t>
  </si>
  <si>
    <t>2255127100002656</t>
  </si>
  <si>
    <t>9780792310617</t>
  </si>
  <si>
    <t>32285000816941</t>
  </si>
  <si>
    <t>893503722</t>
  </si>
  <si>
    <t>QK938.F6 A6</t>
  </si>
  <si>
    <t>0                      QK 0938000F  6                  A  6</t>
  </si>
  <si>
    <t>Analysis of temperate forest ecosystems / edited by David E. Reichle.</t>
  </si>
  <si>
    <t>Berlin ; New York : Springer-Verlag, 1970.</t>
  </si>
  <si>
    <t>Ecological studies ; v. 1</t>
  </si>
  <si>
    <t>762359767:eng</t>
  </si>
  <si>
    <t>102449</t>
  </si>
  <si>
    <t>991000621599702656</t>
  </si>
  <si>
    <t>2259653710002656</t>
  </si>
  <si>
    <t>32285000824267</t>
  </si>
  <si>
    <t>893515443</t>
  </si>
  <si>
    <t>QK938.F6 B7</t>
  </si>
  <si>
    <t>0                      QK 0938000F  6                  B  7</t>
  </si>
  <si>
    <t>Deciduous forests of eastern North America.</t>
  </si>
  <si>
    <t>Braun, E. Lucy (Emma Lucy), 1889-1971.</t>
  </si>
  <si>
    <t>Philadelphia : Blakiston, 1950.</t>
  </si>
  <si>
    <t>pau</t>
  </si>
  <si>
    <t>2006-01-30</t>
  </si>
  <si>
    <t>1991-11-19</t>
  </si>
  <si>
    <t>1329104:eng</t>
  </si>
  <si>
    <t>814026</t>
  </si>
  <si>
    <t>991003291869702656</t>
  </si>
  <si>
    <t>2270201710002656</t>
  </si>
  <si>
    <t>32285000824572</t>
  </si>
  <si>
    <t>893422403</t>
  </si>
  <si>
    <t>QK938.F6 M19</t>
  </si>
  <si>
    <t>0                      QK 0938000F  6                  M  19</t>
  </si>
  <si>
    <t>The life of the forest.</t>
  </si>
  <si>
    <t>McCormick, Jack.</t>
  </si>
  <si>
    <t>New York : McGraw-Hill, [1966]</t>
  </si>
  <si>
    <t>Our living world of nature</t>
  </si>
  <si>
    <t>2001-11-06</t>
  </si>
  <si>
    <t>406034:eng</t>
  </si>
  <si>
    <t>560283</t>
  </si>
  <si>
    <t>991002990309702656</t>
  </si>
  <si>
    <t>2256477820002656</t>
  </si>
  <si>
    <t>32285000824564</t>
  </si>
  <si>
    <t>893415894</t>
  </si>
  <si>
    <t>QK938.F6 S47 1984</t>
  </si>
  <si>
    <t>0                      QK 0938000F  6                  S  47          1984</t>
  </si>
  <si>
    <t>A theory of forest dynamics : the ecological implications of forest succession models / Herman H. Shugart.</t>
  </si>
  <si>
    <t>Shugart, Herman H. (Herman Henry), 1944-</t>
  </si>
  <si>
    <t>New York : Springer-Verlag, c1984.</t>
  </si>
  <si>
    <t>1991-11-25</t>
  </si>
  <si>
    <t>846041300:eng</t>
  </si>
  <si>
    <t>10559031</t>
  </si>
  <si>
    <t>991000393559702656</t>
  </si>
  <si>
    <t>2272068850002656</t>
  </si>
  <si>
    <t>9780387960005</t>
  </si>
  <si>
    <t>32285000844893</t>
  </si>
  <si>
    <t>893890625</t>
  </si>
  <si>
    <t>QK938.F6 S68 1980</t>
  </si>
  <si>
    <t>0                      QK 0938000F  6                  S  68          1980</t>
  </si>
  <si>
    <t>Forest ecology / Stephen H. Spurr, Burton V. Barnes.</t>
  </si>
  <si>
    <t>Spurr, Stephen H., 1918-1990.</t>
  </si>
  <si>
    <t>New York : Wiley, c1980.</t>
  </si>
  <si>
    <t>1991-12-09</t>
  </si>
  <si>
    <t>4925492515:eng</t>
  </si>
  <si>
    <t>4775339</t>
  </si>
  <si>
    <t>991004713869702656</t>
  </si>
  <si>
    <t>2255372740002656</t>
  </si>
  <si>
    <t>9780471047322</t>
  </si>
  <si>
    <t>32285000885896</t>
  </si>
  <si>
    <t>893889176</t>
  </si>
  <si>
    <t>QK938.P7 W37</t>
  </si>
  <si>
    <t>0                      QK 0938000P  7                  W  37</t>
  </si>
  <si>
    <t>Grasslands of the Great Plains : their nature and use / by J.E. Weaver and F.W. Albertson, with special chapters by B.W. Allred and Arnold Heerwagen.</t>
  </si>
  <si>
    <t>Weaver, John E. (John Ernest), 1884-1966.</t>
  </si>
  <si>
    <t>Lincoln, Neb. : Johnsen Pub. Co., [1956]</t>
  </si>
  <si>
    <t>1999-09-26</t>
  </si>
  <si>
    <t>1991-12-11</t>
  </si>
  <si>
    <t>308601448:eng</t>
  </si>
  <si>
    <t>307076</t>
  </si>
  <si>
    <t>991002266239702656</t>
  </si>
  <si>
    <t>2265638530002656</t>
  </si>
  <si>
    <t>32285000875525</t>
  </si>
  <si>
    <t>893622086</t>
  </si>
  <si>
    <t>QK938.P7 W4</t>
  </si>
  <si>
    <t>0                      QK 0938000P  7                  W  4</t>
  </si>
  <si>
    <t>North American prairie / by J. E. Weaver.</t>
  </si>
  <si>
    <t>Lincoln, Neb. : Johnsen Pub. Co., 1954.</t>
  </si>
  <si>
    <t>1954</t>
  </si>
  <si>
    <t>1999-09-17</t>
  </si>
  <si>
    <t>1842381:eng</t>
  </si>
  <si>
    <t>905972</t>
  </si>
  <si>
    <t>991003370189702656</t>
  </si>
  <si>
    <t>2264177680002656</t>
  </si>
  <si>
    <t>32285001644920</t>
  </si>
  <si>
    <t>893422514</t>
  </si>
  <si>
    <t>QK938.P7 W42</t>
  </si>
  <si>
    <t>0                      QK 0938000P  7                  W  42</t>
  </si>
  <si>
    <t>Prairie plants and their environment : a fifty-year study in the Midwest.</t>
  </si>
  <si>
    <t>Lincoln : University of Nebraska Press, [1968]</t>
  </si>
  <si>
    <t>2001-10-19</t>
  </si>
  <si>
    <t>1994-10-17</t>
  </si>
  <si>
    <t>1602278:eng</t>
  </si>
  <si>
    <t>553026</t>
  </si>
  <si>
    <t>991002977749702656</t>
  </si>
  <si>
    <t>2259103570002656</t>
  </si>
  <si>
    <t>32285001961779</t>
  </si>
  <si>
    <t>893434517</t>
  </si>
  <si>
    <t>QK95 .P548 1999</t>
  </si>
  <si>
    <t>0                      QK 0095000P  548         1999</t>
  </si>
  <si>
    <t>Plant systematics : a phylogenetic approach / Walter S. Judd ... [et al.].</t>
  </si>
  <si>
    <t>Sunderland, Mass. : Sinauer Associates, c1999.</t>
  </si>
  <si>
    <t>2000-01-14</t>
  </si>
  <si>
    <t>840618698:eng</t>
  </si>
  <si>
    <t>40805511</t>
  </si>
  <si>
    <t>991004678799702656</t>
  </si>
  <si>
    <t>2260150800002656</t>
  </si>
  <si>
    <t>9780878934041</t>
  </si>
  <si>
    <t>32285003563821</t>
  </si>
  <si>
    <t>893810641</t>
  </si>
  <si>
    <t>QK95.4 .C73 1990</t>
  </si>
  <si>
    <t>0                      QK 0095400C  73          1990</t>
  </si>
  <si>
    <t>Plant molecular systematics : macromolecular approaches / Daniel J. Crawford.</t>
  </si>
  <si>
    <t>Crawford, Daniel J.</t>
  </si>
  <si>
    <t>New York : Wiley, c1990.</t>
  </si>
  <si>
    <t>1991-05-30</t>
  </si>
  <si>
    <t>836719627:eng</t>
  </si>
  <si>
    <t>20132552</t>
  </si>
  <si>
    <t>991001542289702656</t>
  </si>
  <si>
    <t>2262223450002656</t>
  </si>
  <si>
    <t>9780471807605</t>
  </si>
  <si>
    <t>32285000590645</t>
  </si>
  <si>
    <t>893346584</t>
  </si>
  <si>
    <t>QK98.183.L4 H37 2008</t>
  </si>
  <si>
    <t>0                      QK 0098183L  4                  H  37          2008</t>
  </si>
  <si>
    <t>Painter in a savage land : the strange saga of the first European artist in North America / Miles Harvey.</t>
  </si>
  <si>
    <t>Harvey, Miles, 1960-</t>
  </si>
  <si>
    <t>New York : Random House, c2008.</t>
  </si>
  <si>
    <t>2008-09-30</t>
  </si>
  <si>
    <t>196713737:eng</t>
  </si>
  <si>
    <t>174134006</t>
  </si>
  <si>
    <t>991005266859702656</t>
  </si>
  <si>
    <t>2271041920002656</t>
  </si>
  <si>
    <t>9781400061204</t>
  </si>
  <si>
    <t>32285005461123</t>
  </si>
  <si>
    <t>893326498</t>
  </si>
  <si>
    <t>QK98.4.A1 H63 2004</t>
  </si>
  <si>
    <t>0                      QK 0098400A  1                  H  63          2004</t>
  </si>
  <si>
    <t>Seeds of wealth : four plants that made men rich / Henry Hobhouse.</t>
  </si>
  <si>
    <t>Hobhouse, Henry.</t>
  </si>
  <si>
    <t>Washington, DC : Shoemaker &amp; Hoard, 2004.</t>
  </si>
  <si>
    <t>1st Shoemaker &amp; Hoard ed.</t>
  </si>
  <si>
    <t>2005-01-17</t>
  </si>
  <si>
    <t>49022143:eng</t>
  </si>
  <si>
    <t>56979874</t>
  </si>
  <si>
    <t>991004440199702656</t>
  </si>
  <si>
    <t>2255855850002656</t>
  </si>
  <si>
    <t>9781593760441</t>
  </si>
  <si>
    <t>32285005021240</t>
  </si>
  <si>
    <t>893782247</t>
  </si>
  <si>
    <t>QK980 .C3</t>
  </si>
  <si>
    <t>0                      QK 0980000C  3</t>
  </si>
  <si>
    <t>Lectures on the evolution of plants, by Douglas Houghton Campbell ...</t>
  </si>
  <si>
    <t>Campbell, Douglas Houghton, 1859-1953.</t>
  </si>
  <si>
    <t>New York, The Macmillan company; London, Macmillan &amp; co., ltd., 1899.</t>
  </si>
  <si>
    <t>1899</t>
  </si>
  <si>
    <t>1782581:eng</t>
  </si>
  <si>
    <t>690013</t>
  </si>
  <si>
    <t>991003150679702656</t>
  </si>
  <si>
    <t>2260630930002656</t>
  </si>
  <si>
    <t>32285002938404</t>
  </si>
  <si>
    <t>893604490</t>
  </si>
  <si>
    <t>QK980 .S8</t>
  </si>
  <si>
    <t>0                      QK 0980000S  8</t>
  </si>
  <si>
    <t>Variation and evolution in plants.</t>
  </si>
  <si>
    <t>Stebbins, G. Ledyard (George Ledyard), 1906-2000.</t>
  </si>
  <si>
    <t>New York : Columbia University Press, 1950.</t>
  </si>
  <si>
    <t>Columbia biological series ; no. 16</t>
  </si>
  <si>
    <t>133775511:eng</t>
  </si>
  <si>
    <t>294016</t>
  </si>
  <si>
    <t>991002231079702656</t>
  </si>
  <si>
    <t>2268409990002656</t>
  </si>
  <si>
    <t>32285002011467</t>
  </si>
  <si>
    <t>893244919</t>
  </si>
  <si>
    <t>QK980 .W56 2002</t>
  </si>
  <si>
    <t>0                      QK 0980000W  56          2002</t>
  </si>
  <si>
    <t>The evolution of plants / K.J. Willis, J.C. McElwain.</t>
  </si>
  <si>
    <t>Willis, K. J.</t>
  </si>
  <si>
    <t>New York : Oxford University Press, c2002.</t>
  </si>
  <si>
    <t>2004-05-03</t>
  </si>
  <si>
    <t>856800:eng</t>
  </si>
  <si>
    <t>49520001</t>
  </si>
  <si>
    <t>991004276629702656</t>
  </si>
  <si>
    <t>2267139020002656</t>
  </si>
  <si>
    <t>9780198500650</t>
  </si>
  <si>
    <t>32285004903174</t>
  </si>
  <si>
    <t>893331397</t>
  </si>
  <si>
    <t>QK981 .K54 1988</t>
  </si>
  <si>
    <t>0                      QK 0981000K  54          1988</t>
  </si>
  <si>
    <t>Mutation, developmental selection, and plant evolution / Edward J. Klekowski, Jr.</t>
  </si>
  <si>
    <t>Klekowski, Edward J.</t>
  </si>
  <si>
    <t>New York : Columbia University Press, 1988.</t>
  </si>
  <si>
    <t>2001-11-20</t>
  </si>
  <si>
    <t>1993-02-24</t>
  </si>
  <si>
    <t>16078875:eng</t>
  </si>
  <si>
    <t>17441640</t>
  </si>
  <si>
    <t>991001219699702656</t>
  </si>
  <si>
    <t>2260629080002656</t>
  </si>
  <si>
    <t>9780231065283</t>
  </si>
  <si>
    <t>32285001496545</t>
  </si>
  <si>
    <t>893256112</t>
  </si>
  <si>
    <t>QK981 .V75 1988</t>
  </si>
  <si>
    <t>0                      QK 0981000V  75          1988</t>
  </si>
  <si>
    <t>Species and varieties : their origin by mutation : lectures delivered at the University of California / Hugo DeVries.</t>
  </si>
  <si>
    <t>Vries, Hugo de, 1848-1935.</t>
  </si>
  <si>
    <t>New York : Garland Pub., 1988, c1904.</t>
  </si>
  <si>
    <t>Genes, cells, and organisms</t>
  </si>
  <si>
    <t>8378849:eng</t>
  </si>
  <si>
    <t>17875290</t>
  </si>
  <si>
    <t>991001276549702656</t>
  </si>
  <si>
    <t>2270064870002656</t>
  </si>
  <si>
    <t>9780824013875</t>
  </si>
  <si>
    <t>32285001644946</t>
  </si>
  <si>
    <t>893420221</t>
  </si>
  <si>
    <t>QK983 .B73 1984</t>
  </si>
  <si>
    <t>0                      QK 0983000B  73          1984</t>
  </si>
  <si>
    <t>Plant variation and evolution / D. Briggs, S.M. Walters.</t>
  </si>
  <si>
    <t>Briggs, D. (David), 1936-</t>
  </si>
  <si>
    <t>Cambridge [Cambridgeshire] ; New York : Cambridge University, 1984.</t>
  </si>
  <si>
    <t>1143594:eng</t>
  </si>
  <si>
    <t>9731545</t>
  </si>
  <si>
    <t>991000247939702656</t>
  </si>
  <si>
    <t>2272484170002656</t>
  </si>
  <si>
    <t>9780521276658</t>
  </si>
  <si>
    <t>32285001644953</t>
  </si>
  <si>
    <t>893339419</t>
  </si>
  <si>
    <t>QK99.A1 I5 1985</t>
  </si>
  <si>
    <t>0                      QK 0099000A  1                  I  5           1985</t>
  </si>
  <si>
    <t>Advances in medicinal phytochemistry / [editors], Sir Derek Barton, W.D. Ollis.</t>
  </si>
  <si>
    <t>International Symposium on Medicinal Photochemistry (1985 : Marrakech, Morocco)</t>
  </si>
  <si>
    <t>London, England : J. Libbey Eurotext, c1986.</t>
  </si>
  <si>
    <t>2002-01-24</t>
  </si>
  <si>
    <t>428862313:eng</t>
  </si>
  <si>
    <t>16278560</t>
  </si>
  <si>
    <t>991000905159702656</t>
  </si>
  <si>
    <t>2265765920002656</t>
  </si>
  <si>
    <t>9780861960927</t>
  </si>
  <si>
    <t>32285001643922</t>
  </si>
  <si>
    <t>893903205</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</si>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</sst>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1FCC-DE84-46A1-BBA9-EB2A6884781E}">
  <dimension ref="A1:BD213"/>
  <sheetViews>
    <sheetView tabSelected="1" workbookViewId="0">
      <pane ySplit="1" topLeftCell="A2" activePane="bottomLeft" state="frozen"/>
      <selection pane="bottomLeft" activeCell="D2" sqref="D2"/>
    </sheetView>
  </sheetViews>
  <sheetFormatPr defaultRowHeight="47.25" customHeight="1" x14ac:dyDescent="0.25"/>
  <cols>
    <col min="1" max="1" width="12.140625" customWidth="1"/>
    <col min="2" max="2" width="20.85546875" customWidth="1"/>
    <col min="3" max="3" width="0" hidden="1" customWidth="1"/>
    <col min="4" max="4" width="54.42578125" customWidth="1"/>
    <col min="6" max="10" width="0" hidden="1" customWidth="1"/>
    <col min="11" max="11" width="23" customWidth="1"/>
    <col min="12" max="12" width="20.7109375" customWidth="1"/>
    <col min="14" max="17" width="0" hidden="1" customWidth="1"/>
    <col min="20" max="26" width="0" hidden="1" customWidth="1"/>
    <col min="28" max="28" width="0" hidden="1" customWidth="1"/>
    <col min="30" max="30" width="0" hidden="1" customWidth="1"/>
    <col min="31" max="31" width="17.85546875" customWidth="1"/>
    <col min="32" max="41" width="0" hidden="1" customWidth="1"/>
    <col min="42" max="44" width="11.140625" customWidth="1"/>
    <col min="47" max="56" width="0" hidden="1" customWidth="1"/>
  </cols>
  <sheetData>
    <row r="1" spans="1:56" ht="47.25" customHeight="1" x14ac:dyDescent="0.25">
      <c r="A1" s="8" t="s">
        <v>2585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7.25" customHeight="1" x14ac:dyDescent="0.25">
      <c r="A2" s="7" t="s">
        <v>58</v>
      </c>
      <c r="B2" s="2" t="s">
        <v>55</v>
      </c>
      <c r="C2" s="2" t="s">
        <v>56</v>
      </c>
      <c r="D2" s="2" t="s">
        <v>57</v>
      </c>
      <c r="F2" s="3" t="s">
        <v>58</v>
      </c>
      <c r="G2" s="3" t="s">
        <v>59</v>
      </c>
      <c r="H2" s="3" t="s">
        <v>58</v>
      </c>
      <c r="I2" s="3" t="s">
        <v>58</v>
      </c>
      <c r="J2" s="3" t="s">
        <v>60</v>
      </c>
      <c r="K2" s="2" t="s">
        <v>61</v>
      </c>
      <c r="L2" s="2" t="s">
        <v>62</v>
      </c>
      <c r="M2" s="3" t="s">
        <v>63</v>
      </c>
      <c r="N2" s="2" t="s">
        <v>64</v>
      </c>
      <c r="O2" s="3" t="s">
        <v>65</v>
      </c>
      <c r="P2" s="3" t="s">
        <v>66</v>
      </c>
      <c r="R2" s="3" t="s">
        <v>67</v>
      </c>
      <c r="S2" s="4">
        <v>1</v>
      </c>
      <c r="T2" s="4">
        <v>1</v>
      </c>
      <c r="U2" s="5" t="s">
        <v>68</v>
      </c>
      <c r="V2" s="5" t="s">
        <v>68</v>
      </c>
      <c r="W2" s="5" t="s">
        <v>68</v>
      </c>
      <c r="X2" s="5" t="s">
        <v>68</v>
      </c>
      <c r="Y2" s="4">
        <v>277</v>
      </c>
      <c r="Z2" s="4">
        <v>249</v>
      </c>
      <c r="AA2" s="4">
        <v>975</v>
      </c>
      <c r="AB2" s="4">
        <v>5</v>
      </c>
      <c r="AC2" s="4">
        <v>7</v>
      </c>
      <c r="AD2" s="4">
        <v>10</v>
      </c>
      <c r="AE2" s="4">
        <v>35</v>
      </c>
      <c r="AF2" s="4">
        <v>1</v>
      </c>
      <c r="AG2" s="4">
        <v>12</v>
      </c>
      <c r="AH2" s="4">
        <v>2</v>
      </c>
      <c r="AI2" s="4">
        <v>8</v>
      </c>
      <c r="AJ2" s="4">
        <v>4</v>
      </c>
      <c r="AK2" s="4">
        <v>19</v>
      </c>
      <c r="AL2" s="4">
        <v>4</v>
      </c>
      <c r="AM2" s="4">
        <v>6</v>
      </c>
      <c r="AN2" s="4">
        <v>0</v>
      </c>
      <c r="AO2" s="4">
        <v>0</v>
      </c>
      <c r="AP2" s="3" t="s">
        <v>58</v>
      </c>
      <c r="AQ2" s="3" t="s">
        <v>69</v>
      </c>
      <c r="AR2" s="6" t="str">
        <f>HYPERLINK("http://catalog.hathitrust.org/Record/102008696","HathiTrust Record")</f>
        <v>HathiTrust Record</v>
      </c>
      <c r="AS2" s="6" t="str">
        <f>HYPERLINK("https://creighton-primo.hosted.exlibrisgroup.com/primo-explore/search?tab=default_tab&amp;search_scope=EVERYTHING&amp;vid=01CRU&amp;lang=en_US&amp;offset=0&amp;query=any,contains,991003258369702656","Catalog Record")</f>
        <v>Catalog Record</v>
      </c>
      <c r="AT2" s="6" t="str">
        <f>HYPERLINK("http://www.worldcat.org/oclc/33216151","WorldCat Record")</f>
        <v>WorldCat Record</v>
      </c>
      <c r="AU2" s="3" t="s">
        <v>70</v>
      </c>
      <c r="AV2" s="3" t="s">
        <v>71</v>
      </c>
      <c r="AW2" s="3" t="s">
        <v>72</v>
      </c>
      <c r="AX2" s="3" t="s">
        <v>72</v>
      </c>
      <c r="AY2" s="3" t="s">
        <v>73</v>
      </c>
      <c r="AZ2" s="3" t="s">
        <v>74</v>
      </c>
      <c r="BB2" s="3" t="s">
        <v>75</v>
      </c>
      <c r="BC2" s="3" t="s">
        <v>76</v>
      </c>
      <c r="BD2" s="3" t="s">
        <v>77</v>
      </c>
    </row>
    <row r="3" spans="1:56" ht="47.25" customHeight="1" x14ac:dyDescent="0.25">
      <c r="A3" s="7" t="s">
        <v>58</v>
      </c>
      <c r="B3" s="2" t="s">
        <v>78</v>
      </c>
      <c r="C3" s="2" t="s">
        <v>79</v>
      </c>
      <c r="D3" s="2" t="s">
        <v>80</v>
      </c>
      <c r="F3" s="3" t="s">
        <v>58</v>
      </c>
      <c r="G3" s="3" t="s">
        <v>59</v>
      </c>
      <c r="H3" s="3" t="s">
        <v>58</v>
      </c>
      <c r="I3" s="3" t="s">
        <v>58</v>
      </c>
      <c r="J3" s="3" t="s">
        <v>60</v>
      </c>
      <c r="K3" s="2" t="s">
        <v>81</v>
      </c>
      <c r="L3" s="2" t="s">
        <v>82</v>
      </c>
      <c r="M3" s="3" t="s">
        <v>83</v>
      </c>
      <c r="N3" s="2" t="s">
        <v>84</v>
      </c>
      <c r="O3" s="3" t="s">
        <v>65</v>
      </c>
      <c r="P3" s="3" t="s">
        <v>85</v>
      </c>
      <c r="R3" s="3" t="s">
        <v>67</v>
      </c>
      <c r="S3" s="4">
        <v>3</v>
      </c>
      <c r="T3" s="4">
        <v>3</v>
      </c>
      <c r="U3" s="5" t="s">
        <v>86</v>
      </c>
      <c r="V3" s="5" t="s">
        <v>86</v>
      </c>
      <c r="W3" s="5" t="s">
        <v>87</v>
      </c>
      <c r="X3" s="5" t="s">
        <v>87</v>
      </c>
      <c r="Y3" s="4">
        <v>571</v>
      </c>
      <c r="Z3" s="4">
        <v>513</v>
      </c>
      <c r="AA3" s="4">
        <v>913</v>
      </c>
      <c r="AB3" s="4">
        <v>8</v>
      </c>
      <c r="AC3" s="4">
        <v>12</v>
      </c>
      <c r="AD3" s="4">
        <v>19</v>
      </c>
      <c r="AE3" s="4">
        <v>31</v>
      </c>
      <c r="AF3" s="4">
        <v>7</v>
      </c>
      <c r="AG3" s="4">
        <v>11</v>
      </c>
      <c r="AH3" s="4">
        <v>1</v>
      </c>
      <c r="AI3" s="4">
        <v>3</v>
      </c>
      <c r="AJ3" s="4">
        <v>6</v>
      </c>
      <c r="AK3" s="4">
        <v>10</v>
      </c>
      <c r="AL3" s="4">
        <v>6</v>
      </c>
      <c r="AM3" s="4">
        <v>10</v>
      </c>
      <c r="AN3" s="4">
        <v>0</v>
      </c>
      <c r="AO3" s="4">
        <v>0</v>
      </c>
      <c r="AP3" s="3" t="s">
        <v>58</v>
      </c>
      <c r="AQ3" s="3" t="s">
        <v>69</v>
      </c>
      <c r="AR3" s="6" t="str">
        <f>HYPERLINK("http://catalog.hathitrust.org/Record/001493935","HathiTrust Record")</f>
        <v>HathiTrust Record</v>
      </c>
      <c r="AS3" s="6" t="str">
        <f>HYPERLINK("https://creighton-primo.hosted.exlibrisgroup.com/primo-explore/search?tab=default_tab&amp;search_scope=EVERYTHING&amp;vid=01CRU&amp;lang=en_US&amp;offset=0&amp;query=any,contains,991002784649702656","Catalog Record")</f>
        <v>Catalog Record</v>
      </c>
      <c r="AT3" s="6" t="str">
        <f>HYPERLINK("http://www.worldcat.org/oclc/441202","WorldCat Record")</f>
        <v>WorldCat Record</v>
      </c>
      <c r="AU3" s="3" t="s">
        <v>88</v>
      </c>
      <c r="AV3" s="3" t="s">
        <v>89</v>
      </c>
      <c r="AW3" s="3" t="s">
        <v>90</v>
      </c>
      <c r="AX3" s="3" t="s">
        <v>90</v>
      </c>
      <c r="AY3" s="3" t="s">
        <v>91</v>
      </c>
      <c r="AZ3" s="3" t="s">
        <v>74</v>
      </c>
      <c r="BC3" s="3" t="s">
        <v>92</v>
      </c>
      <c r="BD3" s="3" t="s">
        <v>93</v>
      </c>
    </row>
    <row r="4" spans="1:56" ht="47.25" customHeight="1" x14ac:dyDescent="0.25">
      <c r="A4" s="7" t="s">
        <v>58</v>
      </c>
      <c r="B4" s="2" t="s">
        <v>94</v>
      </c>
      <c r="C4" s="2" t="s">
        <v>95</v>
      </c>
      <c r="D4" s="2" t="s">
        <v>96</v>
      </c>
      <c r="F4" s="3" t="s">
        <v>58</v>
      </c>
      <c r="G4" s="3" t="s">
        <v>59</v>
      </c>
      <c r="H4" s="3" t="s">
        <v>58</v>
      </c>
      <c r="I4" s="3" t="s">
        <v>58</v>
      </c>
      <c r="J4" s="3" t="s">
        <v>60</v>
      </c>
      <c r="K4" s="2" t="s">
        <v>97</v>
      </c>
      <c r="L4" s="2" t="s">
        <v>98</v>
      </c>
      <c r="M4" s="3" t="s">
        <v>99</v>
      </c>
      <c r="O4" s="3" t="s">
        <v>65</v>
      </c>
      <c r="P4" s="3" t="s">
        <v>100</v>
      </c>
      <c r="R4" s="3" t="s">
        <v>67</v>
      </c>
      <c r="S4" s="4">
        <v>1</v>
      </c>
      <c r="T4" s="4">
        <v>1</v>
      </c>
      <c r="U4" s="5" t="s">
        <v>101</v>
      </c>
      <c r="V4" s="5" t="s">
        <v>101</v>
      </c>
      <c r="W4" s="5" t="s">
        <v>87</v>
      </c>
      <c r="X4" s="5" t="s">
        <v>87</v>
      </c>
      <c r="Y4" s="4">
        <v>414</v>
      </c>
      <c r="Z4" s="4">
        <v>367</v>
      </c>
      <c r="AA4" s="4">
        <v>546</v>
      </c>
      <c r="AB4" s="4">
        <v>3</v>
      </c>
      <c r="AC4" s="4">
        <v>3</v>
      </c>
      <c r="AD4" s="4">
        <v>11</v>
      </c>
      <c r="AE4" s="4">
        <v>15</v>
      </c>
      <c r="AF4" s="4">
        <v>4</v>
      </c>
      <c r="AG4" s="4">
        <v>5</v>
      </c>
      <c r="AH4" s="4">
        <v>2</v>
      </c>
      <c r="AI4" s="4">
        <v>3</v>
      </c>
      <c r="AJ4" s="4">
        <v>6</v>
      </c>
      <c r="AK4" s="4">
        <v>9</v>
      </c>
      <c r="AL4" s="4">
        <v>2</v>
      </c>
      <c r="AM4" s="4">
        <v>2</v>
      </c>
      <c r="AN4" s="4">
        <v>0</v>
      </c>
      <c r="AO4" s="4">
        <v>0</v>
      </c>
      <c r="AP4" s="3" t="s">
        <v>58</v>
      </c>
      <c r="AQ4" s="3" t="s">
        <v>58</v>
      </c>
      <c r="AR4" s="6" t="str">
        <f>HYPERLINK("http://catalog.hathitrust.org/Record/001493948","HathiTrust Record")</f>
        <v>HathiTrust Record</v>
      </c>
      <c r="AS4" s="6" t="str">
        <f>HYPERLINK("https://creighton-primo.hosted.exlibrisgroup.com/primo-explore/search?tab=default_tab&amp;search_scope=EVERYTHING&amp;vid=01CRU&amp;lang=en_US&amp;offset=0&amp;query=any,contains,991003779949702656","Catalog Record")</f>
        <v>Catalog Record</v>
      </c>
      <c r="AT4" s="6" t="str">
        <f>HYPERLINK("http://www.worldcat.org/oclc/1492206","WorldCat Record")</f>
        <v>WorldCat Record</v>
      </c>
      <c r="AU4" s="3" t="s">
        <v>102</v>
      </c>
      <c r="AV4" s="3" t="s">
        <v>103</v>
      </c>
      <c r="AW4" s="3" t="s">
        <v>104</v>
      </c>
      <c r="AX4" s="3" t="s">
        <v>104</v>
      </c>
      <c r="AY4" s="3" t="s">
        <v>105</v>
      </c>
      <c r="AZ4" s="3" t="s">
        <v>74</v>
      </c>
      <c r="BC4" s="3" t="s">
        <v>106</v>
      </c>
      <c r="BD4" s="3" t="s">
        <v>107</v>
      </c>
    </row>
    <row r="5" spans="1:56" ht="47.25" customHeight="1" x14ac:dyDescent="0.25">
      <c r="A5" s="7" t="s">
        <v>58</v>
      </c>
      <c r="B5" s="2" t="s">
        <v>108</v>
      </c>
      <c r="C5" s="2" t="s">
        <v>109</v>
      </c>
      <c r="D5" s="2" t="s">
        <v>110</v>
      </c>
      <c r="F5" s="3" t="s">
        <v>58</v>
      </c>
      <c r="G5" s="3" t="s">
        <v>59</v>
      </c>
      <c r="H5" s="3" t="s">
        <v>58</v>
      </c>
      <c r="I5" s="3" t="s">
        <v>58</v>
      </c>
      <c r="J5" s="3" t="s">
        <v>60</v>
      </c>
      <c r="K5" s="2" t="s">
        <v>111</v>
      </c>
      <c r="L5" s="2" t="s">
        <v>112</v>
      </c>
      <c r="M5" s="3" t="s">
        <v>113</v>
      </c>
      <c r="O5" s="3" t="s">
        <v>65</v>
      </c>
      <c r="P5" s="3" t="s">
        <v>100</v>
      </c>
      <c r="Q5" s="2" t="s">
        <v>114</v>
      </c>
      <c r="R5" s="3" t="s">
        <v>67</v>
      </c>
      <c r="S5" s="4">
        <v>3</v>
      </c>
      <c r="T5" s="4">
        <v>3</v>
      </c>
      <c r="U5" s="5" t="s">
        <v>115</v>
      </c>
      <c r="V5" s="5" t="s">
        <v>115</v>
      </c>
      <c r="W5" s="5" t="s">
        <v>87</v>
      </c>
      <c r="X5" s="5" t="s">
        <v>87</v>
      </c>
      <c r="Y5" s="4">
        <v>773</v>
      </c>
      <c r="Z5" s="4">
        <v>712</v>
      </c>
      <c r="AA5" s="4">
        <v>794</v>
      </c>
      <c r="AB5" s="4">
        <v>7</v>
      </c>
      <c r="AC5" s="4">
        <v>7</v>
      </c>
      <c r="AD5" s="4">
        <v>23</v>
      </c>
      <c r="AE5" s="4">
        <v>27</v>
      </c>
      <c r="AF5" s="4">
        <v>8</v>
      </c>
      <c r="AG5" s="4">
        <v>11</v>
      </c>
      <c r="AH5" s="4">
        <v>4</v>
      </c>
      <c r="AI5" s="4">
        <v>5</v>
      </c>
      <c r="AJ5" s="4">
        <v>10</v>
      </c>
      <c r="AK5" s="4">
        <v>11</v>
      </c>
      <c r="AL5" s="4">
        <v>6</v>
      </c>
      <c r="AM5" s="4">
        <v>6</v>
      </c>
      <c r="AN5" s="4">
        <v>0</v>
      </c>
      <c r="AO5" s="4">
        <v>0</v>
      </c>
      <c r="AP5" s="3" t="s">
        <v>58</v>
      </c>
      <c r="AQ5" s="3" t="s">
        <v>69</v>
      </c>
      <c r="AR5" s="6" t="str">
        <f>HYPERLINK("http://catalog.hathitrust.org/Record/001493965","HathiTrust Record")</f>
        <v>HathiTrust Record</v>
      </c>
      <c r="AS5" s="6" t="str">
        <f>HYPERLINK("https://creighton-primo.hosted.exlibrisgroup.com/primo-explore/search?tab=default_tab&amp;search_scope=EVERYTHING&amp;vid=01CRU&amp;lang=en_US&amp;offset=0&amp;query=any,contains,991003345039702656","Catalog Record")</f>
        <v>Catalog Record</v>
      </c>
      <c r="AT5" s="6" t="str">
        <f>HYPERLINK("http://www.worldcat.org/oclc/876779","WorldCat Record")</f>
        <v>WorldCat Record</v>
      </c>
      <c r="AU5" s="3" t="s">
        <v>116</v>
      </c>
      <c r="AV5" s="3" t="s">
        <v>117</v>
      </c>
      <c r="AW5" s="3" t="s">
        <v>118</v>
      </c>
      <c r="AX5" s="3" t="s">
        <v>118</v>
      </c>
      <c r="AY5" s="3" t="s">
        <v>119</v>
      </c>
      <c r="AZ5" s="3" t="s">
        <v>74</v>
      </c>
      <c r="BC5" s="3" t="s">
        <v>120</v>
      </c>
      <c r="BD5" s="3" t="s">
        <v>121</v>
      </c>
    </row>
    <row r="6" spans="1:56" ht="47.25" customHeight="1" x14ac:dyDescent="0.25">
      <c r="A6" s="7" t="s">
        <v>58</v>
      </c>
      <c r="B6" s="2" t="s">
        <v>122</v>
      </c>
      <c r="C6" s="2" t="s">
        <v>123</v>
      </c>
      <c r="D6" s="2" t="s">
        <v>124</v>
      </c>
      <c r="F6" s="3" t="s">
        <v>58</v>
      </c>
      <c r="G6" s="3" t="s">
        <v>59</v>
      </c>
      <c r="H6" s="3" t="s">
        <v>58</v>
      </c>
      <c r="I6" s="3" t="s">
        <v>58</v>
      </c>
      <c r="J6" s="3" t="s">
        <v>60</v>
      </c>
      <c r="L6" s="2" t="s">
        <v>125</v>
      </c>
      <c r="M6" s="3" t="s">
        <v>126</v>
      </c>
      <c r="O6" s="3" t="s">
        <v>65</v>
      </c>
      <c r="P6" s="3" t="s">
        <v>127</v>
      </c>
      <c r="R6" s="3" t="s">
        <v>67</v>
      </c>
      <c r="S6" s="4">
        <v>4</v>
      </c>
      <c r="T6" s="4">
        <v>4</v>
      </c>
      <c r="U6" s="5" t="s">
        <v>128</v>
      </c>
      <c r="V6" s="5" t="s">
        <v>128</v>
      </c>
      <c r="W6" s="5" t="s">
        <v>129</v>
      </c>
      <c r="X6" s="5" t="s">
        <v>129</v>
      </c>
      <c r="Y6" s="4">
        <v>756</v>
      </c>
      <c r="Z6" s="4">
        <v>645</v>
      </c>
      <c r="AA6" s="4">
        <v>1006</v>
      </c>
      <c r="AB6" s="4">
        <v>7</v>
      </c>
      <c r="AC6" s="4">
        <v>9</v>
      </c>
      <c r="AD6" s="4">
        <v>29</v>
      </c>
      <c r="AE6" s="4">
        <v>46</v>
      </c>
      <c r="AF6" s="4">
        <v>10</v>
      </c>
      <c r="AG6" s="4">
        <v>20</v>
      </c>
      <c r="AH6" s="4">
        <v>5</v>
      </c>
      <c r="AI6" s="4">
        <v>8</v>
      </c>
      <c r="AJ6" s="4">
        <v>13</v>
      </c>
      <c r="AK6" s="4">
        <v>20</v>
      </c>
      <c r="AL6" s="4">
        <v>6</v>
      </c>
      <c r="AM6" s="4">
        <v>8</v>
      </c>
      <c r="AN6" s="4">
        <v>0</v>
      </c>
      <c r="AO6" s="4">
        <v>0</v>
      </c>
      <c r="AP6" s="3" t="s">
        <v>58</v>
      </c>
      <c r="AQ6" s="3" t="s">
        <v>58</v>
      </c>
      <c r="AS6" s="6" t="str">
        <f>HYPERLINK("https://creighton-primo.hosted.exlibrisgroup.com/primo-explore/search?tab=default_tab&amp;search_scope=EVERYTHING&amp;vid=01CRU&amp;lang=en_US&amp;offset=0&amp;query=any,contains,991000980379702656","Catalog Record")</f>
        <v>Catalog Record</v>
      </c>
      <c r="AT6" s="6" t="str">
        <f>HYPERLINK("http://www.worldcat.org/oclc/15018949","WorldCat Record")</f>
        <v>WorldCat Record</v>
      </c>
      <c r="AU6" s="3" t="s">
        <v>130</v>
      </c>
      <c r="AV6" s="3" t="s">
        <v>131</v>
      </c>
      <c r="AW6" s="3" t="s">
        <v>132</v>
      </c>
      <c r="AX6" s="3" t="s">
        <v>132</v>
      </c>
      <c r="AY6" s="3" t="s">
        <v>133</v>
      </c>
      <c r="AZ6" s="3" t="s">
        <v>74</v>
      </c>
      <c r="BB6" s="3" t="s">
        <v>134</v>
      </c>
      <c r="BC6" s="3" t="s">
        <v>135</v>
      </c>
      <c r="BD6" s="3" t="s">
        <v>136</v>
      </c>
    </row>
    <row r="7" spans="1:56" ht="47.25" customHeight="1" x14ac:dyDescent="0.25">
      <c r="A7" s="7" t="s">
        <v>58</v>
      </c>
      <c r="B7" s="2" t="s">
        <v>137</v>
      </c>
      <c r="C7" s="2" t="s">
        <v>138</v>
      </c>
      <c r="D7" s="2" t="s">
        <v>139</v>
      </c>
      <c r="F7" s="3" t="s">
        <v>58</v>
      </c>
      <c r="G7" s="3" t="s">
        <v>59</v>
      </c>
      <c r="H7" s="3" t="s">
        <v>58</v>
      </c>
      <c r="I7" s="3" t="s">
        <v>58</v>
      </c>
      <c r="J7" s="3" t="s">
        <v>60</v>
      </c>
      <c r="K7" s="2" t="s">
        <v>140</v>
      </c>
      <c r="L7" s="2" t="s">
        <v>141</v>
      </c>
      <c r="M7" s="3" t="s">
        <v>142</v>
      </c>
      <c r="O7" s="3" t="s">
        <v>65</v>
      </c>
      <c r="P7" s="3" t="s">
        <v>143</v>
      </c>
      <c r="R7" s="3" t="s">
        <v>67</v>
      </c>
      <c r="S7" s="4">
        <v>5</v>
      </c>
      <c r="T7" s="4">
        <v>5</v>
      </c>
      <c r="U7" s="5" t="s">
        <v>128</v>
      </c>
      <c r="V7" s="5" t="s">
        <v>128</v>
      </c>
      <c r="W7" s="5" t="s">
        <v>129</v>
      </c>
      <c r="X7" s="5" t="s">
        <v>129</v>
      </c>
      <c r="Y7" s="4">
        <v>488</v>
      </c>
      <c r="Z7" s="4">
        <v>426</v>
      </c>
      <c r="AA7" s="4">
        <v>435</v>
      </c>
      <c r="AB7" s="4">
        <v>2</v>
      </c>
      <c r="AC7" s="4">
        <v>2</v>
      </c>
      <c r="AD7" s="4">
        <v>3</v>
      </c>
      <c r="AE7" s="4">
        <v>3</v>
      </c>
      <c r="AF7" s="4">
        <v>2</v>
      </c>
      <c r="AG7" s="4">
        <v>2</v>
      </c>
      <c r="AH7" s="4">
        <v>0</v>
      </c>
      <c r="AI7" s="4">
        <v>0</v>
      </c>
      <c r="AJ7" s="4">
        <v>0</v>
      </c>
      <c r="AK7" s="4">
        <v>0</v>
      </c>
      <c r="AL7" s="4">
        <v>1</v>
      </c>
      <c r="AM7" s="4">
        <v>1</v>
      </c>
      <c r="AN7" s="4">
        <v>0</v>
      </c>
      <c r="AO7" s="4">
        <v>0</v>
      </c>
      <c r="AP7" s="3" t="s">
        <v>58</v>
      </c>
      <c r="AQ7" s="3" t="s">
        <v>69</v>
      </c>
      <c r="AR7" s="6" t="str">
        <f>HYPERLINK("http://catalog.hathitrust.org/Record/000296545","HathiTrust Record")</f>
        <v>HathiTrust Record</v>
      </c>
      <c r="AS7" s="6" t="str">
        <f>HYPERLINK("https://creighton-primo.hosted.exlibrisgroup.com/primo-explore/search?tab=default_tab&amp;search_scope=EVERYTHING&amp;vid=01CRU&amp;lang=en_US&amp;offset=0&amp;query=any,contains,991004390099702656","Catalog Record")</f>
        <v>Catalog Record</v>
      </c>
      <c r="AT7" s="6" t="str">
        <f>HYPERLINK("http://www.worldcat.org/oclc/3259093","WorldCat Record")</f>
        <v>WorldCat Record</v>
      </c>
      <c r="AU7" s="3" t="s">
        <v>144</v>
      </c>
      <c r="AV7" s="3" t="s">
        <v>145</v>
      </c>
      <c r="AW7" s="3" t="s">
        <v>146</v>
      </c>
      <c r="AX7" s="3" t="s">
        <v>146</v>
      </c>
      <c r="AY7" s="3" t="s">
        <v>147</v>
      </c>
      <c r="AZ7" s="3" t="s">
        <v>74</v>
      </c>
      <c r="BB7" s="3" t="s">
        <v>148</v>
      </c>
      <c r="BC7" s="3" t="s">
        <v>149</v>
      </c>
      <c r="BD7" s="3" t="s">
        <v>150</v>
      </c>
    </row>
    <row r="8" spans="1:56" ht="47.25" customHeight="1" x14ac:dyDescent="0.25">
      <c r="A8" s="7" t="s">
        <v>58</v>
      </c>
      <c r="B8" s="2" t="s">
        <v>151</v>
      </c>
      <c r="C8" s="2" t="s">
        <v>152</v>
      </c>
      <c r="D8" s="2" t="s">
        <v>153</v>
      </c>
      <c r="F8" s="3" t="s">
        <v>58</v>
      </c>
      <c r="G8" s="3" t="s">
        <v>59</v>
      </c>
      <c r="H8" s="3" t="s">
        <v>58</v>
      </c>
      <c r="I8" s="3" t="s">
        <v>58</v>
      </c>
      <c r="J8" s="3" t="s">
        <v>60</v>
      </c>
      <c r="K8" s="2" t="s">
        <v>154</v>
      </c>
      <c r="L8" s="2" t="s">
        <v>155</v>
      </c>
      <c r="M8" s="3" t="s">
        <v>156</v>
      </c>
      <c r="O8" s="3" t="s">
        <v>65</v>
      </c>
      <c r="P8" s="3" t="s">
        <v>100</v>
      </c>
      <c r="R8" s="3" t="s">
        <v>67</v>
      </c>
      <c r="S8" s="4">
        <v>3</v>
      </c>
      <c r="T8" s="4">
        <v>3</v>
      </c>
      <c r="U8" s="5" t="s">
        <v>157</v>
      </c>
      <c r="V8" s="5" t="s">
        <v>157</v>
      </c>
      <c r="W8" s="5" t="s">
        <v>158</v>
      </c>
      <c r="X8" s="5" t="s">
        <v>158</v>
      </c>
      <c r="Y8" s="4">
        <v>530</v>
      </c>
      <c r="Z8" s="4">
        <v>444</v>
      </c>
      <c r="AA8" s="4">
        <v>465</v>
      </c>
      <c r="AB8" s="4">
        <v>5</v>
      </c>
      <c r="AC8" s="4">
        <v>5</v>
      </c>
      <c r="AD8" s="4">
        <v>9</v>
      </c>
      <c r="AE8" s="4">
        <v>9</v>
      </c>
      <c r="AF8" s="4">
        <v>2</v>
      </c>
      <c r="AG8" s="4">
        <v>2</v>
      </c>
      <c r="AH8" s="4">
        <v>3</v>
      </c>
      <c r="AI8" s="4">
        <v>3</v>
      </c>
      <c r="AJ8" s="4">
        <v>3</v>
      </c>
      <c r="AK8" s="4">
        <v>3</v>
      </c>
      <c r="AL8" s="4">
        <v>4</v>
      </c>
      <c r="AM8" s="4">
        <v>4</v>
      </c>
      <c r="AN8" s="4">
        <v>0</v>
      </c>
      <c r="AO8" s="4">
        <v>0</v>
      </c>
      <c r="AP8" s="3" t="s">
        <v>58</v>
      </c>
      <c r="AQ8" s="3" t="s">
        <v>69</v>
      </c>
      <c r="AR8" s="6" t="str">
        <f>HYPERLINK("http://catalog.hathitrust.org/Record/000740414","HathiTrust Record")</f>
        <v>HathiTrust Record</v>
      </c>
      <c r="AS8" s="6" t="str">
        <f>HYPERLINK("https://creighton-primo.hosted.exlibrisgroup.com/primo-explore/search?tab=default_tab&amp;search_scope=EVERYTHING&amp;vid=01CRU&amp;lang=en_US&amp;offset=0&amp;query=any,contains,991004686049702656","Catalog Record")</f>
        <v>Catalog Record</v>
      </c>
      <c r="AT8" s="6" t="str">
        <f>HYPERLINK("http://www.worldcat.org/oclc/4592995","WorldCat Record")</f>
        <v>WorldCat Record</v>
      </c>
      <c r="AU8" s="3" t="s">
        <v>159</v>
      </c>
      <c r="AV8" s="3" t="s">
        <v>160</v>
      </c>
      <c r="AW8" s="3" t="s">
        <v>161</v>
      </c>
      <c r="AX8" s="3" t="s">
        <v>161</v>
      </c>
      <c r="AY8" s="3" t="s">
        <v>162</v>
      </c>
      <c r="AZ8" s="3" t="s">
        <v>74</v>
      </c>
      <c r="BB8" s="3" t="s">
        <v>163</v>
      </c>
      <c r="BC8" s="3" t="s">
        <v>164</v>
      </c>
      <c r="BD8" s="3" t="s">
        <v>165</v>
      </c>
    </row>
    <row r="9" spans="1:56" ht="47.25" customHeight="1" x14ac:dyDescent="0.25">
      <c r="A9" s="7" t="s">
        <v>58</v>
      </c>
      <c r="B9" s="2" t="s">
        <v>166</v>
      </c>
      <c r="C9" s="2" t="s">
        <v>167</v>
      </c>
      <c r="D9" s="2" t="s">
        <v>168</v>
      </c>
      <c r="F9" s="3" t="s">
        <v>58</v>
      </c>
      <c r="G9" s="3" t="s">
        <v>59</v>
      </c>
      <c r="H9" s="3" t="s">
        <v>58</v>
      </c>
      <c r="I9" s="3" t="s">
        <v>58</v>
      </c>
      <c r="J9" s="3" t="s">
        <v>60</v>
      </c>
      <c r="K9" s="2" t="s">
        <v>169</v>
      </c>
      <c r="L9" s="2" t="s">
        <v>170</v>
      </c>
      <c r="M9" s="3" t="s">
        <v>171</v>
      </c>
      <c r="O9" s="3" t="s">
        <v>65</v>
      </c>
      <c r="P9" s="3" t="s">
        <v>66</v>
      </c>
      <c r="R9" s="3" t="s">
        <v>67</v>
      </c>
      <c r="S9" s="4">
        <v>8</v>
      </c>
      <c r="T9" s="4">
        <v>8</v>
      </c>
      <c r="U9" s="5" t="s">
        <v>128</v>
      </c>
      <c r="V9" s="5" t="s">
        <v>128</v>
      </c>
      <c r="W9" s="5" t="s">
        <v>172</v>
      </c>
      <c r="X9" s="5" t="s">
        <v>172</v>
      </c>
      <c r="Y9" s="4">
        <v>458</v>
      </c>
      <c r="Z9" s="4">
        <v>426</v>
      </c>
      <c r="AA9" s="4">
        <v>428</v>
      </c>
      <c r="AB9" s="4">
        <v>4</v>
      </c>
      <c r="AC9" s="4">
        <v>4</v>
      </c>
      <c r="AD9" s="4">
        <v>15</v>
      </c>
      <c r="AE9" s="4">
        <v>15</v>
      </c>
      <c r="AF9" s="4">
        <v>6</v>
      </c>
      <c r="AG9" s="4">
        <v>6</v>
      </c>
      <c r="AH9" s="4">
        <v>2</v>
      </c>
      <c r="AI9" s="4">
        <v>2</v>
      </c>
      <c r="AJ9" s="4">
        <v>8</v>
      </c>
      <c r="AK9" s="4">
        <v>8</v>
      </c>
      <c r="AL9" s="4">
        <v>2</v>
      </c>
      <c r="AM9" s="4">
        <v>2</v>
      </c>
      <c r="AN9" s="4">
        <v>0</v>
      </c>
      <c r="AO9" s="4">
        <v>0</v>
      </c>
      <c r="AP9" s="3" t="s">
        <v>58</v>
      </c>
      <c r="AQ9" s="3" t="s">
        <v>69</v>
      </c>
      <c r="AR9" s="6" t="str">
        <f>HYPERLINK("http://catalog.hathitrust.org/Record/003973797","HathiTrust Record")</f>
        <v>HathiTrust Record</v>
      </c>
      <c r="AS9" s="6" t="str">
        <f>HYPERLINK("https://creighton-primo.hosted.exlibrisgroup.com/primo-explore/search?tab=default_tab&amp;search_scope=EVERYTHING&amp;vid=01CRU&amp;lang=en_US&amp;offset=0&amp;query=any,contains,991002771009702656","Catalog Record")</f>
        <v>Catalog Record</v>
      </c>
      <c r="AT9" s="6" t="str">
        <f>HYPERLINK("http://www.worldcat.org/oclc/36379783","WorldCat Record")</f>
        <v>WorldCat Record</v>
      </c>
      <c r="AU9" s="3" t="s">
        <v>173</v>
      </c>
      <c r="AV9" s="3" t="s">
        <v>174</v>
      </c>
      <c r="AW9" s="3" t="s">
        <v>175</v>
      </c>
      <c r="AX9" s="3" t="s">
        <v>175</v>
      </c>
      <c r="AY9" s="3" t="s">
        <v>176</v>
      </c>
      <c r="AZ9" s="3" t="s">
        <v>74</v>
      </c>
      <c r="BB9" s="3" t="s">
        <v>177</v>
      </c>
      <c r="BC9" s="3" t="s">
        <v>178</v>
      </c>
      <c r="BD9" s="3" t="s">
        <v>179</v>
      </c>
    </row>
    <row r="10" spans="1:56" ht="47.25" customHeight="1" x14ac:dyDescent="0.25">
      <c r="A10" s="7" t="s">
        <v>58</v>
      </c>
      <c r="B10" s="2" t="s">
        <v>180</v>
      </c>
      <c r="C10" s="2" t="s">
        <v>181</v>
      </c>
      <c r="D10" s="2" t="s">
        <v>182</v>
      </c>
      <c r="F10" s="3" t="s">
        <v>69</v>
      </c>
      <c r="G10" s="3" t="s">
        <v>59</v>
      </c>
      <c r="H10" s="3" t="s">
        <v>69</v>
      </c>
      <c r="I10" s="3" t="s">
        <v>58</v>
      </c>
      <c r="J10" s="3" t="s">
        <v>60</v>
      </c>
      <c r="K10" s="2" t="s">
        <v>183</v>
      </c>
      <c r="L10" s="2" t="s">
        <v>184</v>
      </c>
      <c r="M10" s="3" t="s">
        <v>185</v>
      </c>
      <c r="N10" s="2" t="s">
        <v>186</v>
      </c>
      <c r="O10" s="3" t="s">
        <v>65</v>
      </c>
      <c r="P10" s="3" t="s">
        <v>100</v>
      </c>
      <c r="R10" s="3" t="s">
        <v>67</v>
      </c>
      <c r="S10" s="4">
        <v>0</v>
      </c>
      <c r="T10" s="4">
        <v>8</v>
      </c>
      <c r="V10" s="5" t="s">
        <v>187</v>
      </c>
      <c r="W10" s="5" t="s">
        <v>188</v>
      </c>
      <c r="X10" s="5" t="s">
        <v>188</v>
      </c>
      <c r="Y10" s="4">
        <v>1961</v>
      </c>
      <c r="Z10" s="4">
        <v>1900</v>
      </c>
      <c r="AA10" s="4">
        <v>1922</v>
      </c>
      <c r="AB10" s="4">
        <v>15</v>
      </c>
      <c r="AC10" s="4">
        <v>15</v>
      </c>
      <c r="AD10" s="4">
        <v>47</v>
      </c>
      <c r="AE10" s="4">
        <v>47</v>
      </c>
      <c r="AF10" s="4">
        <v>21</v>
      </c>
      <c r="AG10" s="4">
        <v>21</v>
      </c>
      <c r="AH10" s="4">
        <v>6</v>
      </c>
      <c r="AI10" s="4">
        <v>6</v>
      </c>
      <c r="AJ10" s="4">
        <v>19</v>
      </c>
      <c r="AK10" s="4">
        <v>19</v>
      </c>
      <c r="AL10" s="4">
        <v>11</v>
      </c>
      <c r="AM10" s="4">
        <v>11</v>
      </c>
      <c r="AN10" s="4">
        <v>0</v>
      </c>
      <c r="AO10" s="4">
        <v>0</v>
      </c>
      <c r="AP10" s="3" t="s">
        <v>58</v>
      </c>
      <c r="AQ10" s="3" t="s">
        <v>69</v>
      </c>
      <c r="AR10" s="6" t="str">
        <f t="shared" ref="AR10:AR23" si="0">HYPERLINK("http://catalog.hathitrust.org/Record/001494007","HathiTrust Record")</f>
        <v>HathiTrust Record</v>
      </c>
      <c r="AS10" s="6" t="str">
        <f t="shared" ref="AS10:AS23" si="1">HYPERLINK("https://creighton-primo.hosted.exlibrisgroup.com/primo-explore/search?tab=default_tab&amp;search_scope=EVERYTHING&amp;vid=01CRU&amp;lang=en_US&amp;offset=0&amp;query=any,contains,991000961419702656","Catalog Record")</f>
        <v>Catalog Record</v>
      </c>
      <c r="AT10" s="6" t="str">
        <f t="shared" ref="AT10:AT23" si="2">HYPERLINK("http://www.worldcat.org/oclc/169439","WorldCat Record")</f>
        <v>WorldCat Record</v>
      </c>
      <c r="AU10" s="3" t="s">
        <v>189</v>
      </c>
      <c r="AV10" s="3" t="s">
        <v>190</v>
      </c>
      <c r="AW10" s="3" t="s">
        <v>191</v>
      </c>
      <c r="AX10" s="3" t="s">
        <v>191</v>
      </c>
      <c r="AY10" s="3" t="s">
        <v>192</v>
      </c>
      <c r="AZ10" s="3" t="s">
        <v>74</v>
      </c>
      <c r="BC10" s="3" t="s">
        <v>193</v>
      </c>
      <c r="BD10" s="3" t="s">
        <v>194</v>
      </c>
    </row>
    <row r="11" spans="1:56" ht="47.25" customHeight="1" x14ac:dyDescent="0.25">
      <c r="A11" s="7" t="s">
        <v>58</v>
      </c>
      <c r="B11" s="2" t="s">
        <v>195</v>
      </c>
      <c r="C11" s="2" t="s">
        <v>196</v>
      </c>
      <c r="D11" s="2" t="s">
        <v>182</v>
      </c>
      <c r="E11" s="3" t="s">
        <v>197</v>
      </c>
      <c r="F11" s="3" t="s">
        <v>69</v>
      </c>
      <c r="G11" s="3" t="s">
        <v>59</v>
      </c>
      <c r="H11" s="3" t="s">
        <v>58</v>
      </c>
      <c r="I11" s="3" t="s">
        <v>58</v>
      </c>
      <c r="J11" s="3" t="s">
        <v>60</v>
      </c>
      <c r="K11" s="2" t="s">
        <v>183</v>
      </c>
      <c r="L11" s="2" t="s">
        <v>184</v>
      </c>
      <c r="M11" s="3" t="s">
        <v>185</v>
      </c>
      <c r="N11" s="2" t="s">
        <v>186</v>
      </c>
      <c r="O11" s="3" t="s">
        <v>65</v>
      </c>
      <c r="P11" s="3" t="s">
        <v>100</v>
      </c>
      <c r="R11" s="3" t="s">
        <v>67</v>
      </c>
      <c r="S11" s="4">
        <v>0</v>
      </c>
      <c r="T11" s="4">
        <v>8</v>
      </c>
      <c r="V11" s="5" t="s">
        <v>187</v>
      </c>
      <c r="W11" s="5" t="s">
        <v>188</v>
      </c>
      <c r="X11" s="5" t="s">
        <v>188</v>
      </c>
      <c r="Y11" s="4">
        <v>1961</v>
      </c>
      <c r="Z11" s="4">
        <v>1900</v>
      </c>
      <c r="AA11" s="4">
        <v>1922</v>
      </c>
      <c r="AB11" s="4">
        <v>15</v>
      </c>
      <c r="AC11" s="4">
        <v>15</v>
      </c>
      <c r="AD11" s="4">
        <v>47</v>
      </c>
      <c r="AE11" s="4">
        <v>47</v>
      </c>
      <c r="AF11" s="4">
        <v>21</v>
      </c>
      <c r="AG11" s="4">
        <v>21</v>
      </c>
      <c r="AH11" s="4">
        <v>6</v>
      </c>
      <c r="AI11" s="4">
        <v>6</v>
      </c>
      <c r="AJ11" s="4">
        <v>19</v>
      </c>
      <c r="AK11" s="4">
        <v>19</v>
      </c>
      <c r="AL11" s="4">
        <v>11</v>
      </c>
      <c r="AM11" s="4">
        <v>11</v>
      </c>
      <c r="AN11" s="4">
        <v>0</v>
      </c>
      <c r="AO11" s="4">
        <v>0</v>
      </c>
      <c r="AP11" s="3" t="s">
        <v>58</v>
      </c>
      <c r="AQ11" s="3" t="s">
        <v>69</v>
      </c>
      <c r="AR11" s="6" t="str">
        <f t="shared" si="0"/>
        <v>HathiTrust Record</v>
      </c>
      <c r="AS11" s="6" t="str">
        <f t="shared" si="1"/>
        <v>Catalog Record</v>
      </c>
      <c r="AT11" s="6" t="str">
        <f t="shared" si="2"/>
        <v>WorldCat Record</v>
      </c>
      <c r="AU11" s="3" t="s">
        <v>189</v>
      </c>
      <c r="AV11" s="3" t="s">
        <v>190</v>
      </c>
      <c r="AW11" s="3" t="s">
        <v>191</v>
      </c>
      <c r="AX11" s="3" t="s">
        <v>191</v>
      </c>
      <c r="AY11" s="3" t="s">
        <v>192</v>
      </c>
      <c r="AZ11" s="3" t="s">
        <v>74</v>
      </c>
      <c r="BC11" s="3" t="s">
        <v>198</v>
      </c>
      <c r="BD11" s="3" t="s">
        <v>199</v>
      </c>
    </row>
    <row r="12" spans="1:56" ht="47.25" customHeight="1" x14ac:dyDescent="0.25">
      <c r="A12" s="7" t="s">
        <v>58</v>
      </c>
      <c r="B12" s="2" t="s">
        <v>200</v>
      </c>
      <c r="C12" s="2" t="s">
        <v>201</v>
      </c>
      <c r="D12" s="2" t="s">
        <v>182</v>
      </c>
      <c r="E12" s="3" t="s">
        <v>202</v>
      </c>
      <c r="F12" s="3" t="s">
        <v>69</v>
      </c>
      <c r="G12" s="3" t="s">
        <v>59</v>
      </c>
      <c r="H12" s="3" t="s">
        <v>58</v>
      </c>
      <c r="I12" s="3" t="s">
        <v>58</v>
      </c>
      <c r="J12" s="3" t="s">
        <v>60</v>
      </c>
      <c r="K12" s="2" t="s">
        <v>183</v>
      </c>
      <c r="L12" s="2" t="s">
        <v>184</v>
      </c>
      <c r="M12" s="3" t="s">
        <v>185</v>
      </c>
      <c r="N12" s="2" t="s">
        <v>186</v>
      </c>
      <c r="O12" s="3" t="s">
        <v>65</v>
      </c>
      <c r="P12" s="3" t="s">
        <v>100</v>
      </c>
      <c r="R12" s="3" t="s">
        <v>67</v>
      </c>
      <c r="S12" s="4">
        <v>0</v>
      </c>
      <c r="T12" s="4">
        <v>8</v>
      </c>
      <c r="V12" s="5" t="s">
        <v>187</v>
      </c>
      <c r="W12" s="5" t="s">
        <v>188</v>
      </c>
      <c r="X12" s="5" t="s">
        <v>188</v>
      </c>
      <c r="Y12" s="4">
        <v>1961</v>
      </c>
      <c r="Z12" s="4">
        <v>1900</v>
      </c>
      <c r="AA12" s="4">
        <v>1922</v>
      </c>
      <c r="AB12" s="4">
        <v>15</v>
      </c>
      <c r="AC12" s="4">
        <v>15</v>
      </c>
      <c r="AD12" s="4">
        <v>47</v>
      </c>
      <c r="AE12" s="4">
        <v>47</v>
      </c>
      <c r="AF12" s="4">
        <v>21</v>
      </c>
      <c r="AG12" s="4">
        <v>21</v>
      </c>
      <c r="AH12" s="4">
        <v>6</v>
      </c>
      <c r="AI12" s="4">
        <v>6</v>
      </c>
      <c r="AJ12" s="4">
        <v>19</v>
      </c>
      <c r="AK12" s="4">
        <v>19</v>
      </c>
      <c r="AL12" s="4">
        <v>11</v>
      </c>
      <c r="AM12" s="4">
        <v>11</v>
      </c>
      <c r="AN12" s="4">
        <v>0</v>
      </c>
      <c r="AO12" s="4">
        <v>0</v>
      </c>
      <c r="AP12" s="3" t="s">
        <v>58</v>
      </c>
      <c r="AQ12" s="3" t="s">
        <v>69</v>
      </c>
      <c r="AR12" s="6" t="str">
        <f t="shared" si="0"/>
        <v>HathiTrust Record</v>
      </c>
      <c r="AS12" s="6" t="str">
        <f t="shared" si="1"/>
        <v>Catalog Record</v>
      </c>
      <c r="AT12" s="6" t="str">
        <f t="shared" si="2"/>
        <v>WorldCat Record</v>
      </c>
      <c r="AU12" s="3" t="s">
        <v>189</v>
      </c>
      <c r="AV12" s="3" t="s">
        <v>190</v>
      </c>
      <c r="AW12" s="3" t="s">
        <v>191</v>
      </c>
      <c r="AX12" s="3" t="s">
        <v>191</v>
      </c>
      <c r="AY12" s="3" t="s">
        <v>192</v>
      </c>
      <c r="AZ12" s="3" t="s">
        <v>74</v>
      </c>
      <c r="BC12" s="3" t="s">
        <v>203</v>
      </c>
      <c r="BD12" s="3" t="s">
        <v>204</v>
      </c>
    </row>
    <row r="13" spans="1:56" ht="47.25" customHeight="1" x14ac:dyDescent="0.25">
      <c r="A13" s="7" t="s">
        <v>58</v>
      </c>
      <c r="B13" s="2" t="s">
        <v>205</v>
      </c>
      <c r="C13" s="2" t="s">
        <v>206</v>
      </c>
      <c r="D13" s="2" t="s">
        <v>182</v>
      </c>
      <c r="E13" s="3" t="s">
        <v>207</v>
      </c>
      <c r="F13" s="3" t="s">
        <v>69</v>
      </c>
      <c r="G13" s="3" t="s">
        <v>59</v>
      </c>
      <c r="H13" s="3" t="s">
        <v>58</v>
      </c>
      <c r="I13" s="3" t="s">
        <v>58</v>
      </c>
      <c r="J13" s="3" t="s">
        <v>60</v>
      </c>
      <c r="K13" s="2" t="s">
        <v>183</v>
      </c>
      <c r="L13" s="2" t="s">
        <v>184</v>
      </c>
      <c r="M13" s="3" t="s">
        <v>185</v>
      </c>
      <c r="N13" s="2" t="s">
        <v>186</v>
      </c>
      <c r="O13" s="3" t="s">
        <v>65</v>
      </c>
      <c r="P13" s="3" t="s">
        <v>100</v>
      </c>
      <c r="R13" s="3" t="s">
        <v>67</v>
      </c>
      <c r="S13" s="4">
        <v>0</v>
      </c>
      <c r="T13" s="4">
        <v>8</v>
      </c>
      <c r="V13" s="5" t="s">
        <v>187</v>
      </c>
      <c r="W13" s="5" t="s">
        <v>188</v>
      </c>
      <c r="X13" s="5" t="s">
        <v>188</v>
      </c>
      <c r="Y13" s="4">
        <v>1961</v>
      </c>
      <c r="Z13" s="4">
        <v>1900</v>
      </c>
      <c r="AA13" s="4">
        <v>1922</v>
      </c>
      <c r="AB13" s="4">
        <v>15</v>
      </c>
      <c r="AC13" s="4">
        <v>15</v>
      </c>
      <c r="AD13" s="4">
        <v>47</v>
      </c>
      <c r="AE13" s="4">
        <v>47</v>
      </c>
      <c r="AF13" s="4">
        <v>21</v>
      </c>
      <c r="AG13" s="4">
        <v>21</v>
      </c>
      <c r="AH13" s="4">
        <v>6</v>
      </c>
      <c r="AI13" s="4">
        <v>6</v>
      </c>
      <c r="AJ13" s="4">
        <v>19</v>
      </c>
      <c r="AK13" s="4">
        <v>19</v>
      </c>
      <c r="AL13" s="4">
        <v>11</v>
      </c>
      <c r="AM13" s="4">
        <v>11</v>
      </c>
      <c r="AN13" s="4">
        <v>0</v>
      </c>
      <c r="AO13" s="4">
        <v>0</v>
      </c>
      <c r="AP13" s="3" t="s">
        <v>58</v>
      </c>
      <c r="AQ13" s="3" t="s">
        <v>69</v>
      </c>
      <c r="AR13" s="6" t="str">
        <f t="shared" si="0"/>
        <v>HathiTrust Record</v>
      </c>
      <c r="AS13" s="6" t="str">
        <f t="shared" si="1"/>
        <v>Catalog Record</v>
      </c>
      <c r="AT13" s="6" t="str">
        <f t="shared" si="2"/>
        <v>WorldCat Record</v>
      </c>
      <c r="AU13" s="3" t="s">
        <v>189</v>
      </c>
      <c r="AV13" s="3" t="s">
        <v>190</v>
      </c>
      <c r="AW13" s="3" t="s">
        <v>191</v>
      </c>
      <c r="AX13" s="3" t="s">
        <v>191</v>
      </c>
      <c r="AY13" s="3" t="s">
        <v>192</v>
      </c>
      <c r="AZ13" s="3" t="s">
        <v>74</v>
      </c>
      <c r="BC13" s="3" t="s">
        <v>208</v>
      </c>
      <c r="BD13" s="3" t="s">
        <v>209</v>
      </c>
    </row>
    <row r="14" spans="1:56" ht="47.25" customHeight="1" x14ac:dyDescent="0.25">
      <c r="A14" s="7" t="s">
        <v>58</v>
      </c>
      <c r="B14" s="2" t="s">
        <v>210</v>
      </c>
      <c r="C14" s="2" t="s">
        <v>211</v>
      </c>
      <c r="D14" s="2" t="s">
        <v>182</v>
      </c>
      <c r="E14" s="3" t="s">
        <v>212</v>
      </c>
      <c r="F14" s="3" t="s">
        <v>69</v>
      </c>
      <c r="G14" s="3" t="s">
        <v>59</v>
      </c>
      <c r="H14" s="3" t="s">
        <v>58</v>
      </c>
      <c r="I14" s="3" t="s">
        <v>58</v>
      </c>
      <c r="J14" s="3" t="s">
        <v>60</v>
      </c>
      <c r="K14" s="2" t="s">
        <v>183</v>
      </c>
      <c r="L14" s="2" t="s">
        <v>184</v>
      </c>
      <c r="M14" s="3" t="s">
        <v>185</v>
      </c>
      <c r="N14" s="2" t="s">
        <v>186</v>
      </c>
      <c r="O14" s="3" t="s">
        <v>65</v>
      </c>
      <c r="P14" s="3" t="s">
        <v>100</v>
      </c>
      <c r="R14" s="3" t="s">
        <v>67</v>
      </c>
      <c r="S14" s="4">
        <v>0</v>
      </c>
      <c r="T14" s="4">
        <v>8</v>
      </c>
      <c r="V14" s="5" t="s">
        <v>187</v>
      </c>
      <c r="W14" s="5" t="s">
        <v>188</v>
      </c>
      <c r="X14" s="5" t="s">
        <v>188</v>
      </c>
      <c r="Y14" s="4">
        <v>1961</v>
      </c>
      <c r="Z14" s="4">
        <v>1900</v>
      </c>
      <c r="AA14" s="4">
        <v>1922</v>
      </c>
      <c r="AB14" s="4">
        <v>15</v>
      </c>
      <c r="AC14" s="4">
        <v>15</v>
      </c>
      <c r="AD14" s="4">
        <v>47</v>
      </c>
      <c r="AE14" s="4">
        <v>47</v>
      </c>
      <c r="AF14" s="4">
        <v>21</v>
      </c>
      <c r="AG14" s="4">
        <v>21</v>
      </c>
      <c r="AH14" s="4">
        <v>6</v>
      </c>
      <c r="AI14" s="4">
        <v>6</v>
      </c>
      <c r="AJ14" s="4">
        <v>19</v>
      </c>
      <c r="AK14" s="4">
        <v>19</v>
      </c>
      <c r="AL14" s="4">
        <v>11</v>
      </c>
      <c r="AM14" s="4">
        <v>11</v>
      </c>
      <c r="AN14" s="4">
        <v>0</v>
      </c>
      <c r="AO14" s="4">
        <v>0</v>
      </c>
      <c r="AP14" s="3" t="s">
        <v>58</v>
      </c>
      <c r="AQ14" s="3" t="s">
        <v>69</v>
      </c>
      <c r="AR14" s="6" t="str">
        <f t="shared" si="0"/>
        <v>HathiTrust Record</v>
      </c>
      <c r="AS14" s="6" t="str">
        <f t="shared" si="1"/>
        <v>Catalog Record</v>
      </c>
      <c r="AT14" s="6" t="str">
        <f t="shared" si="2"/>
        <v>WorldCat Record</v>
      </c>
      <c r="AU14" s="3" t="s">
        <v>189</v>
      </c>
      <c r="AV14" s="3" t="s">
        <v>190</v>
      </c>
      <c r="AW14" s="3" t="s">
        <v>191</v>
      </c>
      <c r="AX14" s="3" t="s">
        <v>191</v>
      </c>
      <c r="AY14" s="3" t="s">
        <v>192</v>
      </c>
      <c r="AZ14" s="3" t="s">
        <v>74</v>
      </c>
      <c r="BC14" s="3" t="s">
        <v>213</v>
      </c>
      <c r="BD14" s="3" t="s">
        <v>214</v>
      </c>
    </row>
    <row r="15" spans="1:56" ht="47.25" customHeight="1" x14ac:dyDescent="0.25">
      <c r="A15" s="7" t="s">
        <v>58</v>
      </c>
      <c r="B15" s="2" t="s">
        <v>215</v>
      </c>
      <c r="C15" s="2" t="s">
        <v>216</v>
      </c>
      <c r="D15" s="2" t="s">
        <v>182</v>
      </c>
      <c r="E15" s="3" t="s">
        <v>217</v>
      </c>
      <c r="F15" s="3" t="s">
        <v>69</v>
      </c>
      <c r="G15" s="3" t="s">
        <v>59</v>
      </c>
      <c r="H15" s="3" t="s">
        <v>58</v>
      </c>
      <c r="I15" s="3" t="s">
        <v>58</v>
      </c>
      <c r="J15" s="3" t="s">
        <v>60</v>
      </c>
      <c r="K15" s="2" t="s">
        <v>183</v>
      </c>
      <c r="L15" s="2" t="s">
        <v>184</v>
      </c>
      <c r="M15" s="3" t="s">
        <v>185</v>
      </c>
      <c r="N15" s="2" t="s">
        <v>186</v>
      </c>
      <c r="O15" s="3" t="s">
        <v>65</v>
      </c>
      <c r="P15" s="3" t="s">
        <v>100</v>
      </c>
      <c r="R15" s="3" t="s">
        <v>67</v>
      </c>
      <c r="S15" s="4">
        <v>0</v>
      </c>
      <c r="T15" s="4">
        <v>8</v>
      </c>
      <c r="V15" s="5" t="s">
        <v>187</v>
      </c>
      <c r="W15" s="5" t="s">
        <v>188</v>
      </c>
      <c r="X15" s="5" t="s">
        <v>188</v>
      </c>
      <c r="Y15" s="4">
        <v>1961</v>
      </c>
      <c r="Z15" s="4">
        <v>1900</v>
      </c>
      <c r="AA15" s="4">
        <v>1922</v>
      </c>
      <c r="AB15" s="4">
        <v>15</v>
      </c>
      <c r="AC15" s="4">
        <v>15</v>
      </c>
      <c r="AD15" s="4">
        <v>47</v>
      </c>
      <c r="AE15" s="4">
        <v>47</v>
      </c>
      <c r="AF15" s="4">
        <v>21</v>
      </c>
      <c r="AG15" s="4">
        <v>21</v>
      </c>
      <c r="AH15" s="4">
        <v>6</v>
      </c>
      <c r="AI15" s="4">
        <v>6</v>
      </c>
      <c r="AJ15" s="4">
        <v>19</v>
      </c>
      <c r="AK15" s="4">
        <v>19</v>
      </c>
      <c r="AL15" s="4">
        <v>11</v>
      </c>
      <c r="AM15" s="4">
        <v>11</v>
      </c>
      <c r="AN15" s="4">
        <v>0</v>
      </c>
      <c r="AO15" s="4">
        <v>0</v>
      </c>
      <c r="AP15" s="3" t="s">
        <v>58</v>
      </c>
      <c r="AQ15" s="3" t="s">
        <v>69</v>
      </c>
      <c r="AR15" s="6" t="str">
        <f t="shared" si="0"/>
        <v>HathiTrust Record</v>
      </c>
      <c r="AS15" s="6" t="str">
        <f t="shared" si="1"/>
        <v>Catalog Record</v>
      </c>
      <c r="AT15" s="6" t="str">
        <f t="shared" si="2"/>
        <v>WorldCat Record</v>
      </c>
      <c r="AU15" s="3" t="s">
        <v>189</v>
      </c>
      <c r="AV15" s="3" t="s">
        <v>190</v>
      </c>
      <c r="AW15" s="3" t="s">
        <v>191</v>
      </c>
      <c r="AX15" s="3" t="s">
        <v>191</v>
      </c>
      <c r="AY15" s="3" t="s">
        <v>192</v>
      </c>
      <c r="AZ15" s="3" t="s">
        <v>74</v>
      </c>
      <c r="BC15" s="3" t="s">
        <v>218</v>
      </c>
      <c r="BD15" s="3" t="s">
        <v>219</v>
      </c>
    </row>
    <row r="16" spans="1:56" ht="47.25" customHeight="1" x14ac:dyDescent="0.25">
      <c r="A16" s="7" t="s">
        <v>58</v>
      </c>
      <c r="B16" s="2" t="s">
        <v>220</v>
      </c>
      <c r="C16" s="2" t="s">
        <v>221</v>
      </c>
      <c r="D16" s="2" t="s">
        <v>182</v>
      </c>
      <c r="E16" s="3" t="s">
        <v>222</v>
      </c>
      <c r="F16" s="3" t="s">
        <v>69</v>
      </c>
      <c r="G16" s="3" t="s">
        <v>59</v>
      </c>
      <c r="H16" s="3" t="s">
        <v>58</v>
      </c>
      <c r="I16" s="3" t="s">
        <v>58</v>
      </c>
      <c r="J16" s="3" t="s">
        <v>60</v>
      </c>
      <c r="K16" s="2" t="s">
        <v>183</v>
      </c>
      <c r="L16" s="2" t="s">
        <v>184</v>
      </c>
      <c r="M16" s="3" t="s">
        <v>185</v>
      </c>
      <c r="N16" s="2" t="s">
        <v>186</v>
      </c>
      <c r="O16" s="3" t="s">
        <v>65</v>
      </c>
      <c r="P16" s="3" t="s">
        <v>100</v>
      </c>
      <c r="R16" s="3" t="s">
        <v>67</v>
      </c>
      <c r="S16" s="4">
        <v>1</v>
      </c>
      <c r="T16" s="4">
        <v>8</v>
      </c>
      <c r="V16" s="5" t="s">
        <v>187</v>
      </c>
      <c r="W16" s="5" t="s">
        <v>188</v>
      </c>
      <c r="X16" s="5" t="s">
        <v>188</v>
      </c>
      <c r="Y16" s="4">
        <v>1961</v>
      </c>
      <c r="Z16" s="4">
        <v>1900</v>
      </c>
      <c r="AA16" s="4">
        <v>1922</v>
      </c>
      <c r="AB16" s="4">
        <v>15</v>
      </c>
      <c r="AC16" s="4">
        <v>15</v>
      </c>
      <c r="AD16" s="4">
        <v>47</v>
      </c>
      <c r="AE16" s="4">
        <v>47</v>
      </c>
      <c r="AF16" s="4">
        <v>21</v>
      </c>
      <c r="AG16" s="4">
        <v>21</v>
      </c>
      <c r="AH16" s="4">
        <v>6</v>
      </c>
      <c r="AI16" s="4">
        <v>6</v>
      </c>
      <c r="AJ16" s="4">
        <v>19</v>
      </c>
      <c r="AK16" s="4">
        <v>19</v>
      </c>
      <c r="AL16" s="4">
        <v>11</v>
      </c>
      <c r="AM16" s="4">
        <v>11</v>
      </c>
      <c r="AN16" s="4">
        <v>0</v>
      </c>
      <c r="AO16" s="4">
        <v>0</v>
      </c>
      <c r="AP16" s="3" t="s">
        <v>58</v>
      </c>
      <c r="AQ16" s="3" t="s">
        <v>69</v>
      </c>
      <c r="AR16" s="6" t="str">
        <f t="shared" si="0"/>
        <v>HathiTrust Record</v>
      </c>
      <c r="AS16" s="6" t="str">
        <f t="shared" si="1"/>
        <v>Catalog Record</v>
      </c>
      <c r="AT16" s="6" t="str">
        <f t="shared" si="2"/>
        <v>WorldCat Record</v>
      </c>
      <c r="AU16" s="3" t="s">
        <v>189</v>
      </c>
      <c r="AV16" s="3" t="s">
        <v>190</v>
      </c>
      <c r="AW16" s="3" t="s">
        <v>191</v>
      </c>
      <c r="AX16" s="3" t="s">
        <v>191</v>
      </c>
      <c r="AY16" s="3" t="s">
        <v>192</v>
      </c>
      <c r="AZ16" s="3" t="s">
        <v>74</v>
      </c>
      <c r="BC16" s="3" t="s">
        <v>223</v>
      </c>
      <c r="BD16" s="3" t="s">
        <v>224</v>
      </c>
    </row>
    <row r="17" spans="1:56" ht="47.25" customHeight="1" x14ac:dyDescent="0.25">
      <c r="A17" s="7" t="s">
        <v>58</v>
      </c>
      <c r="B17" s="2" t="s">
        <v>225</v>
      </c>
      <c r="C17" s="2" t="s">
        <v>226</v>
      </c>
      <c r="D17" s="2" t="s">
        <v>182</v>
      </c>
      <c r="E17" s="3" t="s">
        <v>227</v>
      </c>
      <c r="F17" s="3" t="s">
        <v>69</v>
      </c>
      <c r="G17" s="3" t="s">
        <v>59</v>
      </c>
      <c r="H17" s="3" t="s">
        <v>58</v>
      </c>
      <c r="I17" s="3" t="s">
        <v>58</v>
      </c>
      <c r="J17" s="3" t="s">
        <v>60</v>
      </c>
      <c r="K17" s="2" t="s">
        <v>183</v>
      </c>
      <c r="L17" s="2" t="s">
        <v>184</v>
      </c>
      <c r="M17" s="3" t="s">
        <v>185</v>
      </c>
      <c r="N17" s="2" t="s">
        <v>186</v>
      </c>
      <c r="O17" s="3" t="s">
        <v>65</v>
      </c>
      <c r="P17" s="3" t="s">
        <v>100</v>
      </c>
      <c r="R17" s="3" t="s">
        <v>67</v>
      </c>
      <c r="S17" s="4">
        <v>0</v>
      </c>
      <c r="T17" s="4">
        <v>8</v>
      </c>
      <c r="V17" s="5" t="s">
        <v>187</v>
      </c>
      <c r="W17" s="5" t="s">
        <v>188</v>
      </c>
      <c r="X17" s="5" t="s">
        <v>188</v>
      </c>
      <c r="Y17" s="4">
        <v>1961</v>
      </c>
      <c r="Z17" s="4">
        <v>1900</v>
      </c>
      <c r="AA17" s="4">
        <v>1922</v>
      </c>
      <c r="AB17" s="4">
        <v>15</v>
      </c>
      <c r="AC17" s="4">
        <v>15</v>
      </c>
      <c r="AD17" s="4">
        <v>47</v>
      </c>
      <c r="AE17" s="4">
        <v>47</v>
      </c>
      <c r="AF17" s="4">
        <v>21</v>
      </c>
      <c r="AG17" s="4">
        <v>21</v>
      </c>
      <c r="AH17" s="4">
        <v>6</v>
      </c>
      <c r="AI17" s="4">
        <v>6</v>
      </c>
      <c r="AJ17" s="4">
        <v>19</v>
      </c>
      <c r="AK17" s="4">
        <v>19</v>
      </c>
      <c r="AL17" s="4">
        <v>11</v>
      </c>
      <c r="AM17" s="4">
        <v>11</v>
      </c>
      <c r="AN17" s="4">
        <v>0</v>
      </c>
      <c r="AO17" s="4">
        <v>0</v>
      </c>
      <c r="AP17" s="3" t="s">
        <v>58</v>
      </c>
      <c r="AQ17" s="3" t="s">
        <v>69</v>
      </c>
      <c r="AR17" s="6" t="str">
        <f t="shared" si="0"/>
        <v>HathiTrust Record</v>
      </c>
      <c r="AS17" s="6" t="str">
        <f t="shared" si="1"/>
        <v>Catalog Record</v>
      </c>
      <c r="AT17" s="6" t="str">
        <f t="shared" si="2"/>
        <v>WorldCat Record</v>
      </c>
      <c r="AU17" s="3" t="s">
        <v>189</v>
      </c>
      <c r="AV17" s="3" t="s">
        <v>190</v>
      </c>
      <c r="AW17" s="3" t="s">
        <v>191</v>
      </c>
      <c r="AX17" s="3" t="s">
        <v>191</v>
      </c>
      <c r="AY17" s="3" t="s">
        <v>192</v>
      </c>
      <c r="AZ17" s="3" t="s">
        <v>74</v>
      </c>
      <c r="BC17" s="3" t="s">
        <v>228</v>
      </c>
      <c r="BD17" s="3" t="s">
        <v>229</v>
      </c>
    </row>
    <row r="18" spans="1:56" ht="47.25" customHeight="1" x14ac:dyDescent="0.25">
      <c r="A18" s="7" t="s">
        <v>58</v>
      </c>
      <c r="B18" s="2" t="s">
        <v>230</v>
      </c>
      <c r="C18" s="2" t="s">
        <v>231</v>
      </c>
      <c r="D18" s="2" t="s">
        <v>182</v>
      </c>
      <c r="E18" s="3" t="s">
        <v>232</v>
      </c>
      <c r="F18" s="3" t="s">
        <v>69</v>
      </c>
      <c r="G18" s="3" t="s">
        <v>59</v>
      </c>
      <c r="H18" s="3" t="s">
        <v>58</v>
      </c>
      <c r="I18" s="3" t="s">
        <v>58</v>
      </c>
      <c r="J18" s="3" t="s">
        <v>60</v>
      </c>
      <c r="K18" s="2" t="s">
        <v>183</v>
      </c>
      <c r="L18" s="2" t="s">
        <v>184</v>
      </c>
      <c r="M18" s="3" t="s">
        <v>185</v>
      </c>
      <c r="N18" s="2" t="s">
        <v>186</v>
      </c>
      <c r="O18" s="3" t="s">
        <v>65</v>
      </c>
      <c r="P18" s="3" t="s">
        <v>100</v>
      </c>
      <c r="R18" s="3" t="s">
        <v>67</v>
      </c>
      <c r="S18" s="4">
        <v>0</v>
      </c>
      <c r="T18" s="4">
        <v>8</v>
      </c>
      <c r="V18" s="5" t="s">
        <v>187</v>
      </c>
      <c r="W18" s="5" t="s">
        <v>188</v>
      </c>
      <c r="X18" s="5" t="s">
        <v>188</v>
      </c>
      <c r="Y18" s="4">
        <v>1961</v>
      </c>
      <c r="Z18" s="4">
        <v>1900</v>
      </c>
      <c r="AA18" s="4">
        <v>1922</v>
      </c>
      <c r="AB18" s="4">
        <v>15</v>
      </c>
      <c r="AC18" s="4">
        <v>15</v>
      </c>
      <c r="AD18" s="4">
        <v>47</v>
      </c>
      <c r="AE18" s="4">
        <v>47</v>
      </c>
      <c r="AF18" s="4">
        <v>21</v>
      </c>
      <c r="AG18" s="4">
        <v>21</v>
      </c>
      <c r="AH18" s="4">
        <v>6</v>
      </c>
      <c r="AI18" s="4">
        <v>6</v>
      </c>
      <c r="AJ18" s="4">
        <v>19</v>
      </c>
      <c r="AK18" s="4">
        <v>19</v>
      </c>
      <c r="AL18" s="4">
        <v>11</v>
      </c>
      <c r="AM18" s="4">
        <v>11</v>
      </c>
      <c r="AN18" s="4">
        <v>0</v>
      </c>
      <c r="AO18" s="4">
        <v>0</v>
      </c>
      <c r="AP18" s="3" t="s">
        <v>58</v>
      </c>
      <c r="AQ18" s="3" t="s">
        <v>69</v>
      </c>
      <c r="AR18" s="6" t="str">
        <f t="shared" si="0"/>
        <v>HathiTrust Record</v>
      </c>
      <c r="AS18" s="6" t="str">
        <f t="shared" si="1"/>
        <v>Catalog Record</v>
      </c>
      <c r="AT18" s="6" t="str">
        <f t="shared" si="2"/>
        <v>WorldCat Record</v>
      </c>
      <c r="AU18" s="3" t="s">
        <v>189</v>
      </c>
      <c r="AV18" s="3" t="s">
        <v>190</v>
      </c>
      <c r="AW18" s="3" t="s">
        <v>191</v>
      </c>
      <c r="AX18" s="3" t="s">
        <v>191</v>
      </c>
      <c r="AY18" s="3" t="s">
        <v>192</v>
      </c>
      <c r="AZ18" s="3" t="s">
        <v>74</v>
      </c>
      <c r="BC18" s="3" t="s">
        <v>233</v>
      </c>
      <c r="BD18" s="3" t="s">
        <v>234</v>
      </c>
    </row>
    <row r="19" spans="1:56" ht="47.25" customHeight="1" x14ac:dyDescent="0.25">
      <c r="A19" s="7" t="s">
        <v>58</v>
      </c>
      <c r="B19" s="2" t="s">
        <v>235</v>
      </c>
      <c r="C19" s="2" t="s">
        <v>236</v>
      </c>
      <c r="D19" s="2" t="s">
        <v>182</v>
      </c>
      <c r="E19" s="3" t="s">
        <v>237</v>
      </c>
      <c r="F19" s="3" t="s">
        <v>69</v>
      </c>
      <c r="G19" s="3" t="s">
        <v>59</v>
      </c>
      <c r="H19" s="3" t="s">
        <v>58</v>
      </c>
      <c r="I19" s="3" t="s">
        <v>58</v>
      </c>
      <c r="J19" s="3" t="s">
        <v>60</v>
      </c>
      <c r="K19" s="2" t="s">
        <v>183</v>
      </c>
      <c r="L19" s="2" t="s">
        <v>184</v>
      </c>
      <c r="M19" s="3" t="s">
        <v>185</v>
      </c>
      <c r="N19" s="2" t="s">
        <v>186</v>
      </c>
      <c r="O19" s="3" t="s">
        <v>65</v>
      </c>
      <c r="P19" s="3" t="s">
        <v>100</v>
      </c>
      <c r="R19" s="3" t="s">
        <v>67</v>
      </c>
      <c r="S19" s="4">
        <v>0</v>
      </c>
      <c r="T19" s="4">
        <v>8</v>
      </c>
      <c r="V19" s="5" t="s">
        <v>187</v>
      </c>
      <c r="W19" s="5" t="s">
        <v>188</v>
      </c>
      <c r="X19" s="5" t="s">
        <v>188</v>
      </c>
      <c r="Y19" s="4">
        <v>1961</v>
      </c>
      <c r="Z19" s="4">
        <v>1900</v>
      </c>
      <c r="AA19" s="4">
        <v>1922</v>
      </c>
      <c r="AB19" s="4">
        <v>15</v>
      </c>
      <c r="AC19" s="4">
        <v>15</v>
      </c>
      <c r="AD19" s="4">
        <v>47</v>
      </c>
      <c r="AE19" s="4">
        <v>47</v>
      </c>
      <c r="AF19" s="4">
        <v>21</v>
      </c>
      <c r="AG19" s="4">
        <v>21</v>
      </c>
      <c r="AH19" s="4">
        <v>6</v>
      </c>
      <c r="AI19" s="4">
        <v>6</v>
      </c>
      <c r="AJ19" s="4">
        <v>19</v>
      </c>
      <c r="AK19" s="4">
        <v>19</v>
      </c>
      <c r="AL19" s="4">
        <v>11</v>
      </c>
      <c r="AM19" s="4">
        <v>11</v>
      </c>
      <c r="AN19" s="4">
        <v>0</v>
      </c>
      <c r="AO19" s="4">
        <v>0</v>
      </c>
      <c r="AP19" s="3" t="s">
        <v>58</v>
      </c>
      <c r="AQ19" s="3" t="s">
        <v>69</v>
      </c>
      <c r="AR19" s="6" t="str">
        <f t="shared" si="0"/>
        <v>HathiTrust Record</v>
      </c>
      <c r="AS19" s="6" t="str">
        <f t="shared" si="1"/>
        <v>Catalog Record</v>
      </c>
      <c r="AT19" s="6" t="str">
        <f t="shared" si="2"/>
        <v>WorldCat Record</v>
      </c>
      <c r="AU19" s="3" t="s">
        <v>189</v>
      </c>
      <c r="AV19" s="3" t="s">
        <v>190</v>
      </c>
      <c r="AW19" s="3" t="s">
        <v>191</v>
      </c>
      <c r="AX19" s="3" t="s">
        <v>191</v>
      </c>
      <c r="AY19" s="3" t="s">
        <v>192</v>
      </c>
      <c r="AZ19" s="3" t="s">
        <v>74</v>
      </c>
      <c r="BC19" s="3" t="s">
        <v>238</v>
      </c>
      <c r="BD19" s="3" t="s">
        <v>239</v>
      </c>
    </row>
    <row r="20" spans="1:56" ht="47.25" customHeight="1" x14ac:dyDescent="0.25">
      <c r="A20" s="7" t="s">
        <v>58</v>
      </c>
      <c r="B20" s="2" t="s">
        <v>240</v>
      </c>
      <c r="C20" s="2" t="s">
        <v>241</v>
      </c>
      <c r="D20" s="2" t="s">
        <v>182</v>
      </c>
      <c r="E20" s="3" t="s">
        <v>242</v>
      </c>
      <c r="F20" s="3" t="s">
        <v>69</v>
      </c>
      <c r="G20" s="3" t="s">
        <v>59</v>
      </c>
      <c r="H20" s="3" t="s">
        <v>58</v>
      </c>
      <c r="I20" s="3" t="s">
        <v>58</v>
      </c>
      <c r="J20" s="3" t="s">
        <v>60</v>
      </c>
      <c r="K20" s="2" t="s">
        <v>183</v>
      </c>
      <c r="L20" s="2" t="s">
        <v>184</v>
      </c>
      <c r="M20" s="3" t="s">
        <v>185</v>
      </c>
      <c r="N20" s="2" t="s">
        <v>186</v>
      </c>
      <c r="O20" s="3" t="s">
        <v>65</v>
      </c>
      <c r="P20" s="3" t="s">
        <v>100</v>
      </c>
      <c r="R20" s="3" t="s">
        <v>67</v>
      </c>
      <c r="S20" s="4">
        <v>0</v>
      </c>
      <c r="T20" s="4">
        <v>8</v>
      </c>
      <c r="V20" s="5" t="s">
        <v>187</v>
      </c>
      <c r="W20" s="5" t="s">
        <v>188</v>
      </c>
      <c r="X20" s="5" t="s">
        <v>188</v>
      </c>
      <c r="Y20" s="4">
        <v>1961</v>
      </c>
      <c r="Z20" s="4">
        <v>1900</v>
      </c>
      <c r="AA20" s="4">
        <v>1922</v>
      </c>
      <c r="AB20" s="4">
        <v>15</v>
      </c>
      <c r="AC20" s="4">
        <v>15</v>
      </c>
      <c r="AD20" s="4">
        <v>47</v>
      </c>
      <c r="AE20" s="4">
        <v>47</v>
      </c>
      <c r="AF20" s="4">
        <v>21</v>
      </c>
      <c r="AG20" s="4">
        <v>21</v>
      </c>
      <c r="AH20" s="4">
        <v>6</v>
      </c>
      <c r="AI20" s="4">
        <v>6</v>
      </c>
      <c r="AJ20" s="4">
        <v>19</v>
      </c>
      <c r="AK20" s="4">
        <v>19</v>
      </c>
      <c r="AL20" s="4">
        <v>11</v>
      </c>
      <c r="AM20" s="4">
        <v>11</v>
      </c>
      <c r="AN20" s="4">
        <v>0</v>
      </c>
      <c r="AO20" s="4">
        <v>0</v>
      </c>
      <c r="AP20" s="3" t="s">
        <v>58</v>
      </c>
      <c r="AQ20" s="3" t="s">
        <v>69</v>
      </c>
      <c r="AR20" s="6" t="str">
        <f t="shared" si="0"/>
        <v>HathiTrust Record</v>
      </c>
      <c r="AS20" s="6" t="str">
        <f t="shared" si="1"/>
        <v>Catalog Record</v>
      </c>
      <c r="AT20" s="6" t="str">
        <f t="shared" si="2"/>
        <v>WorldCat Record</v>
      </c>
      <c r="AU20" s="3" t="s">
        <v>189</v>
      </c>
      <c r="AV20" s="3" t="s">
        <v>190</v>
      </c>
      <c r="AW20" s="3" t="s">
        <v>191</v>
      </c>
      <c r="AX20" s="3" t="s">
        <v>191</v>
      </c>
      <c r="AY20" s="3" t="s">
        <v>192</v>
      </c>
      <c r="AZ20" s="3" t="s">
        <v>74</v>
      </c>
      <c r="BC20" s="3" t="s">
        <v>243</v>
      </c>
      <c r="BD20" s="3" t="s">
        <v>244</v>
      </c>
    </row>
    <row r="21" spans="1:56" ht="47.25" customHeight="1" x14ac:dyDescent="0.25">
      <c r="A21" s="7" t="s">
        <v>58</v>
      </c>
      <c r="B21" s="2" t="s">
        <v>245</v>
      </c>
      <c r="C21" s="2" t="s">
        <v>246</v>
      </c>
      <c r="D21" s="2" t="s">
        <v>182</v>
      </c>
      <c r="E21" s="3" t="s">
        <v>247</v>
      </c>
      <c r="F21" s="3" t="s">
        <v>69</v>
      </c>
      <c r="G21" s="3" t="s">
        <v>59</v>
      </c>
      <c r="H21" s="3" t="s">
        <v>58</v>
      </c>
      <c r="I21" s="3" t="s">
        <v>58</v>
      </c>
      <c r="J21" s="3" t="s">
        <v>60</v>
      </c>
      <c r="K21" s="2" t="s">
        <v>183</v>
      </c>
      <c r="L21" s="2" t="s">
        <v>184</v>
      </c>
      <c r="M21" s="3" t="s">
        <v>185</v>
      </c>
      <c r="N21" s="2" t="s">
        <v>186</v>
      </c>
      <c r="O21" s="3" t="s">
        <v>65</v>
      </c>
      <c r="P21" s="3" t="s">
        <v>100</v>
      </c>
      <c r="R21" s="3" t="s">
        <v>67</v>
      </c>
      <c r="S21" s="4">
        <v>3</v>
      </c>
      <c r="T21" s="4">
        <v>8</v>
      </c>
      <c r="U21" s="5" t="s">
        <v>187</v>
      </c>
      <c r="V21" s="5" t="s">
        <v>187</v>
      </c>
      <c r="W21" s="5" t="s">
        <v>188</v>
      </c>
      <c r="X21" s="5" t="s">
        <v>188</v>
      </c>
      <c r="Y21" s="4">
        <v>1961</v>
      </c>
      <c r="Z21" s="4">
        <v>1900</v>
      </c>
      <c r="AA21" s="4">
        <v>1922</v>
      </c>
      <c r="AB21" s="4">
        <v>15</v>
      </c>
      <c r="AC21" s="4">
        <v>15</v>
      </c>
      <c r="AD21" s="4">
        <v>47</v>
      </c>
      <c r="AE21" s="4">
        <v>47</v>
      </c>
      <c r="AF21" s="4">
        <v>21</v>
      </c>
      <c r="AG21" s="4">
        <v>21</v>
      </c>
      <c r="AH21" s="4">
        <v>6</v>
      </c>
      <c r="AI21" s="4">
        <v>6</v>
      </c>
      <c r="AJ21" s="4">
        <v>19</v>
      </c>
      <c r="AK21" s="4">
        <v>19</v>
      </c>
      <c r="AL21" s="4">
        <v>11</v>
      </c>
      <c r="AM21" s="4">
        <v>11</v>
      </c>
      <c r="AN21" s="4">
        <v>0</v>
      </c>
      <c r="AO21" s="4">
        <v>0</v>
      </c>
      <c r="AP21" s="3" t="s">
        <v>58</v>
      </c>
      <c r="AQ21" s="3" t="s">
        <v>69</v>
      </c>
      <c r="AR21" s="6" t="str">
        <f t="shared" si="0"/>
        <v>HathiTrust Record</v>
      </c>
      <c r="AS21" s="6" t="str">
        <f t="shared" si="1"/>
        <v>Catalog Record</v>
      </c>
      <c r="AT21" s="6" t="str">
        <f t="shared" si="2"/>
        <v>WorldCat Record</v>
      </c>
      <c r="AU21" s="3" t="s">
        <v>189</v>
      </c>
      <c r="AV21" s="3" t="s">
        <v>190</v>
      </c>
      <c r="AW21" s="3" t="s">
        <v>191</v>
      </c>
      <c r="AX21" s="3" t="s">
        <v>191</v>
      </c>
      <c r="AY21" s="3" t="s">
        <v>192</v>
      </c>
      <c r="AZ21" s="3" t="s">
        <v>74</v>
      </c>
      <c r="BC21" s="3" t="s">
        <v>248</v>
      </c>
      <c r="BD21" s="3" t="s">
        <v>249</v>
      </c>
    </row>
    <row r="22" spans="1:56" ht="47.25" customHeight="1" x14ac:dyDescent="0.25">
      <c r="A22" s="7" t="s">
        <v>58</v>
      </c>
      <c r="B22" s="2" t="s">
        <v>250</v>
      </c>
      <c r="C22" s="2" t="s">
        <v>251</v>
      </c>
      <c r="D22" s="2" t="s">
        <v>182</v>
      </c>
      <c r="E22" s="3" t="s">
        <v>252</v>
      </c>
      <c r="F22" s="3" t="s">
        <v>69</v>
      </c>
      <c r="G22" s="3" t="s">
        <v>59</v>
      </c>
      <c r="H22" s="3" t="s">
        <v>58</v>
      </c>
      <c r="I22" s="3" t="s">
        <v>58</v>
      </c>
      <c r="J22" s="3" t="s">
        <v>60</v>
      </c>
      <c r="K22" s="2" t="s">
        <v>183</v>
      </c>
      <c r="L22" s="2" t="s">
        <v>184</v>
      </c>
      <c r="M22" s="3" t="s">
        <v>185</v>
      </c>
      <c r="N22" s="2" t="s">
        <v>186</v>
      </c>
      <c r="O22" s="3" t="s">
        <v>65</v>
      </c>
      <c r="P22" s="3" t="s">
        <v>100</v>
      </c>
      <c r="R22" s="3" t="s">
        <v>67</v>
      </c>
      <c r="S22" s="4">
        <v>2</v>
      </c>
      <c r="T22" s="4">
        <v>8</v>
      </c>
      <c r="U22" s="5" t="s">
        <v>187</v>
      </c>
      <c r="V22" s="5" t="s">
        <v>187</v>
      </c>
      <c r="W22" s="5" t="s">
        <v>188</v>
      </c>
      <c r="X22" s="5" t="s">
        <v>188</v>
      </c>
      <c r="Y22" s="4">
        <v>1961</v>
      </c>
      <c r="Z22" s="4">
        <v>1900</v>
      </c>
      <c r="AA22" s="4">
        <v>1922</v>
      </c>
      <c r="AB22" s="4">
        <v>15</v>
      </c>
      <c r="AC22" s="4">
        <v>15</v>
      </c>
      <c r="AD22" s="4">
        <v>47</v>
      </c>
      <c r="AE22" s="4">
        <v>47</v>
      </c>
      <c r="AF22" s="4">
        <v>21</v>
      </c>
      <c r="AG22" s="4">
        <v>21</v>
      </c>
      <c r="AH22" s="4">
        <v>6</v>
      </c>
      <c r="AI22" s="4">
        <v>6</v>
      </c>
      <c r="AJ22" s="4">
        <v>19</v>
      </c>
      <c r="AK22" s="4">
        <v>19</v>
      </c>
      <c r="AL22" s="4">
        <v>11</v>
      </c>
      <c r="AM22" s="4">
        <v>11</v>
      </c>
      <c r="AN22" s="4">
        <v>0</v>
      </c>
      <c r="AO22" s="4">
        <v>0</v>
      </c>
      <c r="AP22" s="3" t="s">
        <v>58</v>
      </c>
      <c r="AQ22" s="3" t="s">
        <v>69</v>
      </c>
      <c r="AR22" s="6" t="str">
        <f t="shared" si="0"/>
        <v>HathiTrust Record</v>
      </c>
      <c r="AS22" s="6" t="str">
        <f t="shared" si="1"/>
        <v>Catalog Record</v>
      </c>
      <c r="AT22" s="6" t="str">
        <f t="shared" si="2"/>
        <v>WorldCat Record</v>
      </c>
      <c r="AU22" s="3" t="s">
        <v>189</v>
      </c>
      <c r="AV22" s="3" t="s">
        <v>190</v>
      </c>
      <c r="AW22" s="3" t="s">
        <v>191</v>
      </c>
      <c r="AX22" s="3" t="s">
        <v>191</v>
      </c>
      <c r="AY22" s="3" t="s">
        <v>192</v>
      </c>
      <c r="AZ22" s="3" t="s">
        <v>74</v>
      </c>
      <c r="BC22" s="3" t="s">
        <v>253</v>
      </c>
      <c r="BD22" s="3" t="s">
        <v>254</v>
      </c>
    </row>
    <row r="23" spans="1:56" ht="47.25" customHeight="1" x14ac:dyDescent="0.25">
      <c r="A23" s="7" t="s">
        <v>58</v>
      </c>
      <c r="B23" s="2" t="s">
        <v>255</v>
      </c>
      <c r="C23" s="2" t="s">
        <v>256</v>
      </c>
      <c r="D23" s="2" t="s">
        <v>182</v>
      </c>
      <c r="E23" s="3" t="s">
        <v>257</v>
      </c>
      <c r="F23" s="3" t="s">
        <v>69</v>
      </c>
      <c r="G23" s="3" t="s">
        <v>59</v>
      </c>
      <c r="H23" s="3" t="s">
        <v>58</v>
      </c>
      <c r="I23" s="3" t="s">
        <v>58</v>
      </c>
      <c r="J23" s="3" t="s">
        <v>60</v>
      </c>
      <c r="K23" s="2" t="s">
        <v>183</v>
      </c>
      <c r="L23" s="2" t="s">
        <v>184</v>
      </c>
      <c r="M23" s="3" t="s">
        <v>185</v>
      </c>
      <c r="N23" s="2" t="s">
        <v>186</v>
      </c>
      <c r="O23" s="3" t="s">
        <v>65</v>
      </c>
      <c r="P23" s="3" t="s">
        <v>100</v>
      </c>
      <c r="R23" s="3" t="s">
        <v>67</v>
      </c>
      <c r="S23" s="4">
        <v>2</v>
      </c>
      <c r="T23" s="4">
        <v>8</v>
      </c>
      <c r="U23" s="5" t="s">
        <v>187</v>
      </c>
      <c r="V23" s="5" t="s">
        <v>187</v>
      </c>
      <c r="W23" s="5" t="s">
        <v>188</v>
      </c>
      <c r="X23" s="5" t="s">
        <v>188</v>
      </c>
      <c r="Y23" s="4">
        <v>1961</v>
      </c>
      <c r="Z23" s="4">
        <v>1900</v>
      </c>
      <c r="AA23" s="4">
        <v>1922</v>
      </c>
      <c r="AB23" s="4">
        <v>15</v>
      </c>
      <c r="AC23" s="4">
        <v>15</v>
      </c>
      <c r="AD23" s="4">
        <v>47</v>
      </c>
      <c r="AE23" s="4">
        <v>47</v>
      </c>
      <c r="AF23" s="4">
        <v>21</v>
      </c>
      <c r="AG23" s="4">
        <v>21</v>
      </c>
      <c r="AH23" s="4">
        <v>6</v>
      </c>
      <c r="AI23" s="4">
        <v>6</v>
      </c>
      <c r="AJ23" s="4">
        <v>19</v>
      </c>
      <c r="AK23" s="4">
        <v>19</v>
      </c>
      <c r="AL23" s="4">
        <v>11</v>
      </c>
      <c r="AM23" s="4">
        <v>11</v>
      </c>
      <c r="AN23" s="4">
        <v>0</v>
      </c>
      <c r="AO23" s="4">
        <v>0</v>
      </c>
      <c r="AP23" s="3" t="s">
        <v>58</v>
      </c>
      <c r="AQ23" s="3" t="s">
        <v>69</v>
      </c>
      <c r="AR23" s="6" t="str">
        <f t="shared" si="0"/>
        <v>HathiTrust Record</v>
      </c>
      <c r="AS23" s="6" t="str">
        <f t="shared" si="1"/>
        <v>Catalog Record</v>
      </c>
      <c r="AT23" s="6" t="str">
        <f t="shared" si="2"/>
        <v>WorldCat Record</v>
      </c>
      <c r="AU23" s="3" t="s">
        <v>189</v>
      </c>
      <c r="AV23" s="3" t="s">
        <v>190</v>
      </c>
      <c r="AW23" s="3" t="s">
        <v>191</v>
      </c>
      <c r="AX23" s="3" t="s">
        <v>191</v>
      </c>
      <c r="AY23" s="3" t="s">
        <v>192</v>
      </c>
      <c r="AZ23" s="3" t="s">
        <v>74</v>
      </c>
      <c r="BC23" s="3" t="s">
        <v>258</v>
      </c>
      <c r="BD23" s="3" t="s">
        <v>259</v>
      </c>
    </row>
    <row r="24" spans="1:56" ht="47.25" customHeight="1" x14ac:dyDescent="0.25">
      <c r="A24" s="7" t="s">
        <v>58</v>
      </c>
      <c r="B24" s="2" t="s">
        <v>260</v>
      </c>
      <c r="C24" s="2" t="s">
        <v>261</v>
      </c>
      <c r="D24" s="2" t="s">
        <v>262</v>
      </c>
      <c r="F24" s="3" t="s">
        <v>58</v>
      </c>
      <c r="G24" s="3" t="s">
        <v>59</v>
      </c>
      <c r="H24" s="3" t="s">
        <v>58</v>
      </c>
      <c r="I24" s="3" t="s">
        <v>58</v>
      </c>
      <c r="J24" s="3" t="s">
        <v>60</v>
      </c>
      <c r="L24" s="2" t="s">
        <v>263</v>
      </c>
      <c r="M24" s="3" t="s">
        <v>264</v>
      </c>
      <c r="O24" s="3" t="s">
        <v>65</v>
      </c>
      <c r="P24" s="3" t="s">
        <v>127</v>
      </c>
      <c r="R24" s="3" t="s">
        <v>67</v>
      </c>
      <c r="S24" s="4">
        <v>3</v>
      </c>
      <c r="T24" s="4">
        <v>3</v>
      </c>
      <c r="U24" s="5" t="s">
        <v>265</v>
      </c>
      <c r="V24" s="5" t="s">
        <v>265</v>
      </c>
      <c r="W24" s="5" t="s">
        <v>266</v>
      </c>
      <c r="X24" s="5" t="s">
        <v>266</v>
      </c>
      <c r="Y24" s="4">
        <v>360</v>
      </c>
      <c r="Z24" s="4">
        <v>308</v>
      </c>
      <c r="AA24" s="4">
        <v>326</v>
      </c>
      <c r="AB24" s="4">
        <v>3</v>
      </c>
      <c r="AC24" s="4">
        <v>3</v>
      </c>
      <c r="AD24" s="4">
        <v>15</v>
      </c>
      <c r="AE24" s="4">
        <v>15</v>
      </c>
      <c r="AF24" s="4">
        <v>7</v>
      </c>
      <c r="AG24" s="4">
        <v>7</v>
      </c>
      <c r="AH24" s="4">
        <v>2</v>
      </c>
      <c r="AI24" s="4">
        <v>2</v>
      </c>
      <c r="AJ24" s="4">
        <v>9</v>
      </c>
      <c r="AK24" s="4">
        <v>9</v>
      </c>
      <c r="AL24" s="4">
        <v>2</v>
      </c>
      <c r="AM24" s="4">
        <v>2</v>
      </c>
      <c r="AN24" s="4">
        <v>0</v>
      </c>
      <c r="AO24" s="4">
        <v>0</v>
      </c>
      <c r="AP24" s="3" t="s">
        <v>58</v>
      </c>
      <c r="AQ24" s="3" t="s">
        <v>58</v>
      </c>
      <c r="AS24" s="6" t="str">
        <f>HYPERLINK("https://creighton-primo.hosted.exlibrisgroup.com/primo-explore/search?tab=default_tab&amp;search_scope=EVERYTHING&amp;vid=01CRU&amp;lang=en_US&amp;offset=0&amp;query=any,contains,991003742869702656","Catalog Record")</f>
        <v>Catalog Record</v>
      </c>
      <c r="AT24" s="6" t="str">
        <f>HYPERLINK("http://www.worldcat.org/oclc/39170038","WorldCat Record")</f>
        <v>WorldCat Record</v>
      </c>
      <c r="AU24" s="3" t="s">
        <v>267</v>
      </c>
      <c r="AV24" s="3" t="s">
        <v>268</v>
      </c>
      <c r="AW24" s="3" t="s">
        <v>269</v>
      </c>
      <c r="AX24" s="3" t="s">
        <v>269</v>
      </c>
      <c r="AY24" s="3" t="s">
        <v>270</v>
      </c>
      <c r="AZ24" s="3" t="s">
        <v>74</v>
      </c>
      <c r="BB24" s="3" t="s">
        <v>271</v>
      </c>
      <c r="BC24" s="3" t="s">
        <v>272</v>
      </c>
      <c r="BD24" s="3" t="s">
        <v>273</v>
      </c>
    </row>
    <row r="25" spans="1:56" ht="47.25" customHeight="1" x14ac:dyDescent="0.25">
      <c r="A25" s="7" t="s">
        <v>58</v>
      </c>
      <c r="B25" s="2" t="s">
        <v>274</v>
      </c>
      <c r="C25" s="2" t="s">
        <v>275</v>
      </c>
      <c r="D25" s="2" t="s">
        <v>276</v>
      </c>
      <c r="E25" s="3" t="s">
        <v>277</v>
      </c>
      <c r="F25" s="3" t="s">
        <v>69</v>
      </c>
      <c r="G25" s="3" t="s">
        <v>59</v>
      </c>
      <c r="H25" s="3" t="s">
        <v>58</v>
      </c>
      <c r="I25" s="3" t="s">
        <v>58</v>
      </c>
      <c r="J25" s="3" t="s">
        <v>60</v>
      </c>
      <c r="K25" s="2" t="s">
        <v>278</v>
      </c>
      <c r="L25" s="2" t="s">
        <v>279</v>
      </c>
      <c r="M25" s="3" t="s">
        <v>280</v>
      </c>
      <c r="N25" s="2" t="s">
        <v>281</v>
      </c>
      <c r="O25" s="3" t="s">
        <v>65</v>
      </c>
      <c r="P25" s="3" t="s">
        <v>282</v>
      </c>
      <c r="R25" s="3" t="s">
        <v>67</v>
      </c>
      <c r="S25" s="4">
        <v>0</v>
      </c>
      <c r="T25" s="4">
        <v>2</v>
      </c>
      <c r="V25" s="5" t="s">
        <v>283</v>
      </c>
      <c r="W25" s="5" t="s">
        <v>87</v>
      </c>
      <c r="X25" s="5" t="s">
        <v>87</v>
      </c>
      <c r="Y25" s="4">
        <v>442</v>
      </c>
      <c r="Z25" s="4">
        <v>409</v>
      </c>
      <c r="AA25" s="4">
        <v>623</v>
      </c>
      <c r="AB25" s="4">
        <v>3</v>
      </c>
      <c r="AC25" s="4">
        <v>4</v>
      </c>
      <c r="AD25" s="4">
        <v>11</v>
      </c>
      <c r="AE25" s="4">
        <v>16</v>
      </c>
      <c r="AF25" s="4">
        <v>3</v>
      </c>
      <c r="AG25" s="4">
        <v>6</v>
      </c>
      <c r="AH25" s="4">
        <v>2</v>
      </c>
      <c r="AI25" s="4">
        <v>4</v>
      </c>
      <c r="AJ25" s="4">
        <v>6</v>
      </c>
      <c r="AK25" s="4">
        <v>8</v>
      </c>
      <c r="AL25" s="4">
        <v>2</v>
      </c>
      <c r="AM25" s="4">
        <v>3</v>
      </c>
      <c r="AN25" s="4">
        <v>0</v>
      </c>
      <c r="AO25" s="4">
        <v>0</v>
      </c>
      <c r="AP25" s="3" t="s">
        <v>69</v>
      </c>
      <c r="AQ25" s="3" t="s">
        <v>58</v>
      </c>
      <c r="AR25" s="6" t="str">
        <f>HYPERLINK("http://catalog.hathitrust.org/Record/001494012","HathiTrust Record")</f>
        <v>HathiTrust Record</v>
      </c>
      <c r="AS25" s="6" t="str">
        <f>HYPERLINK("https://creighton-primo.hosted.exlibrisgroup.com/primo-explore/search?tab=default_tab&amp;search_scope=EVERYTHING&amp;vid=01CRU&amp;lang=en_US&amp;offset=0&amp;query=any,contains,991003323799702656","Catalog Record")</f>
        <v>Catalog Record</v>
      </c>
      <c r="AT25" s="6" t="str">
        <f>HYPERLINK("http://www.worldcat.org/oclc/852525","WorldCat Record")</f>
        <v>WorldCat Record</v>
      </c>
      <c r="AU25" s="3" t="s">
        <v>284</v>
      </c>
      <c r="AV25" s="3" t="s">
        <v>285</v>
      </c>
      <c r="AW25" s="3" t="s">
        <v>286</v>
      </c>
      <c r="AX25" s="3" t="s">
        <v>286</v>
      </c>
      <c r="AY25" s="3" t="s">
        <v>287</v>
      </c>
      <c r="AZ25" s="3" t="s">
        <v>74</v>
      </c>
      <c r="BC25" s="3" t="s">
        <v>288</v>
      </c>
      <c r="BD25" s="3" t="s">
        <v>289</v>
      </c>
    </row>
    <row r="26" spans="1:56" ht="47.25" customHeight="1" x14ac:dyDescent="0.25">
      <c r="A26" s="7" t="s">
        <v>58</v>
      </c>
      <c r="B26" s="2" t="s">
        <v>274</v>
      </c>
      <c r="C26" s="2" t="s">
        <v>275</v>
      </c>
      <c r="D26" s="2" t="s">
        <v>276</v>
      </c>
      <c r="E26" s="3" t="s">
        <v>290</v>
      </c>
      <c r="F26" s="3" t="s">
        <v>69</v>
      </c>
      <c r="G26" s="3" t="s">
        <v>59</v>
      </c>
      <c r="H26" s="3" t="s">
        <v>58</v>
      </c>
      <c r="I26" s="3" t="s">
        <v>58</v>
      </c>
      <c r="J26" s="3" t="s">
        <v>60</v>
      </c>
      <c r="K26" s="2" t="s">
        <v>278</v>
      </c>
      <c r="L26" s="2" t="s">
        <v>279</v>
      </c>
      <c r="M26" s="3" t="s">
        <v>280</v>
      </c>
      <c r="N26" s="2" t="s">
        <v>281</v>
      </c>
      <c r="O26" s="3" t="s">
        <v>65</v>
      </c>
      <c r="P26" s="3" t="s">
        <v>282</v>
      </c>
      <c r="R26" s="3" t="s">
        <v>67</v>
      </c>
      <c r="S26" s="4">
        <v>1</v>
      </c>
      <c r="T26" s="4">
        <v>2</v>
      </c>
      <c r="U26" s="5" t="s">
        <v>283</v>
      </c>
      <c r="V26" s="5" t="s">
        <v>283</v>
      </c>
      <c r="W26" s="5" t="s">
        <v>87</v>
      </c>
      <c r="X26" s="5" t="s">
        <v>87</v>
      </c>
      <c r="Y26" s="4">
        <v>442</v>
      </c>
      <c r="Z26" s="4">
        <v>409</v>
      </c>
      <c r="AA26" s="4">
        <v>623</v>
      </c>
      <c r="AB26" s="4">
        <v>3</v>
      </c>
      <c r="AC26" s="4">
        <v>4</v>
      </c>
      <c r="AD26" s="4">
        <v>11</v>
      </c>
      <c r="AE26" s="4">
        <v>16</v>
      </c>
      <c r="AF26" s="4">
        <v>3</v>
      </c>
      <c r="AG26" s="4">
        <v>6</v>
      </c>
      <c r="AH26" s="4">
        <v>2</v>
      </c>
      <c r="AI26" s="4">
        <v>4</v>
      </c>
      <c r="AJ26" s="4">
        <v>6</v>
      </c>
      <c r="AK26" s="4">
        <v>8</v>
      </c>
      <c r="AL26" s="4">
        <v>2</v>
      </c>
      <c r="AM26" s="4">
        <v>3</v>
      </c>
      <c r="AN26" s="4">
        <v>0</v>
      </c>
      <c r="AO26" s="4">
        <v>0</v>
      </c>
      <c r="AP26" s="3" t="s">
        <v>69</v>
      </c>
      <c r="AQ26" s="3" t="s">
        <v>58</v>
      </c>
      <c r="AR26" s="6" t="str">
        <f>HYPERLINK("http://catalog.hathitrust.org/Record/001494012","HathiTrust Record")</f>
        <v>HathiTrust Record</v>
      </c>
      <c r="AS26" s="6" t="str">
        <f>HYPERLINK("https://creighton-primo.hosted.exlibrisgroup.com/primo-explore/search?tab=default_tab&amp;search_scope=EVERYTHING&amp;vid=01CRU&amp;lang=en_US&amp;offset=0&amp;query=any,contains,991003323799702656","Catalog Record")</f>
        <v>Catalog Record</v>
      </c>
      <c r="AT26" s="6" t="str">
        <f>HYPERLINK("http://www.worldcat.org/oclc/852525","WorldCat Record")</f>
        <v>WorldCat Record</v>
      </c>
      <c r="AU26" s="3" t="s">
        <v>284</v>
      </c>
      <c r="AV26" s="3" t="s">
        <v>285</v>
      </c>
      <c r="AW26" s="3" t="s">
        <v>286</v>
      </c>
      <c r="AX26" s="3" t="s">
        <v>286</v>
      </c>
      <c r="AY26" s="3" t="s">
        <v>287</v>
      </c>
      <c r="AZ26" s="3" t="s">
        <v>74</v>
      </c>
      <c r="BC26" s="3" t="s">
        <v>291</v>
      </c>
      <c r="BD26" s="3" t="s">
        <v>292</v>
      </c>
    </row>
    <row r="27" spans="1:56" ht="47.25" customHeight="1" x14ac:dyDescent="0.25">
      <c r="A27" s="7" t="s">
        <v>58</v>
      </c>
      <c r="B27" s="2" t="s">
        <v>274</v>
      </c>
      <c r="C27" s="2" t="s">
        <v>275</v>
      </c>
      <c r="D27" s="2" t="s">
        <v>276</v>
      </c>
      <c r="E27" s="3" t="s">
        <v>293</v>
      </c>
      <c r="F27" s="3" t="s">
        <v>69</v>
      </c>
      <c r="G27" s="3" t="s">
        <v>59</v>
      </c>
      <c r="H27" s="3" t="s">
        <v>58</v>
      </c>
      <c r="I27" s="3" t="s">
        <v>58</v>
      </c>
      <c r="J27" s="3" t="s">
        <v>60</v>
      </c>
      <c r="K27" s="2" t="s">
        <v>278</v>
      </c>
      <c r="L27" s="2" t="s">
        <v>279</v>
      </c>
      <c r="M27" s="3" t="s">
        <v>280</v>
      </c>
      <c r="N27" s="2" t="s">
        <v>281</v>
      </c>
      <c r="O27" s="3" t="s">
        <v>65</v>
      </c>
      <c r="P27" s="3" t="s">
        <v>282</v>
      </c>
      <c r="R27" s="3" t="s">
        <v>67</v>
      </c>
      <c r="S27" s="4">
        <v>1</v>
      </c>
      <c r="T27" s="4">
        <v>2</v>
      </c>
      <c r="V27" s="5" t="s">
        <v>283</v>
      </c>
      <c r="W27" s="5" t="s">
        <v>87</v>
      </c>
      <c r="X27" s="5" t="s">
        <v>87</v>
      </c>
      <c r="Y27" s="4">
        <v>442</v>
      </c>
      <c r="Z27" s="4">
        <v>409</v>
      </c>
      <c r="AA27" s="4">
        <v>623</v>
      </c>
      <c r="AB27" s="4">
        <v>3</v>
      </c>
      <c r="AC27" s="4">
        <v>4</v>
      </c>
      <c r="AD27" s="4">
        <v>11</v>
      </c>
      <c r="AE27" s="4">
        <v>16</v>
      </c>
      <c r="AF27" s="4">
        <v>3</v>
      </c>
      <c r="AG27" s="4">
        <v>6</v>
      </c>
      <c r="AH27" s="4">
        <v>2</v>
      </c>
      <c r="AI27" s="4">
        <v>4</v>
      </c>
      <c r="AJ27" s="4">
        <v>6</v>
      </c>
      <c r="AK27" s="4">
        <v>8</v>
      </c>
      <c r="AL27" s="4">
        <v>2</v>
      </c>
      <c r="AM27" s="4">
        <v>3</v>
      </c>
      <c r="AN27" s="4">
        <v>0</v>
      </c>
      <c r="AO27" s="4">
        <v>0</v>
      </c>
      <c r="AP27" s="3" t="s">
        <v>69</v>
      </c>
      <c r="AQ27" s="3" t="s">
        <v>58</v>
      </c>
      <c r="AR27" s="6" t="str">
        <f>HYPERLINK("http://catalog.hathitrust.org/Record/001494012","HathiTrust Record")</f>
        <v>HathiTrust Record</v>
      </c>
      <c r="AS27" s="6" t="str">
        <f>HYPERLINK("https://creighton-primo.hosted.exlibrisgroup.com/primo-explore/search?tab=default_tab&amp;search_scope=EVERYTHING&amp;vid=01CRU&amp;lang=en_US&amp;offset=0&amp;query=any,contains,991003323799702656","Catalog Record")</f>
        <v>Catalog Record</v>
      </c>
      <c r="AT27" s="6" t="str">
        <f>HYPERLINK("http://www.worldcat.org/oclc/852525","WorldCat Record")</f>
        <v>WorldCat Record</v>
      </c>
      <c r="AU27" s="3" t="s">
        <v>284</v>
      </c>
      <c r="AV27" s="3" t="s">
        <v>285</v>
      </c>
      <c r="AW27" s="3" t="s">
        <v>286</v>
      </c>
      <c r="AX27" s="3" t="s">
        <v>286</v>
      </c>
      <c r="AY27" s="3" t="s">
        <v>287</v>
      </c>
      <c r="AZ27" s="3" t="s">
        <v>74</v>
      </c>
      <c r="BC27" s="3" t="s">
        <v>294</v>
      </c>
      <c r="BD27" s="3" t="s">
        <v>295</v>
      </c>
    </row>
    <row r="28" spans="1:56" ht="47.25" customHeight="1" x14ac:dyDescent="0.25">
      <c r="A28" s="7" t="s">
        <v>58</v>
      </c>
      <c r="B28" s="2" t="s">
        <v>296</v>
      </c>
      <c r="C28" s="2" t="s">
        <v>297</v>
      </c>
      <c r="D28" s="2" t="s">
        <v>298</v>
      </c>
      <c r="F28" s="3" t="s">
        <v>58</v>
      </c>
      <c r="G28" s="3" t="s">
        <v>59</v>
      </c>
      <c r="H28" s="3" t="s">
        <v>58</v>
      </c>
      <c r="I28" s="3" t="s">
        <v>58</v>
      </c>
      <c r="J28" s="3" t="s">
        <v>60</v>
      </c>
      <c r="K28" s="2" t="s">
        <v>299</v>
      </c>
      <c r="L28" s="2" t="s">
        <v>300</v>
      </c>
      <c r="M28" s="3" t="s">
        <v>301</v>
      </c>
      <c r="N28" s="2" t="s">
        <v>302</v>
      </c>
      <c r="O28" s="3" t="s">
        <v>65</v>
      </c>
      <c r="P28" s="3" t="s">
        <v>100</v>
      </c>
      <c r="R28" s="3" t="s">
        <v>67</v>
      </c>
      <c r="S28" s="4">
        <v>6</v>
      </c>
      <c r="T28" s="4">
        <v>6</v>
      </c>
      <c r="U28" s="5" t="s">
        <v>303</v>
      </c>
      <c r="V28" s="5" t="s">
        <v>303</v>
      </c>
      <c r="W28" s="5" t="s">
        <v>87</v>
      </c>
      <c r="X28" s="5" t="s">
        <v>87</v>
      </c>
      <c r="Y28" s="4">
        <v>966</v>
      </c>
      <c r="Z28" s="4">
        <v>914</v>
      </c>
      <c r="AA28" s="4">
        <v>960</v>
      </c>
      <c r="AB28" s="4">
        <v>10</v>
      </c>
      <c r="AC28" s="4">
        <v>10</v>
      </c>
      <c r="AD28" s="4">
        <v>30</v>
      </c>
      <c r="AE28" s="4">
        <v>31</v>
      </c>
      <c r="AF28" s="4">
        <v>13</v>
      </c>
      <c r="AG28" s="4">
        <v>14</v>
      </c>
      <c r="AH28" s="4">
        <v>5</v>
      </c>
      <c r="AI28" s="4">
        <v>5</v>
      </c>
      <c r="AJ28" s="4">
        <v>10</v>
      </c>
      <c r="AK28" s="4">
        <v>11</v>
      </c>
      <c r="AL28" s="4">
        <v>8</v>
      </c>
      <c r="AM28" s="4">
        <v>8</v>
      </c>
      <c r="AN28" s="4">
        <v>0</v>
      </c>
      <c r="AO28" s="4">
        <v>0</v>
      </c>
      <c r="AP28" s="3" t="s">
        <v>58</v>
      </c>
      <c r="AQ28" s="3" t="s">
        <v>69</v>
      </c>
      <c r="AR28" s="6" t="str">
        <f>HYPERLINK("http://catalog.hathitrust.org/Record/001496206","HathiTrust Record")</f>
        <v>HathiTrust Record</v>
      </c>
      <c r="AS28" s="6" t="str">
        <f>HYPERLINK("https://creighton-primo.hosted.exlibrisgroup.com/primo-explore/search?tab=default_tab&amp;search_scope=EVERYTHING&amp;vid=01CRU&amp;lang=en_US&amp;offset=0&amp;query=any,contains,991002873649702656","Catalog Record")</f>
        <v>Catalog Record</v>
      </c>
      <c r="AT28" s="6" t="str">
        <f>HYPERLINK("http://www.worldcat.org/oclc/501270","WorldCat Record")</f>
        <v>WorldCat Record</v>
      </c>
      <c r="AU28" s="3" t="s">
        <v>304</v>
      </c>
      <c r="AV28" s="3" t="s">
        <v>305</v>
      </c>
      <c r="AW28" s="3" t="s">
        <v>306</v>
      </c>
      <c r="AX28" s="3" t="s">
        <v>306</v>
      </c>
      <c r="AY28" s="3" t="s">
        <v>307</v>
      </c>
      <c r="AZ28" s="3" t="s">
        <v>74</v>
      </c>
      <c r="BC28" s="3" t="s">
        <v>308</v>
      </c>
      <c r="BD28" s="3" t="s">
        <v>309</v>
      </c>
    </row>
    <row r="29" spans="1:56" ht="47.25" customHeight="1" x14ac:dyDescent="0.25">
      <c r="A29" s="7" t="s">
        <v>58</v>
      </c>
      <c r="B29" s="2" t="s">
        <v>310</v>
      </c>
      <c r="C29" s="2" t="s">
        <v>311</v>
      </c>
      <c r="D29" s="2" t="s">
        <v>312</v>
      </c>
      <c r="F29" s="3" t="s">
        <v>58</v>
      </c>
      <c r="G29" s="3" t="s">
        <v>59</v>
      </c>
      <c r="H29" s="3" t="s">
        <v>58</v>
      </c>
      <c r="I29" s="3" t="s">
        <v>58</v>
      </c>
      <c r="J29" s="3" t="s">
        <v>60</v>
      </c>
      <c r="K29" s="2" t="s">
        <v>313</v>
      </c>
      <c r="L29" s="2" t="s">
        <v>314</v>
      </c>
      <c r="M29" s="3" t="s">
        <v>63</v>
      </c>
      <c r="O29" s="3" t="s">
        <v>65</v>
      </c>
      <c r="P29" s="3" t="s">
        <v>315</v>
      </c>
      <c r="R29" s="3" t="s">
        <v>67</v>
      </c>
      <c r="S29" s="4">
        <v>10</v>
      </c>
      <c r="T29" s="4">
        <v>10</v>
      </c>
      <c r="U29" s="5" t="s">
        <v>316</v>
      </c>
      <c r="V29" s="5" t="s">
        <v>316</v>
      </c>
      <c r="W29" s="5" t="s">
        <v>317</v>
      </c>
      <c r="X29" s="5" t="s">
        <v>317</v>
      </c>
      <c r="Y29" s="4">
        <v>504</v>
      </c>
      <c r="Z29" s="4">
        <v>462</v>
      </c>
      <c r="AA29" s="4">
        <v>463</v>
      </c>
      <c r="AB29" s="4">
        <v>4</v>
      </c>
      <c r="AC29" s="4">
        <v>4</v>
      </c>
      <c r="AD29" s="4">
        <v>13</v>
      </c>
      <c r="AE29" s="4">
        <v>13</v>
      </c>
      <c r="AF29" s="4">
        <v>6</v>
      </c>
      <c r="AG29" s="4">
        <v>6</v>
      </c>
      <c r="AH29" s="4">
        <v>1</v>
      </c>
      <c r="AI29" s="4">
        <v>1</v>
      </c>
      <c r="AJ29" s="4">
        <v>6</v>
      </c>
      <c r="AK29" s="4">
        <v>6</v>
      </c>
      <c r="AL29" s="4">
        <v>3</v>
      </c>
      <c r="AM29" s="4">
        <v>3</v>
      </c>
      <c r="AN29" s="4">
        <v>0</v>
      </c>
      <c r="AO29" s="4">
        <v>0</v>
      </c>
      <c r="AP29" s="3" t="s">
        <v>58</v>
      </c>
      <c r="AQ29" s="3" t="s">
        <v>58</v>
      </c>
      <c r="AS29" s="6" t="str">
        <f>HYPERLINK("https://creighton-primo.hosted.exlibrisgroup.com/primo-explore/search?tab=default_tab&amp;search_scope=EVERYTHING&amp;vid=01CRU&amp;lang=en_US&amp;offset=0&amp;query=any,contains,991002432499702656","Catalog Record")</f>
        <v>Catalog Record</v>
      </c>
      <c r="AT29" s="6" t="str">
        <f>HYPERLINK("http://www.worldcat.org/oclc/31710427","WorldCat Record")</f>
        <v>WorldCat Record</v>
      </c>
      <c r="AU29" s="3" t="s">
        <v>318</v>
      </c>
      <c r="AV29" s="3" t="s">
        <v>319</v>
      </c>
      <c r="AW29" s="3" t="s">
        <v>320</v>
      </c>
      <c r="AX29" s="3" t="s">
        <v>320</v>
      </c>
      <c r="AY29" s="3" t="s">
        <v>321</v>
      </c>
      <c r="AZ29" s="3" t="s">
        <v>74</v>
      </c>
      <c r="BB29" s="3" t="s">
        <v>322</v>
      </c>
      <c r="BC29" s="3" t="s">
        <v>323</v>
      </c>
      <c r="BD29" s="3" t="s">
        <v>324</v>
      </c>
    </row>
    <row r="30" spans="1:56" ht="47.25" customHeight="1" x14ac:dyDescent="0.25">
      <c r="A30" s="7" t="s">
        <v>58</v>
      </c>
      <c r="B30" s="2" t="s">
        <v>325</v>
      </c>
      <c r="C30" s="2" t="s">
        <v>326</v>
      </c>
      <c r="D30" s="2" t="s">
        <v>327</v>
      </c>
      <c r="F30" s="3" t="s">
        <v>58</v>
      </c>
      <c r="G30" s="3" t="s">
        <v>59</v>
      </c>
      <c r="H30" s="3" t="s">
        <v>58</v>
      </c>
      <c r="I30" s="3" t="s">
        <v>58</v>
      </c>
      <c r="J30" s="3" t="s">
        <v>60</v>
      </c>
      <c r="K30" s="2" t="s">
        <v>328</v>
      </c>
      <c r="L30" s="2" t="s">
        <v>329</v>
      </c>
      <c r="M30" s="3" t="s">
        <v>330</v>
      </c>
      <c r="N30" s="2" t="s">
        <v>331</v>
      </c>
      <c r="O30" s="3" t="s">
        <v>65</v>
      </c>
      <c r="P30" s="3" t="s">
        <v>100</v>
      </c>
      <c r="R30" s="3" t="s">
        <v>67</v>
      </c>
      <c r="S30" s="4">
        <v>5</v>
      </c>
      <c r="T30" s="4">
        <v>5</v>
      </c>
      <c r="U30" s="5" t="s">
        <v>332</v>
      </c>
      <c r="V30" s="5" t="s">
        <v>332</v>
      </c>
      <c r="W30" s="5" t="s">
        <v>333</v>
      </c>
      <c r="X30" s="5" t="s">
        <v>333</v>
      </c>
      <c r="Y30" s="4">
        <v>685</v>
      </c>
      <c r="Z30" s="4">
        <v>647</v>
      </c>
      <c r="AA30" s="4">
        <v>1239</v>
      </c>
      <c r="AB30" s="4">
        <v>3</v>
      </c>
      <c r="AC30" s="4">
        <v>8</v>
      </c>
      <c r="AD30" s="4">
        <v>10</v>
      </c>
      <c r="AE30" s="4">
        <v>23</v>
      </c>
      <c r="AF30" s="4">
        <v>5</v>
      </c>
      <c r="AG30" s="4">
        <v>10</v>
      </c>
      <c r="AH30" s="4">
        <v>2</v>
      </c>
      <c r="AI30" s="4">
        <v>5</v>
      </c>
      <c r="AJ30" s="4">
        <v>3</v>
      </c>
      <c r="AK30" s="4">
        <v>7</v>
      </c>
      <c r="AL30" s="4">
        <v>2</v>
      </c>
      <c r="AM30" s="4">
        <v>5</v>
      </c>
      <c r="AN30" s="4">
        <v>0</v>
      </c>
      <c r="AO30" s="4">
        <v>0</v>
      </c>
      <c r="AP30" s="3" t="s">
        <v>58</v>
      </c>
      <c r="AQ30" s="3" t="s">
        <v>69</v>
      </c>
      <c r="AR30" s="6" t="str">
        <f>HYPERLINK("http://catalog.hathitrust.org/Record/005724928","HathiTrust Record")</f>
        <v>HathiTrust Record</v>
      </c>
      <c r="AS30" s="6" t="str">
        <f>HYPERLINK("https://creighton-primo.hosted.exlibrisgroup.com/primo-explore/search?tab=default_tab&amp;search_scope=EVERYTHING&amp;vid=01CRU&amp;lang=en_US&amp;offset=0&amp;query=any,contains,991002906579702656","Catalog Record")</f>
        <v>Catalog Record</v>
      </c>
      <c r="AT30" s="6" t="str">
        <f>HYPERLINK("http://www.worldcat.org/oclc/519718","WorldCat Record")</f>
        <v>WorldCat Record</v>
      </c>
      <c r="AU30" s="3" t="s">
        <v>334</v>
      </c>
      <c r="AV30" s="3" t="s">
        <v>335</v>
      </c>
      <c r="AW30" s="3" t="s">
        <v>336</v>
      </c>
      <c r="AX30" s="3" t="s">
        <v>336</v>
      </c>
      <c r="AY30" s="3" t="s">
        <v>337</v>
      </c>
      <c r="AZ30" s="3" t="s">
        <v>74</v>
      </c>
      <c r="BC30" s="3" t="s">
        <v>338</v>
      </c>
      <c r="BD30" s="3" t="s">
        <v>339</v>
      </c>
    </row>
    <row r="31" spans="1:56" ht="47.25" customHeight="1" x14ac:dyDescent="0.25">
      <c r="A31" s="7" t="s">
        <v>58</v>
      </c>
      <c r="B31" s="2" t="s">
        <v>340</v>
      </c>
      <c r="C31" s="2" t="s">
        <v>341</v>
      </c>
      <c r="D31" s="2" t="s">
        <v>342</v>
      </c>
      <c r="F31" s="3" t="s">
        <v>58</v>
      </c>
      <c r="G31" s="3" t="s">
        <v>59</v>
      </c>
      <c r="H31" s="3" t="s">
        <v>58</v>
      </c>
      <c r="I31" s="3" t="s">
        <v>58</v>
      </c>
      <c r="J31" s="3" t="s">
        <v>60</v>
      </c>
      <c r="K31" s="2" t="s">
        <v>183</v>
      </c>
      <c r="L31" s="2" t="s">
        <v>343</v>
      </c>
      <c r="M31" s="3" t="s">
        <v>330</v>
      </c>
      <c r="O31" s="3" t="s">
        <v>65</v>
      </c>
      <c r="P31" s="3" t="s">
        <v>100</v>
      </c>
      <c r="R31" s="3" t="s">
        <v>67</v>
      </c>
      <c r="S31" s="4">
        <v>10</v>
      </c>
      <c r="T31" s="4">
        <v>10</v>
      </c>
      <c r="U31" s="5" t="s">
        <v>344</v>
      </c>
      <c r="V31" s="5" t="s">
        <v>344</v>
      </c>
      <c r="W31" s="5" t="s">
        <v>345</v>
      </c>
      <c r="X31" s="5" t="s">
        <v>345</v>
      </c>
      <c r="Y31" s="4">
        <v>973</v>
      </c>
      <c r="Z31" s="4">
        <v>946</v>
      </c>
      <c r="AA31" s="4">
        <v>958</v>
      </c>
      <c r="AB31" s="4">
        <v>8</v>
      </c>
      <c r="AC31" s="4">
        <v>8</v>
      </c>
      <c r="AD31" s="4">
        <v>18</v>
      </c>
      <c r="AE31" s="4">
        <v>18</v>
      </c>
      <c r="AF31" s="4">
        <v>8</v>
      </c>
      <c r="AG31" s="4">
        <v>8</v>
      </c>
      <c r="AH31" s="4">
        <v>2</v>
      </c>
      <c r="AI31" s="4">
        <v>2</v>
      </c>
      <c r="AJ31" s="4">
        <v>3</v>
      </c>
      <c r="AK31" s="4">
        <v>3</v>
      </c>
      <c r="AL31" s="4">
        <v>6</v>
      </c>
      <c r="AM31" s="4">
        <v>6</v>
      </c>
      <c r="AN31" s="4">
        <v>0</v>
      </c>
      <c r="AO31" s="4">
        <v>0</v>
      </c>
      <c r="AP31" s="3" t="s">
        <v>58</v>
      </c>
      <c r="AQ31" s="3" t="s">
        <v>58</v>
      </c>
      <c r="AR31" s="6" t="str">
        <f>HYPERLINK("http://catalog.hathitrust.org/Record/006219970","HathiTrust Record")</f>
        <v>HathiTrust Record</v>
      </c>
      <c r="AS31" s="6" t="str">
        <f>HYPERLINK("https://creighton-primo.hosted.exlibrisgroup.com/primo-explore/search?tab=default_tab&amp;search_scope=EVERYTHING&amp;vid=01CRU&amp;lang=en_US&amp;offset=0&amp;query=any,contains,991002977419702656","Catalog Record")</f>
        <v>Catalog Record</v>
      </c>
      <c r="AT31" s="6" t="str">
        <f>HYPERLINK("http://www.worldcat.org/oclc/552864","WorldCat Record")</f>
        <v>WorldCat Record</v>
      </c>
      <c r="AU31" s="3" t="s">
        <v>346</v>
      </c>
      <c r="AV31" s="3" t="s">
        <v>347</v>
      </c>
      <c r="AW31" s="3" t="s">
        <v>348</v>
      </c>
      <c r="AX31" s="3" t="s">
        <v>348</v>
      </c>
      <c r="AY31" s="3" t="s">
        <v>349</v>
      </c>
      <c r="AZ31" s="3" t="s">
        <v>74</v>
      </c>
      <c r="BC31" s="3" t="s">
        <v>350</v>
      </c>
      <c r="BD31" s="3" t="s">
        <v>351</v>
      </c>
    </row>
    <row r="32" spans="1:56" ht="47.25" customHeight="1" x14ac:dyDescent="0.25">
      <c r="A32" s="7" t="s">
        <v>58</v>
      </c>
      <c r="B32" s="2" t="s">
        <v>352</v>
      </c>
      <c r="C32" s="2" t="s">
        <v>353</v>
      </c>
      <c r="D32" s="2" t="s">
        <v>354</v>
      </c>
      <c r="F32" s="3" t="s">
        <v>58</v>
      </c>
      <c r="G32" s="3" t="s">
        <v>59</v>
      </c>
      <c r="H32" s="3" t="s">
        <v>58</v>
      </c>
      <c r="I32" s="3" t="s">
        <v>58</v>
      </c>
      <c r="J32" s="3" t="s">
        <v>60</v>
      </c>
      <c r="K32" s="2" t="s">
        <v>355</v>
      </c>
      <c r="L32" s="2" t="s">
        <v>356</v>
      </c>
      <c r="M32" s="3" t="s">
        <v>63</v>
      </c>
      <c r="O32" s="3" t="s">
        <v>65</v>
      </c>
      <c r="P32" s="3" t="s">
        <v>85</v>
      </c>
      <c r="R32" s="3" t="s">
        <v>67</v>
      </c>
      <c r="S32" s="4">
        <v>12</v>
      </c>
      <c r="T32" s="4">
        <v>12</v>
      </c>
      <c r="U32" s="5" t="s">
        <v>357</v>
      </c>
      <c r="V32" s="5" t="s">
        <v>357</v>
      </c>
      <c r="W32" s="5" t="s">
        <v>358</v>
      </c>
      <c r="X32" s="5" t="s">
        <v>358</v>
      </c>
      <c r="Y32" s="4">
        <v>192</v>
      </c>
      <c r="Z32" s="4">
        <v>190</v>
      </c>
      <c r="AA32" s="4">
        <v>191</v>
      </c>
      <c r="AB32" s="4">
        <v>8</v>
      </c>
      <c r="AC32" s="4">
        <v>8</v>
      </c>
      <c r="AD32" s="4">
        <v>7</v>
      </c>
      <c r="AE32" s="4">
        <v>7</v>
      </c>
      <c r="AF32" s="4">
        <v>0</v>
      </c>
      <c r="AG32" s="4">
        <v>0</v>
      </c>
      <c r="AH32" s="4">
        <v>1</v>
      </c>
      <c r="AI32" s="4">
        <v>1</v>
      </c>
      <c r="AJ32" s="4">
        <v>1</v>
      </c>
      <c r="AK32" s="4">
        <v>1</v>
      </c>
      <c r="AL32" s="4">
        <v>5</v>
      </c>
      <c r="AM32" s="4">
        <v>5</v>
      </c>
      <c r="AN32" s="4">
        <v>0</v>
      </c>
      <c r="AO32" s="4">
        <v>0</v>
      </c>
      <c r="AP32" s="3" t="s">
        <v>58</v>
      </c>
      <c r="AQ32" s="3" t="s">
        <v>58</v>
      </c>
      <c r="AS32" s="6" t="str">
        <f>HYPERLINK("https://creighton-primo.hosted.exlibrisgroup.com/primo-explore/search?tab=default_tab&amp;search_scope=EVERYTHING&amp;vid=01CRU&amp;lang=en_US&amp;offset=0&amp;query=any,contains,991005421879702656","Catalog Record")</f>
        <v>Catalog Record</v>
      </c>
      <c r="AT32" s="6" t="str">
        <f>HYPERLINK("http://www.worldcat.org/oclc/32796122","WorldCat Record")</f>
        <v>WorldCat Record</v>
      </c>
      <c r="AU32" s="3" t="s">
        <v>359</v>
      </c>
      <c r="AV32" s="3" t="s">
        <v>360</v>
      </c>
      <c r="AW32" s="3" t="s">
        <v>361</v>
      </c>
      <c r="AX32" s="3" t="s">
        <v>361</v>
      </c>
      <c r="AY32" s="3" t="s">
        <v>362</v>
      </c>
      <c r="AZ32" s="3" t="s">
        <v>74</v>
      </c>
      <c r="BB32" s="3" t="s">
        <v>363</v>
      </c>
      <c r="BC32" s="3" t="s">
        <v>364</v>
      </c>
      <c r="BD32" s="3" t="s">
        <v>365</v>
      </c>
    </row>
    <row r="33" spans="1:56" ht="47.25" customHeight="1" x14ac:dyDescent="0.25">
      <c r="A33" s="7" t="s">
        <v>58</v>
      </c>
      <c r="B33" s="2" t="s">
        <v>366</v>
      </c>
      <c r="C33" s="2" t="s">
        <v>367</v>
      </c>
      <c r="D33" s="2" t="s">
        <v>368</v>
      </c>
      <c r="F33" s="3" t="s">
        <v>58</v>
      </c>
      <c r="G33" s="3" t="s">
        <v>59</v>
      </c>
      <c r="H33" s="3" t="s">
        <v>58</v>
      </c>
      <c r="I33" s="3" t="s">
        <v>58</v>
      </c>
      <c r="J33" s="3" t="s">
        <v>60</v>
      </c>
      <c r="K33" s="2" t="s">
        <v>369</v>
      </c>
      <c r="L33" s="2" t="s">
        <v>370</v>
      </c>
      <c r="M33" s="3" t="s">
        <v>126</v>
      </c>
      <c r="O33" s="3" t="s">
        <v>65</v>
      </c>
      <c r="P33" s="3" t="s">
        <v>371</v>
      </c>
      <c r="R33" s="3" t="s">
        <v>67</v>
      </c>
      <c r="S33" s="4">
        <v>8</v>
      </c>
      <c r="T33" s="4">
        <v>8</v>
      </c>
      <c r="U33" s="5" t="s">
        <v>372</v>
      </c>
      <c r="V33" s="5" t="s">
        <v>372</v>
      </c>
      <c r="W33" s="5" t="s">
        <v>373</v>
      </c>
      <c r="X33" s="5" t="s">
        <v>373</v>
      </c>
      <c r="Y33" s="4">
        <v>101</v>
      </c>
      <c r="Z33" s="4">
        <v>95</v>
      </c>
      <c r="AA33" s="4">
        <v>103</v>
      </c>
      <c r="AB33" s="4">
        <v>1</v>
      </c>
      <c r="AC33" s="4">
        <v>1</v>
      </c>
      <c r="AD33" s="4">
        <v>0</v>
      </c>
      <c r="AE33" s="4">
        <v>0</v>
      </c>
      <c r="AF33" s="4">
        <v>0</v>
      </c>
      <c r="AG33" s="4">
        <v>0</v>
      </c>
      <c r="AH33" s="4">
        <v>0</v>
      </c>
      <c r="AI33" s="4">
        <v>0</v>
      </c>
      <c r="AJ33" s="4">
        <v>0</v>
      </c>
      <c r="AK33" s="4">
        <v>0</v>
      </c>
      <c r="AL33" s="4">
        <v>0</v>
      </c>
      <c r="AM33" s="4">
        <v>0</v>
      </c>
      <c r="AN33" s="4">
        <v>0</v>
      </c>
      <c r="AO33" s="4">
        <v>0</v>
      </c>
      <c r="AP33" s="3" t="s">
        <v>58</v>
      </c>
      <c r="AQ33" s="3" t="s">
        <v>58</v>
      </c>
      <c r="AS33" s="6" t="str">
        <f>HYPERLINK("https://creighton-primo.hosted.exlibrisgroup.com/primo-explore/search?tab=default_tab&amp;search_scope=EVERYTHING&amp;vid=01CRU&amp;lang=en_US&amp;offset=0&amp;query=any,contains,991001391219702656","Catalog Record")</f>
        <v>Catalog Record</v>
      </c>
      <c r="AT33" s="6" t="str">
        <f>HYPERLINK("http://www.worldcat.org/oclc/18768112","WorldCat Record")</f>
        <v>WorldCat Record</v>
      </c>
      <c r="AU33" s="3" t="s">
        <v>374</v>
      </c>
      <c r="AV33" s="3" t="s">
        <v>375</v>
      </c>
      <c r="AW33" s="3" t="s">
        <v>376</v>
      </c>
      <c r="AX33" s="3" t="s">
        <v>376</v>
      </c>
      <c r="AY33" s="3" t="s">
        <v>377</v>
      </c>
      <c r="AZ33" s="3" t="s">
        <v>74</v>
      </c>
      <c r="BB33" s="3" t="s">
        <v>378</v>
      </c>
      <c r="BC33" s="3" t="s">
        <v>379</v>
      </c>
      <c r="BD33" s="3" t="s">
        <v>380</v>
      </c>
    </row>
    <row r="34" spans="1:56" ht="47.25" customHeight="1" x14ac:dyDescent="0.25">
      <c r="A34" s="7" t="s">
        <v>58</v>
      </c>
      <c r="B34" s="2" t="s">
        <v>381</v>
      </c>
      <c r="C34" s="2" t="s">
        <v>382</v>
      </c>
      <c r="D34" s="2" t="s">
        <v>383</v>
      </c>
      <c r="F34" s="3" t="s">
        <v>58</v>
      </c>
      <c r="G34" s="3" t="s">
        <v>59</v>
      </c>
      <c r="H34" s="3" t="s">
        <v>58</v>
      </c>
      <c r="I34" s="3" t="s">
        <v>58</v>
      </c>
      <c r="J34" s="3" t="s">
        <v>60</v>
      </c>
      <c r="K34" s="2" t="s">
        <v>369</v>
      </c>
      <c r="L34" s="2" t="s">
        <v>384</v>
      </c>
      <c r="M34" s="3" t="s">
        <v>385</v>
      </c>
      <c r="O34" s="3" t="s">
        <v>65</v>
      </c>
      <c r="P34" s="3" t="s">
        <v>371</v>
      </c>
      <c r="R34" s="3" t="s">
        <v>67</v>
      </c>
      <c r="S34" s="4">
        <v>15</v>
      </c>
      <c r="T34" s="4">
        <v>15</v>
      </c>
      <c r="U34" s="5" t="s">
        <v>386</v>
      </c>
      <c r="V34" s="5" t="s">
        <v>386</v>
      </c>
      <c r="W34" s="5" t="s">
        <v>373</v>
      </c>
      <c r="X34" s="5" t="s">
        <v>373</v>
      </c>
      <c r="Y34" s="4">
        <v>170</v>
      </c>
      <c r="Z34" s="4">
        <v>167</v>
      </c>
      <c r="AA34" s="4">
        <v>168</v>
      </c>
      <c r="AB34" s="4">
        <v>4</v>
      </c>
      <c r="AC34" s="4">
        <v>4</v>
      </c>
      <c r="AD34" s="4">
        <v>2</v>
      </c>
      <c r="AE34" s="4">
        <v>2</v>
      </c>
      <c r="AF34" s="4">
        <v>1</v>
      </c>
      <c r="AG34" s="4">
        <v>1</v>
      </c>
      <c r="AH34" s="4">
        <v>1</v>
      </c>
      <c r="AI34" s="4">
        <v>1</v>
      </c>
      <c r="AJ34" s="4">
        <v>0</v>
      </c>
      <c r="AK34" s="4">
        <v>0</v>
      </c>
      <c r="AL34" s="4">
        <v>1</v>
      </c>
      <c r="AM34" s="4">
        <v>1</v>
      </c>
      <c r="AN34" s="4">
        <v>0</v>
      </c>
      <c r="AO34" s="4">
        <v>0</v>
      </c>
      <c r="AP34" s="3" t="s">
        <v>58</v>
      </c>
      <c r="AQ34" s="3" t="s">
        <v>58</v>
      </c>
      <c r="AS34" s="6" t="str">
        <f>HYPERLINK("https://creighton-primo.hosted.exlibrisgroup.com/primo-explore/search?tab=default_tab&amp;search_scope=EVERYTHING&amp;vid=01CRU&amp;lang=en_US&amp;offset=0&amp;query=any,contains,991001167099702656","Catalog Record")</f>
        <v>Catalog Record</v>
      </c>
      <c r="AT34" s="6" t="str">
        <f>HYPERLINK("http://www.worldcat.org/oclc/16924714","WorldCat Record")</f>
        <v>WorldCat Record</v>
      </c>
      <c r="AU34" s="3" t="s">
        <v>387</v>
      </c>
      <c r="AV34" s="3" t="s">
        <v>388</v>
      </c>
      <c r="AW34" s="3" t="s">
        <v>389</v>
      </c>
      <c r="AX34" s="3" t="s">
        <v>389</v>
      </c>
      <c r="AY34" s="3" t="s">
        <v>390</v>
      </c>
      <c r="AZ34" s="3" t="s">
        <v>74</v>
      </c>
      <c r="BB34" s="3" t="s">
        <v>391</v>
      </c>
      <c r="BC34" s="3" t="s">
        <v>392</v>
      </c>
      <c r="BD34" s="3" t="s">
        <v>393</v>
      </c>
    </row>
    <row r="35" spans="1:56" ht="47.25" customHeight="1" x14ac:dyDescent="0.25">
      <c r="A35" s="7" t="s">
        <v>58</v>
      </c>
      <c r="B35" s="2" t="s">
        <v>394</v>
      </c>
      <c r="C35" s="2" t="s">
        <v>395</v>
      </c>
      <c r="D35" s="2" t="s">
        <v>396</v>
      </c>
      <c r="F35" s="3" t="s">
        <v>58</v>
      </c>
      <c r="G35" s="3" t="s">
        <v>59</v>
      </c>
      <c r="H35" s="3" t="s">
        <v>58</v>
      </c>
      <c r="I35" s="3" t="s">
        <v>58</v>
      </c>
      <c r="J35" s="3" t="s">
        <v>60</v>
      </c>
      <c r="K35" s="2" t="s">
        <v>369</v>
      </c>
      <c r="L35" s="2" t="s">
        <v>397</v>
      </c>
      <c r="M35" s="3" t="s">
        <v>398</v>
      </c>
      <c r="O35" s="3" t="s">
        <v>65</v>
      </c>
      <c r="P35" s="3" t="s">
        <v>371</v>
      </c>
      <c r="R35" s="3" t="s">
        <v>67</v>
      </c>
      <c r="S35" s="4">
        <v>9</v>
      </c>
      <c r="T35" s="4">
        <v>9</v>
      </c>
      <c r="U35" s="5" t="s">
        <v>372</v>
      </c>
      <c r="V35" s="5" t="s">
        <v>372</v>
      </c>
      <c r="W35" s="5" t="s">
        <v>399</v>
      </c>
      <c r="X35" s="5" t="s">
        <v>399</v>
      </c>
      <c r="Y35" s="4">
        <v>133</v>
      </c>
      <c r="Z35" s="4">
        <v>127</v>
      </c>
      <c r="AA35" s="4">
        <v>132</v>
      </c>
      <c r="AB35" s="4">
        <v>2</v>
      </c>
      <c r="AC35" s="4">
        <v>2</v>
      </c>
      <c r="AD35" s="4">
        <v>3</v>
      </c>
      <c r="AE35" s="4">
        <v>3</v>
      </c>
      <c r="AF35" s="4">
        <v>2</v>
      </c>
      <c r="AG35" s="4">
        <v>2</v>
      </c>
      <c r="AH35" s="4">
        <v>1</v>
      </c>
      <c r="AI35" s="4">
        <v>1</v>
      </c>
      <c r="AJ35" s="4">
        <v>0</v>
      </c>
      <c r="AK35" s="4">
        <v>0</v>
      </c>
      <c r="AL35" s="4">
        <v>1</v>
      </c>
      <c r="AM35" s="4">
        <v>1</v>
      </c>
      <c r="AN35" s="4">
        <v>0</v>
      </c>
      <c r="AO35" s="4">
        <v>0</v>
      </c>
      <c r="AP35" s="3" t="s">
        <v>58</v>
      </c>
      <c r="AQ35" s="3" t="s">
        <v>58</v>
      </c>
      <c r="AS35" s="6" t="str">
        <f>HYPERLINK("https://creighton-primo.hosted.exlibrisgroup.com/primo-explore/search?tab=default_tab&amp;search_scope=EVERYTHING&amp;vid=01CRU&amp;lang=en_US&amp;offset=0&amp;query=any,contains,991001763979702656","Catalog Record")</f>
        <v>Catalog Record</v>
      </c>
      <c r="AT35" s="6" t="str">
        <f>HYPERLINK("http://www.worldcat.org/oclc/22294758","WorldCat Record")</f>
        <v>WorldCat Record</v>
      </c>
      <c r="AU35" s="3" t="s">
        <v>400</v>
      </c>
      <c r="AV35" s="3" t="s">
        <v>401</v>
      </c>
      <c r="AW35" s="3" t="s">
        <v>402</v>
      </c>
      <c r="AX35" s="3" t="s">
        <v>402</v>
      </c>
      <c r="AY35" s="3" t="s">
        <v>403</v>
      </c>
      <c r="AZ35" s="3" t="s">
        <v>74</v>
      </c>
      <c r="BB35" s="3" t="s">
        <v>404</v>
      </c>
      <c r="BC35" s="3" t="s">
        <v>405</v>
      </c>
      <c r="BD35" s="3" t="s">
        <v>406</v>
      </c>
    </row>
    <row r="36" spans="1:56" ht="47.25" customHeight="1" x14ac:dyDescent="0.25">
      <c r="A36" s="7" t="s">
        <v>58</v>
      </c>
      <c r="B36" s="2" t="s">
        <v>407</v>
      </c>
      <c r="C36" s="2" t="s">
        <v>408</v>
      </c>
      <c r="D36" s="2" t="s">
        <v>409</v>
      </c>
      <c r="F36" s="3" t="s">
        <v>58</v>
      </c>
      <c r="G36" s="3" t="s">
        <v>59</v>
      </c>
      <c r="H36" s="3" t="s">
        <v>58</v>
      </c>
      <c r="I36" s="3" t="s">
        <v>58</v>
      </c>
      <c r="J36" s="3" t="s">
        <v>60</v>
      </c>
      <c r="K36" s="2" t="s">
        <v>410</v>
      </c>
      <c r="L36" s="2" t="s">
        <v>411</v>
      </c>
      <c r="M36" s="3" t="s">
        <v>412</v>
      </c>
      <c r="O36" s="3" t="s">
        <v>65</v>
      </c>
      <c r="P36" s="3" t="s">
        <v>413</v>
      </c>
      <c r="R36" s="3" t="s">
        <v>67</v>
      </c>
      <c r="S36" s="4">
        <v>1</v>
      </c>
      <c r="T36" s="4">
        <v>1</v>
      </c>
      <c r="U36" s="5" t="s">
        <v>283</v>
      </c>
      <c r="V36" s="5" t="s">
        <v>283</v>
      </c>
      <c r="W36" s="5" t="s">
        <v>87</v>
      </c>
      <c r="X36" s="5" t="s">
        <v>87</v>
      </c>
      <c r="Y36" s="4">
        <v>295</v>
      </c>
      <c r="Z36" s="4">
        <v>248</v>
      </c>
      <c r="AA36" s="4">
        <v>250</v>
      </c>
      <c r="AB36" s="4">
        <v>1</v>
      </c>
      <c r="AC36" s="4">
        <v>1</v>
      </c>
      <c r="AD36" s="4">
        <v>2</v>
      </c>
      <c r="AE36" s="4">
        <v>2</v>
      </c>
      <c r="AF36" s="4">
        <v>1</v>
      </c>
      <c r="AG36" s="4">
        <v>1</v>
      </c>
      <c r="AH36" s="4">
        <v>0</v>
      </c>
      <c r="AI36" s="4">
        <v>0</v>
      </c>
      <c r="AJ36" s="4">
        <v>1</v>
      </c>
      <c r="AK36" s="4">
        <v>1</v>
      </c>
      <c r="AL36" s="4">
        <v>0</v>
      </c>
      <c r="AM36" s="4">
        <v>0</v>
      </c>
      <c r="AN36" s="4">
        <v>0</v>
      </c>
      <c r="AO36" s="4">
        <v>0</v>
      </c>
      <c r="AP36" s="3" t="s">
        <v>58</v>
      </c>
      <c r="AQ36" s="3" t="s">
        <v>58</v>
      </c>
      <c r="AS36" s="6" t="str">
        <f>HYPERLINK("https://creighton-primo.hosted.exlibrisgroup.com/primo-explore/search?tab=default_tab&amp;search_scope=EVERYTHING&amp;vid=01CRU&amp;lang=en_US&amp;offset=0&amp;query=any,contains,991003483809702656","Catalog Record")</f>
        <v>Catalog Record</v>
      </c>
      <c r="AT36" s="6" t="str">
        <f>HYPERLINK("http://www.worldcat.org/oclc/1031187","WorldCat Record")</f>
        <v>WorldCat Record</v>
      </c>
      <c r="AU36" s="3" t="s">
        <v>414</v>
      </c>
      <c r="AV36" s="3" t="s">
        <v>415</v>
      </c>
      <c r="AW36" s="3" t="s">
        <v>416</v>
      </c>
      <c r="AX36" s="3" t="s">
        <v>416</v>
      </c>
      <c r="AY36" s="3" t="s">
        <v>417</v>
      </c>
      <c r="AZ36" s="3" t="s">
        <v>74</v>
      </c>
      <c r="BB36" s="3" t="s">
        <v>418</v>
      </c>
      <c r="BC36" s="3" t="s">
        <v>419</v>
      </c>
      <c r="BD36" s="3" t="s">
        <v>420</v>
      </c>
    </row>
    <row r="37" spans="1:56" ht="47.25" customHeight="1" x14ac:dyDescent="0.25">
      <c r="A37" s="7" t="s">
        <v>58</v>
      </c>
      <c r="B37" s="2" t="s">
        <v>421</v>
      </c>
      <c r="C37" s="2" t="s">
        <v>422</v>
      </c>
      <c r="D37" s="2" t="s">
        <v>423</v>
      </c>
      <c r="F37" s="3" t="s">
        <v>58</v>
      </c>
      <c r="G37" s="3" t="s">
        <v>59</v>
      </c>
      <c r="H37" s="3" t="s">
        <v>58</v>
      </c>
      <c r="I37" s="3" t="s">
        <v>58</v>
      </c>
      <c r="J37" s="3" t="s">
        <v>60</v>
      </c>
      <c r="K37" s="2" t="s">
        <v>424</v>
      </c>
      <c r="L37" s="2" t="s">
        <v>425</v>
      </c>
      <c r="M37" s="3" t="s">
        <v>426</v>
      </c>
      <c r="O37" s="3" t="s">
        <v>65</v>
      </c>
      <c r="P37" s="3" t="s">
        <v>143</v>
      </c>
      <c r="R37" s="3" t="s">
        <v>67</v>
      </c>
      <c r="S37" s="4">
        <v>1</v>
      </c>
      <c r="T37" s="4">
        <v>1</v>
      </c>
      <c r="U37" s="5" t="s">
        <v>283</v>
      </c>
      <c r="V37" s="5" t="s">
        <v>283</v>
      </c>
      <c r="W37" s="5" t="s">
        <v>87</v>
      </c>
      <c r="X37" s="5" t="s">
        <v>87</v>
      </c>
      <c r="Y37" s="4">
        <v>240</v>
      </c>
      <c r="Z37" s="4">
        <v>223</v>
      </c>
      <c r="AA37" s="4">
        <v>235</v>
      </c>
      <c r="AB37" s="4">
        <v>2</v>
      </c>
      <c r="AC37" s="4">
        <v>2</v>
      </c>
      <c r="AD37" s="4">
        <v>2</v>
      </c>
      <c r="AE37" s="4">
        <v>2</v>
      </c>
      <c r="AF37" s="4">
        <v>1</v>
      </c>
      <c r="AG37" s="4">
        <v>1</v>
      </c>
      <c r="AH37" s="4">
        <v>0</v>
      </c>
      <c r="AI37" s="4">
        <v>0</v>
      </c>
      <c r="AJ37" s="4">
        <v>0</v>
      </c>
      <c r="AK37" s="4">
        <v>0</v>
      </c>
      <c r="AL37" s="4">
        <v>1</v>
      </c>
      <c r="AM37" s="4">
        <v>1</v>
      </c>
      <c r="AN37" s="4">
        <v>0</v>
      </c>
      <c r="AO37" s="4">
        <v>0</v>
      </c>
      <c r="AP37" s="3" t="s">
        <v>58</v>
      </c>
      <c r="AQ37" s="3" t="s">
        <v>69</v>
      </c>
      <c r="AR37" s="6" t="str">
        <f>HYPERLINK("http://catalog.hathitrust.org/Record/002535821","HathiTrust Record")</f>
        <v>HathiTrust Record</v>
      </c>
      <c r="AS37" s="6" t="str">
        <f>HYPERLINK("https://creighton-primo.hosted.exlibrisgroup.com/primo-explore/search?tab=default_tab&amp;search_scope=EVERYTHING&amp;vid=01CRU&amp;lang=en_US&amp;offset=0&amp;query=any,contains,991003820029702656","Catalog Record")</f>
        <v>Catalog Record</v>
      </c>
      <c r="AT37" s="6" t="str">
        <f>HYPERLINK("http://www.worldcat.org/oclc/1557172","WorldCat Record")</f>
        <v>WorldCat Record</v>
      </c>
      <c r="AU37" s="3" t="s">
        <v>427</v>
      </c>
      <c r="AV37" s="3" t="s">
        <v>428</v>
      </c>
      <c r="AW37" s="3" t="s">
        <v>429</v>
      </c>
      <c r="AX37" s="3" t="s">
        <v>429</v>
      </c>
      <c r="AY37" s="3" t="s">
        <v>430</v>
      </c>
      <c r="AZ37" s="3" t="s">
        <v>74</v>
      </c>
      <c r="BC37" s="3" t="s">
        <v>431</v>
      </c>
      <c r="BD37" s="3" t="s">
        <v>432</v>
      </c>
    </row>
    <row r="38" spans="1:56" ht="47.25" customHeight="1" x14ac:dyDescent="0.25">
      <c r="A38" s="7" t="s">
        <v>58</v>
      </c>
      <c r="B38" s="2" t="s">
        <v>433</v>
      </c>
      <c r="C38" s="2" t="s">
        <v>434</v>
      </c>
      <c r="D38" s="2" t="s">
        <v>435</v>
      </c>
      <c r="F38" s="3" t="s">
        <v>58</v>
      </c>
      <c r="G38" s="3" t="s">
        <v>59</v>
      </c>
      <c r="H38" s="3" t="s">
        <v>58</v>
      </c>
      <c r="I38" s="3" t="s">
        <v>58</v>
      </c>
      <c r="J38" s="3" t="s">
        <v>60</v>
      </c>
      <c r="K38" s="2" t="s">
        <v>436</v>
      </c>
      <c r="L38" s="2" t="s">
        <v>437</v>
      </c>
      <c r="M38" s="3" t="s">
        <v>438</v>
      </c>
      <c r="O38" s="3" t="s">
        <v>65</v>
      </c>
      <c r="P38" s="3" t="s">
        <v>127</v>
      </c>
      <c r="R38" s="3" t="s">
        <v>67</v>
      </c>
      <c r="S38" s="4">
        <v>2</v>
      </c>
      <c r="T38" s="4">
        <v>2</v>
      </c>
      <c r="U38" s="5" t="s">
        <v>439</v>
      </c>
      <c r="V38" s="5" t="s">
        <v>439</v>
      </c>
      <c r="W38" s="5" t="s">
        <v>440</v>
      </c>
      <c r="X38" s="5" t="s">
        <v>440</v>
      </c>
      <c r="Y38" s="4">
        <v>656</v>
      </c>
      <c r="Z38" s="4">
        <v>472</v>
      </c>
      <c r="AA38" s="4">
        <v>485</v>
      </c>
      <c r="AB38" s="4">
        <v>2</v>
      </c>
      <c r="AC38" s="4">
        <v>2</v>
      </c>
      <c r="AD38" s="4">
        <v>13</v>
      </c>
      <c r="AE38" s="4">
        <v>13</v>
      </c>
      <c r="AF38" s="4">
        <v>5</v>
      </c>
      <c r="AG38" s="4">
        <v>5</v>
      </c>
      <c r="AH38" s="4">
        <v>3</v>
      </c>
      <c r="AI38" s="4">
        <v>3</v>
      </c>
      <c r="AJ38" s="4">
        <v>6</v>
      </c>
      <c r="AK38" s="4">
        <v>6</v>
      </c>
      <c r="AL38" s="4">
        <v>1</v>
      </c>
      <c r="AM38" s="4">
        <v>1</v>
      </c>
      <c r="AN38" s="4">
        <v>0</v>
      </c>
      <c r="AO38" s="4">
        <v>0</v>
      </c>
      <c r="AP38" s="3" t="s">
        <v>58</v>
      </c>
      <c r="AQ38" s="3" t="s">
        <v>58</v>
      </c>
      <c r="AS38" s="6" t="str">
        <f>HYPERLINK("https://creighton-primo.hosted.exlibrisgroup.com/primo-explore/search?tab=default_tab&amp;search_scope=EVERYTHING&amp;vid=01CRU&amp;lang=en_US&amp;offset=0&amp;query=any,contains,991005200249702656","Catalog Record")</f>
        <v>Catalog Record</v>
      </c>
      <c r="AT38" s="6" t="str">
        <f>HYPERLINK("http://www.worldcat.org/oclc/8067899","WorldCat Record")</f>
        <v>WorldCat Record</v>
      </c>
      <c r="AU38" s="3" t="s">
        <v>441</v>
      </c>
      <c r="AV38" s="3" t="s">
        <v>442</v>
      </c>
      <c r="AW38" s="3" t="s">
        <v>443</v>
      </c>
      <c r="AX38" s="3" t="s">
        <v>443</v>
      </c>
      <c r="AY38" s="3" t="s">
        <v>444</v>
      </c>
      <c r="AZ38" s="3" t="s">
        <v>74</v>
      </c>
      <c r="BB38" s="3" t="s">
        <v>445</v>
      </c>
      <c r="BC38" s="3" t="s">
        <v>446</v>
      </c>
      <c r="BD38" s="3" t="s">
        <v>447</v>
      </c>
    </row>
    <row r="39" spans="1:56" ht="47.25" customHeight="1" x14ac:dyDescent="0.25">
      <c r="A39" s="7" t="s">
        <v>58</v>
      </c>
      <c r="B39" s="2" t="s">
        <v>448</v>
      </c>
      <c r="C39" s="2" t="s">
        <v>449</v>
      </c>
      <c r="D39" s="2" t="s">
        <v>450</v>
      </c>
      <c r="F39" s="3" t="s">
        <v>58</v>
      </c>
      <c r="G39" s="3" t="s">
        <v>59</v>
      </c>
      <c r="H39" s="3" t="s">
        <v>58</v>
      </c>
      <c r="I39" s="3" t="s">
        <v>58</v>
      </c>
      <c r="J39" s="3" t="s">
        <v>60</v>
      </c>
      <c r="K39" s="2" t="s">
        <v>451</v>
      </c>
      <c r="L39" s="2" t="s">
        <v>452</v>
      </c>
      <c r="M39" s="3" t="s">
        <v>453</v>
      </c>
      <c r="N39" s="2" t="s">
        <v>454</v>
      </c>
      <c r="O39" s="3" t="s">
        <v>65</v>
      </c>
      <c r="P39" s="3" t="s">
        <v>455</v>
      </c>
      <c r="R39" s="3" t="s">
        <v>67</v>
      </c>
      <c r="S39" s="4">
        <v>2</v>
      </c>
      <c r="T39" s="4">
        <v>2</v>
      </c>
      <c r="U39" s="5" t="s">
        <v>456</v>
      </c>
      <c r="V39" s="5" t="s">
        <v>456</v>
      </c>
      <c r="W39" s="5" t="s">
        <v>345</v>
      </c>
      <c r="X39" s="5" t="s">
        <v>345</v>
      </c>
      <c r="Y39" s="4">
        <v>159</v>
      </c>
      <c r="Z39" s="4">
        <v>143</v>
      </c>
      <c r="AA39" s="4">
        <v>704</v>
      </c>
      <c r="AB39" s="4">
        <v>2</v>
      </c>
      <c r="AC39" s="4">
        <v>9</v>
      </c>
      <c r="AD39" s="4">
        <v>2</v>
      </c>
      <c r="AE39" s="4">
        <v>22</v>
      </c>
      <c r="AF39" s="4">
        <v>1</v>
      </c>
      <c r="AG39" s="4">
        <v>6</v>
      </c>
      <c r="AH39" s="4">
        <v>0</v>
      </c>
      <c r="AI39" s="4">
        <v>4</v>
      </c>
      <c r="AJ39" s="4">
        <v>1</v>
      </c>
      <c r="AK39" s="4">
        <v>10</v>
      </c>
      <c r="AL39" s="4">
        <v>1</v>
      </c>
      <c r="AM39" s="4">
        <v>7</v>
      </c>
      <c r="AN39" s="4">
        <v>0</v>
      </c>
      <c r="AO39" s="4">
        <v>0</v>
      </c>
      <c r="AP39" s="3" t="s">
        <v>58</v>
      </c>
      <c r="AQ39" s="3" t="s">
        <v>58</v>
      </c>
      <c r="AS39" s="6" t="str">
        <f>HYPERLINK("https://creighton-primo.hosted.exlibrisgroup.com/primo-explore/search?tab=default_tab&amp;search_scope=EVERYTHING&amp;vid=01CRU&amp;lang=en_US&amp;offset=0&amp;query=any,contains,991002656359702656","Catalog Record")</f>
        <v>Catalog Record</v>
      </c>
      <c r="AT39" s="6" t="str">
        <f>HYPERLINK("http://www.worldcat.org/oclc/389309","WorldCat Record")</f>
        <v>WorldCat Record</v>
      </c>
      <c r="AU39" s="3" t="s">
        <v>457</v>
      </c>
      <c r="AV39" s="3" t="s">
        <v>458</v>
      </c>
      <c r="AW39" s="3" t="s">
        <v>459</v>
      </c>
      <c r="AX39" s="3" t="s">
        <v>459</v>
      </c>
      <c r="AY39" s="3" t="s">
        <v>460</v>
      </c>
      <c r="AZ39" s="3" t="s">
        <v>74</v>
      </c>
      <c r="BB39" s="3" t="s">
        <v>461</v>
      </c>
      <c r="BC39" s="3" t="s">
        <v>462</v>
      </c>
      <c r="BD39" s="3" t="s">
        <v>463</v>
      </c>
    </row>
    <row r="40" spans="1:56" ht="47.25" customHeight="1" x14ac:dyDescent="0.25">
      <c r="A40" s="7" t="s">
        <v>58</v>
      </c>
      <c r="B40" s="2" t="s">
        <v>464</v>
      </c>
      <c r="C40" s="2" t="s">
        <v>465</v>
      </c>
      <c r="D40" s="2" t="s">
        <v>466</v>
      </c>
      <c r="F40" s="3" t="s">
        <v>58</v>
      </c>
      <c r="G40" s="3" t="s">
        <v>59</v>
      </c>
      <c r="H40" s="3" t="s">
        <v>58</v>
      </c>
      <c r="I40" s="3" t="s">
        <v>58</v>
      </c>
      <c r="J40" s="3" t="s">
        <v>60</v>
      </c>
      <c r="K40" s="2" t="s">
        <v>467</v>
      </c>
      <c r="L40" s="2" t="s">
        <v>468</v>
      </c>
      <c r="M40" s="3" t="s">
        <v>469</v>
      </c>
      <c r="N40" s="2" t="s">
        <v>470</v>
      </c>
      <c r="O40" s="3" t="s">
        <v>65</v>
      </c>
      <c r="P40" s="3" t="s">
        <v>100</v>
      </c>
      <c r="R40" s="3" t="s">
        <v>67</v>
      </c>
      <c r="S40" s="4">
        <v>0</v>
      </c>
      <c r="T40" s="4">
        <v>0</v>
      </c>
      <c r="U40" s="5" t="s">
        <v>471</v>
      </c>
      <c r="V40" s="5" t="s">
        <v>471</v>
      </c>
      <c r="W40" s="5" t="s">
        <v>472</v>
      </c>
      <c r="X40" s="5" t="s">
        <v>472</v>
      </c>
      <c r="Y40" s="4">
        <v>581</v>
      </c>
      <c r="Z40" s="4">
        <v>557</v>
      </c>
      <c r="AA40" s="4">
        <v>705</v>
      </c>
      <c r="AB40" s="4">
        <v>3</v>
      </c>
      <c r="AC40" s="4">
        <v>3</v>
      </c>
      <c r="AD40" s="4">
        <v>13</v>
      </c>
      <c r="AE40" s="4">
        <v>16</v>
      </c>
      <c r="AF40" s="4">
        <v>5</v>
      </c>
      <c r="AG40" s="4">
        <v>5</v>
      </c>
      <c r="AH40" s="4">
        <v>3</v>
      </c>
      <c r="AI40" s="4">
        <v>3</v>
      </c>
      <c r="AJ40" s="4">
        <v>8</v>
      </c>
      <c r="AK40" s="4">
        <v>11</v>
      </c>
      <c r="AL40" s="4">
        <v>0</v>
      </c>
      <c r="AM40" s="4">
        <v>0</v>
      </c>
      <c r="AN40" s="4">
        <v>0</v>
      </c>
      <c r="AO40" s="4">
        <v>0</v>
      </c>
      <c r="AP40" s="3" t="s">
        <v>58</v>
      </c>
      <c r="AQ40" s="3" t="s">
        <v>69</v>
      </c>
      <c r="AR40" s="6" t="str">
        <f>HYPERLINK("http://catalog.hathitrust.org/Record/003186638","HathiTrust Record")</f>
        <v>HathiTrust Record</v>
      </c>
      <c r="AS40" s="6" t="str">
        <f>HYPERLINK("https://creighton-primo.hosted.exlibrisgroup.com/primo-explore/search?tab=default_tab&amp;search_scope=EVERYTHING&amp;vid=01CRU&amp;lang=en_US&amp;offset=0&amp;query=any,contains,991002805109702656","Catalog Record")</f>
        <v>Catalog Record</v>
      </c>
      <c r="AT40" s="6" t="str">
        <f>HYPERLINK("http://www.worldcat.org/oclc/36847749","WorldCat Record")</f>
        <v>WorldCat Record</v>
      </c>
      <c r="AU40" s="3" t="s">
        <v>473</v>
      </c>
      <c r="AV40" s="3" t="s">
        <v>474</v>
      </c>
      <c r="AW40" s="3" t="s">
        <v>475</v>
      </c>
      <c r="AX40" s="3" t="s">
        <v>475</v>
      </c>
      <c r="AY40" s="3" t="s">
        <v>476</v>
      </c>
      <c r="AZ40" s="3" t="s">
        <v>74</v>
      </c>
      <c r="BB40" s="3" t="s">
        <v>477</v>
      </c>
      <c r="BC40" s="3" t="s">
        <v>478</v>
      </c>
      <c r="BD40" s="3" t="s">
        <v>479</v>
      </c>
    </row>
    <row r="41" spans="1:56" ht="47.25" customHeight="1" x14ac:dyDescent="0.25">
      <c r="A41" s="7" t="s">
        <v>58</v>
      </c>
      <c r="B41" s="2" t="s">
        <v>480</v>
      </c>
      <c r="C41" s="2" t="s">
        <v>481</v>
      </c>
      <c r="D41" s="2" t="s">
        <v>482</v>
      </c>
      <c r="F41" s="3" t="s">
        <v>58</v>
      </c>
      <c r="G41" s="3" t="s">
        <v>59</v>
      </c>
      <c r="H41" s="3" t="s">
        <v>58</v>
      </c>
      <c r="I41" s="3" t="s">
        <v>58</v>
      </c>
      <c r="J41" s="3" t="s">
        <v>60</v>
      </c>
      <c r="K41" s="2" t="s">
        <v>483</v>
      </c>
      <c r="L41" s="2" t="s">
        <v>484</v>
      </c>
      <c r="M41" s="3" t="s">
        <v>330</v>
      </c>
      <c r="O41" s="3" t="s">
        <v>65</v>
      </c>
      <c r="P41" s="3" t="s">
        <v>485</v>
      </c>
      <c r="R41" s="3" t="s">
        <v>67</v>
      </c>
      <c r="S41" s="4">
        <v>2</v>
      </c>
      <c r="T41" s="4">
        <v>2</v>
      </c>
      <c r="U41" s="5" t="s">
        <v>332</v>
      </c>
      <c r="V41" s="5" t="s">
        <v>332</v>
      </c>
      <c r="W41" s="5" t="s">
        <v>87</v>
      </c>
      <c r="X41" s="5" t="s">
        <v>87</v>
      </c>
      <c r="Y41" s="4">
        <v>512</v>
      </c>
      <c r="Z41" s="4">
        <v>484</v>
      </c>
      <c r="AA41" s="4">
        <v>532</v>
      </c>
      <c r="AB41" s="4">
        <v>14</v>
      </c>
      <c r="AC41" s="4">
        <v>14</v>
      </c>
      <c r="AD41" s="4">
        <v>16</v>
      </c>
      <c r="AE41" s="4">
        <v>17</v>
      </c>
      <c r="AF41" s="4">
        <v>3</v>
      </c>
      <c r="AG41" s="4">
        <v>4</v>
      </c>
      <c r="AH41" s="4">
        <v>2</v>
      </c>
      <c r="AI41" s="4">
        <v>2</v>
      </c>
      <c r="AJ41" s="4">
        <v>1</v>
      </c>
      <c r="AK41" s="4">
        <v>1</v>
      </c>
      <c r="AL41" s="4">
        <v>11</v>
      </c>
      <c r="AM41" s="4">
        <v>11</v>
      </c>
      <c r="AN41" s="4">
        <v>0</v>
      </c>
      <c r="AO41" s="4">
        <v>0</v>
      </c>
      <c r="AP41" s="3" t="s">
        <v>69</v>
      </c>
      <c r="AQ41" s="3" t="s">
        <v>58</v>
      </c>
      <c r="AR41" s="6" t="str">
        <f>HYPERLINK("http://catalog.hathitrust.org/Record/000854895","HathiTrust Record")</f>
        <v>HathiTrust Record</v>
      </c>
      <c r="AS41" s="6" t="str">
        <f>HYPERLINK("https://creighton-primo.hosted.exlibrisgroup.com/primo-explore/search?tab=default_tab&amp;search_scope=EVERYTHING&amp;vid=01CRU&amp;lang=en_US&amp;offset=0&amp;query=any,contains,991002347889702656","Catalog Record")</f>
        <v>Catalog Record</v>
      </c>
      <c r="AT41" s="6" t="str">
        <f>HYPERLINK("http://www.worldcat.org/oclc/324848","WorldCat Record")</f>
        <v>WorldCat Record</v>
      </c>
      <c r="AU41" s="3" t="s">
        <v>486</v>
      </c>
      <c r="AV41" s="3" t="s">
        <v>487</v>
      </c>
      <c r="AW41" s="3" t="s">
        <v>488</v>
      </c>
      <c r="AX41" s="3" t="s">
        <v>488</v>
      </c>
      <c r="AY41" s="3" t="s">
        <v>489</v>
      </c>
      <c r="AZ41" s="3" t="s">
        <v>74</v>
      </c>
      <c r="BC41" s="3" t="s">
        <v>490</v>
      </c>
      <c r="BD41" s="3" t="s">
        <v>491</v>
      </c>
    </row>
    <row r="42" spans="1:56" ht="47.25" customHeight="1" x14ac:dyDescent="0.25">
      <c r="A42" s="7" t="s">
        <v>58</v>
      </c>
      <c r="B42" s="2" t="s">
        <v>492</v>
      </c>
      <c r="C42" s="2" t="s">
        <v>493</v>
      </c>
      <c r="D42" s="2" t="s">
        <v>494</v>
      </c>
      <c r="F42" s="3" t="s">
        <v>58</v>
      </c>
      <c r="G42" s="3" t="s">
        <v>59</v>
      </c>
      <c r="H42" s="3" t="s">
        <v>58</v>
      </c>
      <c r="I42" s="3" t="s">
        <v>58</v>
      </c>
      <c r="J42" s="3" t="s">
        <v>60</v>
      </c>
      <c r="K42" s="2" t="s">
        <v>495</v>
      </c>
      <c r="L42" s="2" t="s">
        <v>496</v>
      </c>
      <c r="M42" s="3" t="s">
        <v>497</v>
      </c>
      <c r="O42" s="3" t="s">
        <v>65</v>
      </c>
      <c r="P42" s="3" t="s">
        <v>498</v>
      </c>
      <c r="R42" s="3" t="s">
        <v>67</v>
      </c>
      <c r="S42" s="4">
        <v>20</v>
      </c>
      <c r="T42" s="4">
        <v>20</v>
      </c>
      <c r="U42" s="5" t="s">
        <v>499</v>
      </c>
      <c r="V42" s="5" t="s">
        <v>499</v>
      </c>
      <c r="W42" s="5" t="s">
        <v>500</v>
      </c>
      <c r="X42" s="5" t="s">
        <v>500</v>
      </c>
      <c r="Y42" s="4">
        <v>298</v>
      </c>
      <c r="Z42" s="4">
        <v>288</v>
      </c>
      <c r="AA42" s="4">
        <v>289</v>
      </c>
      <c r="AB42" s="4">
        <v>50</v>
      </c>
      <c r="AC42" s="4">
        <v>50</v>
      </c>
      <c r="AD42" s="4">
        <v>17</v>
      </c>
      <c r="AE42" s="4">
        <v>17</v>
      </c>
      <c r="AF42" s="4">
        <v>1</v>
      </c>
      <c r="AG42" s="4">
        <v>1</v>
      </c>
      <c r="AH42" s="4">
        <v>1</v>
      </c>
      <c r="AI42" s="4">
        <v>1</v>
      </c>
      <c r="AJ42" s="4">
        <v>0</v>
      </c>
      <c r="AK42" s="4">
        <v>0</v>
      </c>
      <c r="AL42" s="4">
        <v>15</v>
      </c>
      <c r="AM42" s="4">
        <v>15</v>
      </c>
      <c r="AN42" s="4">
        <v>0</v>
      </c>
      <c r="AO42" s="4">
        <v>0</v>
      </c>
      <c r="AP42" s="3" t="s">
        <v>58</v>
      </c>
      <c r="AQ42" s="3" t="s">
        <v>58</v>
      </c>
      <c r="AS42" s="6" t="str">
        <f>HYPERLINK("https://creighton-primo.hosted.exlibrisgroup.com/primo-explore/search?tab=default_tab&amp;search_scope=EVERYTHING&amp;vid=01CRU&amp;lang=en_US&amp;offset=0&amp;query=any,contains,991003160919702656","Catalog Record")</f>
        <v>Catalog Record</v>
      </c>
      <c r="AT42" s="6" t="str">
        <f>HYPERLINK("http://www.worldcat.org/oclc/700256","WorldCat Record")</f>
        <v>WorldCat Record</v>
      </c>
      <c r="AU42" s="3" t="s">
        <v>501</v>
      </c>
      <c r="AV42" s="3" t="s">
        <v>502</v>
      </c>
      <c r="AW42" s="3" t="s">
        <v>503</v>
      </c>
      <c r="AX42" s="3" t="s">
        <v>503</v>
      </c>
      <c r="AY42" s="3" t="s">
        <v>504</v>
      </c>
      <c r="AZ42" s="3" t="s">
        <v>74</v>
      </c>
      <c r="BB42" s="3" t="s">
        <v>505</v>
      </c>
      <c r="BC42" s="3" t="s">
        <v>506</v>
      </c>
      <c r="BD42" s="3" t="s">
        <v>507</v>
      </c>
    </row>
    <row r="43" spans="1:56" ht="47.25" customHeight="1" x14ac:dyDescent="0.25">
      <c r="A43" s="7" t="s">
        <v>58</v>
      </c>
      <c r="B43" s="2" t="s">
        <v>508</v>
      </c>
      <c r="C43" s="2" t="s">
        <v>509</v>
      </c>
      <c r="D43" s="2" t="s">
        <v>510</v>
      </c>
      <c r="F43" s="3" t="s">
        <v>58</v>
      </c>
      <c r="G43" s="3" t="s">
        <v>59</v>
      </c>
      <c r="H43" s="3" t="s">
        <v>58</v>
      </c>
      <c r="I43" s="3" t="s">
        <v>58</v>
      </c>
      <c r="J43" s="3" t="s">
        <v>60</v>
      </c>
      <c r="K43" s="2" t="s">
        <v>511</v>
      </c>
      <c r="L43" s="2" t="s">
        <v>512</v>
      </c>
      <c r="M43" s="3" t="s">
        <v>142</v>
      </c>
      <c r="O43" s="3" t="s">
        <v>65</v>
      </c>
      <c r="P43" s="3" t="s">
        <v>513</v>
      </c>
      <c r="R43" s="3" t="s">
        <v>67</v>
      </c>
      <c r="S43" s="4">
        <v>6</v>
      </c>
      <c r="T43" s="4">
        <v>6</v>
      </c>
      <c r="U43" s="5" t="s">
        <v>514</v>
      </c>
      <c r="V43" s="5" t="s">
        <v>514</v>
      </c>
      <c r="W43" s="5" t="s">
        <v>515</v>
      </c>
      <c r="X43" s="5" t="s">
        <v>515</v>
      </c>
      <c r="Y43" s="4">
        <v>59</v>
      </c>
      <c r="Z43" s="4">
        <v>58</v>
      </c>
      <c r="AA43" s="4">
        <v>64</v>
      </c>
      <c r="AB43" s="4">
        <v>1</v>
      </c>
      <c r="AC43" s="4">
        <v>1</v>
      </c>
      <c r="AD43" s="4">
        <v>0</v>
      </c>
      <c r="AE43" s="4">
        <v>0</v>
      </c>
      <c r="AF43" s="4">
        <v>0</v>
      </c>
      <c r="AG43" s="4">
        <v>0</v>
      </c>
      <c r="AH43" s="4">
        <v>0</v>
      </c>
      <c r="AI43" s="4">
        <v>0</v>
      </c>
      <c r="AJ43" s="4">
        <v>0</v>
      </c>
      <c r="AK43" s="4">
        <v>0</v>
      </c>
      <c r="AL43" s="4">
        <v>0</v>
      </c>
      <c r="AM43" s="4">
        <v>0</v>
      </c>
      <c r="AN43" s="4">
        <v>0</v>
      </c>
      <c r="AO43" s="4">
        <v>0</v>
      </c>
      <c r="AP43" s="3" t="s">
        <v>58</v>
      </c>
      <c r="AQ43" s="3" t="s">
        <v>58</v>
      </c>
      <c r="AS43" s="6" t="str">
        <f>HYPERLINK("https://creighton-primo.hosted.exlibrisgroup.com/primo-explore/search?tab=default_tab&amp;search_scope=EVERYTHING&amp;vid=01CRU&amp;lang=en_US&amp;offset=0&amp;query=any,contains,991004485509702656","Catalog Record")</f>
        <v>Catalog Record</v>
      </c>
      <c r="AT43" s="6" t="str">
        <f>HYPERLINK("http://www.worldcat.org/oclc/3641537","WorldCat Record")</f>
        <v>WorldCat Record</v>
      </c>
      <c r="AU43" s="3" t="s">
        <v>516</v>
      </c>
      <c r="AV43" s="3" t="s">
        <v>517</v>
      </c>
      <c r="AW43" s="3" t="s">
        <v>518</v>
      </c>
      <c r="AX43" s="3" t="s">
        <v>518</v>
      </c>
      <c r="AY43" s="3" t="s">
        <v>519</v>
      </c>
      <c r="AZ43" s="3" t="s">
        <v>74</v>
      </c>
      <c r="BC43" s="3" t="s">
        <v>520</v>
      </c>
      <c r="BD43" s="3" t="s">
        <v>521</v>
      </c>
    </row>
    <row r="44" spans="1:56" ht="47.25" customHeight="1" x14ac:dyDescent="0.25">
      <c r="A44" s="7" t="s">
        <v>58</v>
      </c>
      <c r="B44" s="2" t="s">
        <v>522</v>
      </c>
      <c r="C44" s="2" t="s">
        <v>523</v>
      </c>
      <c r="D44" s="2" t="s">
        <v>524</v>
      </c>
      <c r="F44" s="3" t="s">
        <v>58</v>
      </c>
      <c r="G44" s="3" t="s">
        <v>59</v>
      </c>
      <c r="H44" s="3" t="s">
        <v>58</v>
      </c>
      <c r="I44" s="3" t="s">
        <v>58</v>
      </c>
      <c r="J44" s="3" t="s">
        <v>60</v>
      </c>
      <c r="K44" s="2" t="s">
        <v>525</v>
      </c>
      <c r="L44" s="2" t="s">
        <v>526</v>
      </c>
      <c r="M44" s="3" t="s">
        <v>398</v>
      </c>
      <c r="O44" s="3" t="s">
        <v>65</v>
      </c>
      <c r="P44" s="3" t="s">
        <v>455</v>
      </c>
      <c r="R44" s="3" t="s">
        <v>67</v>
      </c>
      <c r="S44" s="4">
        <v>0</v>
      </c>
      <c r="T44" s="4">
        <v>0</v>
      </c>
      <c r="U44" s="5" t="s">
        <v>527</v>
      </c>
      <c r="V44" s="5" t="s">
        <v>527</v>
      </c>
      <c r="W44" s="5" t="s">
        <v>528</v>
      </c>
      <c r="X44" s="5" t="s">
        <v>528</v>
      </c>
      <c r="Y44" s="4">
        <v>212</v>
      </c>
      <c r="Z44" s="4">
        <v>203</v>
      </c>
      <c r="AA44" s="4">
        <v>209</v>
      </c>
      <c r="AB44" s="4">
        <v>2</v>
      </c>
      <c r="AC44" s="4">
        <v>2</v>
      </c>
      <c r="AD44" s="4">
        <v>5</v>
      </c>
      <c r="AE44" s="4">
        <v>5</v>
      </c>
      <c r="AF44" s="4">
        <v>1</v>
      </c>
      <c r="AG44" s="4">
        <v>1</v>
      </c>
      <c r="AH44" s="4">
        <v>1</v>
      </c>
      <c r="AI44" s="4">
        <v>1</v>
      </c>
      <c r="AJ44" s="4">
        <v>2</v>
      </c>
      <c r="AK44" s="4">
        <v>2</v>
      </c>
      <c r="AL44" s="4">
        <v>1</v>
      </c>
      <c r="AM44" s="4">
        <v>1</v>
      </c>
      <c r="AN44" s="4">
        <v>0</v>
      </c>
      <c r="AO44" s="4">
        <v>0</v>
      </c>
      <c r="AP44" s="3" t="s">
        <v>58</v>
      </c>
      <c r="AQ44" s="3" t="s">
        <v>69</v>
      </c>
      <c r="AR44" s="6" t="str">
        <f>HYPERLINK("http://catalog.hathitrust.org/Record/002457390","HathiTrust Record")</f>
        <v>HathiTrust Record</v>
      </c>
      <c r="AS44" s="6" t="str">
        <f>HYPERLINK("https://creighton-primo.hosted.exlibrisgroup.com/primo-explore/search?tab=default_tab&amp;search_scope=EVERYTHING&amp;vid=01CRU&amp;lang=en_US&amp;offset=0&amp;query=any,contains,991001935519702656","Catalog Record")</f>
        <v>Catalog Record</v>
      </c>
      <c r="AT44" s="6" t="str">
        <f>HYPERLINK("http://www.worldcat.org/oclc/24444378","WorldCat Record")</f>
        <v>WorldCat Record</v>
      </c>
      <c r="AU44" s="3" t="s">
        <v>529</v>
      </c>
      <c r="AV44" s="3" t="s">
        <v>530</v>
      </c>
      <c r="AW44" s="3" t="s">
        <v>531</v>
      </c>
      <c r="AX44" s="3" t="s">
        <v>531</v>
      </c>
      <c r="AY44" s="3" t="s">
        <v>532</v>
      </c>
      <c r="AZ44" s="3" t="s">
        <v>74</v>
      </c>
      <c r="BB44" s="3" t="s">
        <v>533</v>
      </c>
      <c r="BC44" s="3" t="s">
        <v>534</v>
      </c>
      <c r="BD44" s="3" t="s">
        <v>535</v>
      </c>
    </row>
    <row r="45" spans="1:56" ht="47.25" customHeight="1" x14ac:dyDescent="0.25">
      <c r="A45" s="7" t="s">
        <v>58</v>
      </c>
      <c r="B45" s="2" t="s">
        <v>536</v>
      </c>
      <c r="C45" s="2" t="s">
        <v>537</v>
      </c>
      <c r="D45" s="2" t="s">
        <v>538</v>
      </c>
      <c r="E45" s="3" t="s">
        <v>539</v>
      </c>
      <c r="F45" s="3" t="s">
        <v>58</v>
      </c>
      <c r="G45" s="3" t="s">
        <v>59</v>
      </c>
      <c r="H45" s="3" t="s">
        <v>58</v>
      </c>
      <c r="I45" s="3" t="s">
        <v>58</v>
      </c>
      <c r="J45" s="3" t="s">
        <v>60</v>
      </c>
      <c r="K45" s="2" t="s">
        <v>540</v>
      </c>
      <c r="L45" s="2" t="s">
        <v>541</v>
      </c>
      <c r="M45" s="3" t="s">
        <v>438</v>
      </c>
      <c r="O45" s="3" t="s">
        <v>542</v>
      </c>
      <c r="P45" s="3" t="s">
        <v>543</v>
      </c>
      <c r="Q45" s="2" t="s">
        <v>544</v>
      </c>
      <c r="R45" s="3" t="s">
        <v>67</v>
      </c>
      <c r="S45" s="4">
        <v>1</v>
      </c>
      <c r="T45" s="4">
        <v>1</v>
      </c>
      <c r="U45" s="5" t="s">
        <v>545</v>
      </c>
      <c r="V45" s="5" t="s">
        <v>545</v>
      </c>
      <c r="W45" s="5" t="s">
        <v>546</v>
      </c>
      <c r="X45" s="5" t="s">
        <v>546</v>
      </c>
      <c r="Y45" s="4">
        <v>51</v>
      </c>
      <c r="Z45" s="4">
        <v>48</v>
      </c>
      <c r="AA45" s="4">
        <v>51</v>
      </c>
      <c r="AB45" s="4">
        <v>1</v>
      </c>
      <c r="AC45" s="4">
        <v>1</v>
      </c>
      <c r="AD45" s="4">
        <v>0</v>
      </c>
      <c r="AE45" s="4">
        <v>0</v>
      </c>
      <c r="AF45" s="4">
        <v>0</v>
      </c>
      <c r="AG45" s="4">
        <v>0</v>
      </c>
      <c r="AH45" s="4">
        <v>0</v>
      </c>
      <c r="AI45" s="4">
        <v>0</v>
      </c>
      <c r="AJ45" s="4">
        <v>0</v>
      </c>
      <c r="AK45" s="4">
        <v>0</v>
      </c>
      <c r="AL45" s="4">
        <v>0</v>
      </c>
      <c r="AM45" s="4">
        <v>0</v>
      </c>
      <c r="AN45" s="4">
        <v>0</v>
      </c>
      <c r="AO45" s="4">
        <v>0</v>
      </c>
      <c r="AP45" s="3" t="s">
        <v>58</v>
      </c>
      <c r="AQ45" s="3" t="s">
        <v>69</v>
      </c>
      <c r="AR45" s="6" t="str">
        <f>HYPERLINK("http://catalog.hathitrust.org/Record/101354091","HathiTrust Record")</f>
        <v>HathiTrust Record</v>
      </c>
      <c r="AS45" s="6" t="str">
        <f>HYPERLINK("https://creighton-primo.hosted.exlibrisgroup.com/primo-explore/search?tab=default_tab&amp;search_scope=EVERYTHING&amp;vid=01CRU&amp;lang=en_US&amp;offset=0&amp;query=any,contains,991003547409702656","Catalog Record")</f>
        <v>Catalog Record</v>
      </c>
      <c r="AT45" s="6" t="str">
        <f>HYPERLINK("http://www.worldcat.org/oclc/7083968","WorldCat Record")</f>
        <v>WorldCat Record</v>
      </c>
      <c r="AU45" s="3" t="s">
        <v>547</v>
      </c>
      <c r="AV45" s="3" t="s">
        <v>548</v>
      </c>
      <c r="AW45" s="3" t="s">
        <v>549</v>
      </c>
      <c r="AX45" s="3" t="s">
        <v>549</v>
      </c>
      <c r="AY45" s="3" t="s">
        <v>550</v>
      </c>
      <c r="AZ45" s="3" t="s">
        <v>74</v>
      </c>
      <c r="BC45" s="3" t="s">
        <v>551</v>
      </c>
      <c r="BD45" s="3" t="s">
        <v>552</v>
      </c>
    </row>
    <row r="46" spans="1:56" ht="47.25" customHeight="1" x14ac:dyDescent="0.25">
      <c r="A46" s="7" t="s">
        <v>58</v>
      </c>
      <c r="B46" s="2" t="s">
        <v>553</v>
      </c>
      <c r="C46" s="2" t="s">
        <v>554</v>
      </c>
      <c r="D46" s="2" t="s">
        <v>555</v>
      </c>
      <c r="E46" s="3" t="s">
        <v>290</v>
      </c>
      <c r="F46" s="3" t="s">
        <v>58</v>
      </c>
      <c r="G46" s="3" t="s">
        <v>59</v>
      </c>
      <c r="H46" s="3" t="s">
        <v>58</v>
      </c>
      <c r="I46" s="3" t="s">
        <v>58</v>
      </c>
      <c r="J46" s="3" t="s">
        <v>60</v>
      </c>
      <c r="K46" s="2" t="s">
        <v>556</v>
      </c>
      <c r="L46" s="2" t="s">
        <v>557</v>
      </c>
      <c r="M46" s="3" t="s">
        <v>469</v>
      </c>
      <c r="N46" s="2" t="s">
        <v>558</v>
      </c>
      <c r="O46" s="3" t="s">
        <v>542</v>
      </c>
      <c r="P46" s="3" t="s">
        <v>543</v>
      </c>
      <c r="R46" s="3" t="s">
        <v>67</v>
      </c>
      <c r="S46" s="4">
        <v>0</v>
      </c>
      <c r="T46" s="4">
        <v>0</v>
      </c>
      <c r="U46" s="5" t="s">
        <v>559</v>
      </c>
      <c r="V46" s="5" t="s">
        <v>559</v>
      </c>
      <c r="W46" s="5" t="s">
        <v>560</v>
      </c>
      <c r="X46" s="5" t="s">
        <v>560</v>
      </c>
      <c r="Y46" s="4">
        <v>11</v>
      </c>
      <c r="Z46" s="4">
        <v>11</v>
      </c>
      <c r="AA46" s="4">
        <v>11</v>
      </c>
      <c r="AB46" s="4">
        <v>1</v>
      </c>
      <c r="AC46" s="4">
        <v>1</v>
      </c>
      <c r="AD46" s="4">
        <v>0</v>
      </c>
      <c r="AE46" s="4">
        <v>0</v>
      </c>
      <c r="AF46" s="4">
        <v>0</v>
      </c>
      <c r="AG46" s="4">
        <v>0</v>
      </c>
      <c r="AH46" s="4">
        <v>0</v>
      </c>
      <c r="AI46" s="4">
        <v>0</v>
      </c>
      <c r="AJ46" s="4">
        <v>0</v>
      </c>
      <c r="AK46" s="4">
        <v>0</v>
      </c>
      <c r="AL46" s="4">
        <v>0</v>
      </c>
      <c r="AM46" s="4">
        <v>0</v>
      </c>
      <c r="AN46" s="4">
        <v>0</v>
      </c>
      <c r="AO46" s="4">
        <v>0</v>
      </c>
      <c r="AP46" s="3" t="s">
        <v>58</v>
      </c>
      <c r="AQ46" s="3" t="s">
        <v>58</v>
      </c>
      <c r="AS46" s="6" t="str">
        <f>HYPERLINK("https://creighton-primo.hosted.exlibrisgroup.com/primo-explore/search?tab=default_tab&amp;search_scope=EVERYTHING&amp;vid=01CRU&amp;lang=en_US&amp;offset=0&amp;query=any,contains,991002942439702656","Catalog Record")</f>
        <v>Catalog Record</v>
      </c>
      <c r="AT46" s="6" t="str">
        <f>HYPERLINK("http://www.worldcat.org/oclc/39181057","WorldCat Record")</f>
        <v>WorldCat Record</v>
      </c>
      <c r="AU46" s="3" t="s">
        <v>561</v>
      </c>
      <c r="AV46" s="3" t="s">
        <v>562</v>
      </c>
      <c r="AW46" s="3" t="s">
        <v>563</v>
      </c>
      <c r="AX46" s="3" t="s">
        <v>563</v>
      </c>
      <c r="AY46" s="3" t="s">
        <v>564</v>
      </c>
      <c r="AZ46" s="3" t="s">
        <v>74</v>
      </c>
      <c r="BB46" s="3" t="s">
        <v>565</v>
      </c>
      <c r="BC46" s="3" t="s">
        <v>566</v>
      </c>
      <c r="BD46" s="3" t="s">
        <v>567</v>
      </c>
    </row>
    <row r="47" spans="1:56" ht="47.25" customHeight="1" x14ac:dyDescent="0.25">
      <c r="A47" s="7" t="s">
        <v>58</v>
      </c>
      <c r="B47" s="2" t="s">
        <v>568</v>
      </c>
      <c r="C47" s="2" t="s">
        <v>569</v>
      </c>
      <c r="D47" s="2" t="s">
        <v>570</v>
      </c>
      <c r="F47" s="3" t="s">
        <v>58</v>
      </c>
      <c r="G47" s="3" t="s">
        <v>59</v>
      </c>
      <c r="H47" s="3" t="s">
        <v>58</v>
      </c>
      <c r="I47" s="3" t="s">
        <v>58</v>
      </c>
      <c r="J47" s="3" t="s">
        <v>60</v>
      </c>
      <c r="K47" s="2" t="s">
        <v>571</v>
      </c>
      <c r="L47" s="2" t="s">
        <v>572</v>
      </c>
      <c r="M47" s="3" t="s">
        <v>573</v>
      </c>
      <c r="O47" s="3" t="s">
        <v>65</v>
      </c>
      <c r="P47" s="3" t="s">
        <v>127</v>
      </c>
      <c r="R47" s="3" t="s">
        <v>67</v>
      </c>
      <c r="S47" s="4">
        <v>1</v>
      </c>
      <c r="T47" s="4">
        <v>1</v>
      </c>
      <c r="U47" s="5" t="s">
        <v>574</v>
      </c>
      <c r="V47" s="5" t="s">
        <v>574</v>
      </c>
      <c r="W47" s="5" t="s">
        <v>574</v>
      </c>
      <c r="X47" s="5" t="s">
        <v>574</v>
      </c>
      <c r="Y47" s="4">
        <v>606</v>
      </c>
      <c r="Z47" s="4">
        <v>484</v>
      </c>
      <c r="AA47" s="4">
        <v>539</v>
      </c>
      <c r="AB47" s="4">
        <v>4</v>
      </c>
      <c r="AC47" s="4">
        <v>4</v>
      </c>
      <c r="AD47" s="4">
        <v>13</v>
      </c>
      <c r="AE47" s="4">
        <v>14</v>
      </c>
      <c r="AF47" s="4">
        <v>3</v>
      </c>
      <c r="AG47" s="4">
        <v>4</v>
      </c>
      <c r="AH47" s="4">
        <v>1</v>
      </c>
      <c r="AI47" s="4">
        <v>1</v>
      </c>
      <c r="AJ47" s="4">
        <v>6</v>
      </c>
      <c r="AK47" s="4">
        <v>6</v>
      </c>
      <c r="AL47" s="4">
        <v>3</v>
      </c>
      <c r="AM47" s="4">
        <v>3</v>
      </c>
      <c r="AN47" s="4">
        <v>0</v>
      </c>
      <c r="AO47" s="4">
        <v>0</v>
      </c>
      <c r="AP47" s="3" t="s">
        <v>58</v>
      </c>
      <c r="AQ47" s="3" t="s">
        <v>69</v>
      </c>
      <c r="AR47" s="6" t="str">
        <f>HYPERLINK("http://catalog.hathitrust.org/Record/005903143","HathiTrust Record")</f>
        <v>HathiTrust Record</v>
      </c>
      <c r="AS47" s="6" t="str">
        <f>HYPERLINK("https://creighton-primo.hosted.exlibrisgroup.com/primo-explore/search?tab=default_tab&amp;search_scope=EVERYTHING&amp;vid=01CRU&amp;lang=en_US&amp;offset=0&amp;query=any,contains,991005276939702656","Catalog Record")</f>
        <v>Catalog Record</v>
      </c>
      <c r="AT47" s="6" t="str">
        <f>HYPERLINK("http://www.worldcat.org/oclc/183610492","WorldCat Record")</f>
        <v>WorldCat Record</v>
      </c>
      <c r="AU47" s="3" t="s">
        <v>575</v>
      </c>
      <c r="AV47" s="3" t="s">
        <v>576</v>
      </c>
      <c r="AW47" s="3" t="s">
        <v>577</v>
      </c>
      <c r="AX47" s="3" t="s">
        <v>577</v>
      </c>
      <c r="AY47" s="3" t="s">
        <v>578</v>
      </c>
      <c r="AZ47" s="3" t="s">
        <v>74</v>
      </c>
      <c r="BB47" s="3" t="s">
        <v>579</v>
      </c>
      <c r="BC47" s="3" t="s">
        <v>580</v>
      </c>
      <c r="BD47" s="3" t="s">
        <v>581</v>
      </c>
    </row>
    <row r="48" spans="1:56" ht="47.25" customHeight="1" x14ac:dyDescent="0.25">
      <c r="A48" s="7" t="s">
        <v>58</v>
      </c>
      <c r="B48" s="2" t="s">
        <v>582</v>
      </c>
      <c r="C48" s="2" t="s">
        <v>583</v>
      </c>
      <c r="D48" s="2" t="s">
        <v>584</v>
      </c>
      <c r="F48" s="3" t="s">
        <v>58</v>
      </c>
      <c r="G48" s="3" t="s">
        <v>59</v>
      </c>
      <c r="H48" s="3" t="s">
        <v>58</v>
      </c>
      <c r="I48" s="3" t="s">
        <v>58</v>
      </c>
      <c r="J48" s="3" t="s">
        <v>60</v>
      </c>
      <c r="K48" s="2" t="s">
        <v>585</v>
      </c>
      <c r="L48" s="2" t="s">
        <v>586</v>
      </c>
      <c r="M48" s="3" t="s">
        <v>587</v>
      </c>
      <c r="O48" s="3" t="s">
        <v>65</v>
      </c>
      <c r="P48" s="3" t="s">
        <v>127</v>
      </c>
      <c r="Q48" s="2" t="s">
        <v>588</v>
      </c>
      <c r="R48" s="3" t="s">
        <v>67</v>
      </c>
      <c r="S48" s="4">
        <v>4</v>
      </c>
      <c r="T48" s="4">
        <v>4</v>
      </c>
      <c r="U48" s="5" t="s">
        <v>589</v>
      </c>
      <c r="V48" s="5" t="s">
        <v>589</v>
      </c>
      <c r="W48" s="5" t="s">
        <v>589</v>
      </c>
      <c r="X48" s="5" t="s">
        <v>589</v>
      </c>
      <c r="Y48" s="4">
        <v>19</v>
      </c>
      <c r="Z48" s="4">
        <v>14</v>
      </c>
      <c r="AA48" s="4">
        <v>14</v>
      </c>
      <c r="AB48" s="4">
        <v>1</v>
      </c>
      <c r="AC48" s="4">
        <v>1</v>
      </c>
      <c r="AD48" s="4">
        <v>0</v>
      </c>
      <c r="AE48" s="4">
        <v>0</v>
      </c>
      <c r="AF48" s="4">
        <v>0</v>
      </c>
      <c r="AG48" s="4">
        <v>0</v>
      </c>
      <c r="AH48" s="4">
        <v>0</v>
      </c>
      <c r="AI48" s="4">
        <v>0</v>
      </c>
      <c r="AJ48" s="4">
        <v>0</v>
      </c>
      <c r="AK48" s="4">
        <v>0</v>
      </c>
      <c r="AL48" s="4">
        <v>0</v>
      </c>
      <c r="AM48" s="4">
        <v>0</v>
      </c>
      <c r="AN48" s="4">
        <v>0</v>
      </c>
      <c r="AO48" s="4">
        <v>0</v>
      </c>
      <c r="AP48" s="3" t="s">
        <v>58</v>
      </c>
      <c r="AQ48" s="3" t="s">
        <v>58</v>
      </c>
      <c r="AS48" s="6" t="str">
        <f>HYPERLINK("https://creighton-primo.hosted.exlibrisgroup.com/primo-explore/search?tab=default_tab&amp;search_scope=EVERYTHING&amp;vid=01CRU&amp;lang=en_US&amp;offset=0&amp;query=any,contains,991003671129702656","Catalog Record")</f>
        <v>Catalog Record</v>
      </c>
      <c r="AT48" s="6" t="str">
        <f>HYPERLINK("http://www.worldcat.org/oclc/46690277","WorldCat Record")</f>
        <v>WorldCat Record</v>
      </c>
      <c r="AU48" s="3" t="s">
        <v>590</v>
      </c>
      <c r="AV48" s="3" t="s">
        <v>591</v>
      </c>
      <c r="AW48" s="3" t="s">
        <v>592</v>
      </c>
      <c r="AX48" s="3" t="s">
        <v>592</v>
      </c>
      <c r="AY48" s="3" t="s">
        <v>593</v>
      </c>
      <c r="AZ48" s="3" t="s">
        <v>74</v>
      </c>
      <c r="BB48" s="3" t="s">
        <v>594</v>
      </c>
      <c r="BC48" s="3" t="s">
        <v>595</v>
      </c>
      <c r="BD48" s="3" t="s">
        <v>596</v>
      </c>
    </row>
    <row r="49" spans="1:56" ht="47.25" customHeight="1" x14ac:dyDescent="0.25">
      <c r="A49" s="7" t="s">
        <v>58</v>
      </c>
      <c r="B49" s="2" t="s">
        <v>597</v>
      </c>
      <c r="C49" s="2" t="s">
        <v>598</v>
      </c>
      <c r="D49" s="2" t="s">
        <v>599</v>
      </c>
      <c r="F49" s="3" t="s">
        <v>58</v>
      </c>
      <c r="G49" s="3" t="s">
        <v>59</v>
      </c>
      <c r="H49" s="3" t="s">
        <v>58</v>
      </c>
      <c r="I49" s="3" t="s">
        <v>58</v>
      </c>
      <c r="J49" s="3" t="s">
        <v>60</v>
      </c>
      <c r="K49" s="2" t="s">
        <v>600</v>
      </c>
      <c r="L49" s="2" t="s">
        <v>601</v>
      </c>
      <c r="M49" s="3" t="s">
        <v>412</v>
      </c>
      <c r="O49" s="3" t="s">
        <v>65</v>
      </c>
      <c r="P49" s="3" t="s">
        <v>127</v>
      </c>
      <c r="R49" s="3" t="s">
        <v>67</v>
      </c>
      <c r="S49" s="4">
        <v>7</v>
      </c>
      <c r="T49" s="4">
        <v>7</v>
      </c>
      <c r="U49" s="5" t="s">
        <v>157</v>
      </c>
      <c r="V49" s="5" t="s">
        <v>157</v>
      </c>
      <c r="W49" s="5" t="s">
        <v>602</v>
      </c>
      <c r="X49" s="5" t="s">
        <v>602</v>
      </c>
      <c r="Y49" s="4">
        <v>178</v>
      </c>
      <c r="Z49" s="4">
        <v>134</v>
      </c>
      <c r="AA49" s="4">
        <v>212</v>
      </c>
      <c r="AB49" s="4">
        <v>1</v>
      </c>
      <c r="AC49" s="4">
        <v>1</v>
      </c>
      <c r="AD49" s="4">
        <v>0</v>
      </c>
      <c r="AE49" s="4">
        <v>0</v>
      </c>
      <c r="AF49" s="4">
        <v>0</v>
      </c>
      <c r="AG49" s="4">
        <v>0</v>
      </c>
      <c r="AH49" s="4">
        <v>0</v>
      </c>
      <c r="AI49" s="4">
        <v>0</v>
      </c>
      <c r="AJ49" s="4">
        <v>0</v>
      </c>
      <c r="AK49" s="4">
        <v>0</v>
      </c>
      <c r="AL49" s="4">
        <v>0</v>
      </c>
      <c r="AM49" s="4">
        <v>0</v>
      </c>
      <c r="AN49" s="4">
        <v>0</v>
      </c>
      <c r="AO49" s="4">
        <v>0</v>
      </c>
      <c r="AP49" s="3" t="s">
        <v>58</v>
      </c>
      <c r="AQ49" s="3" t="s">
        <v>58</v>
      </c>
      <c r="AS49" s="6" t="str">
        <f>HYPERLINK("https://creighton-primo.hosted.exlibrisgroup.com/primo-explore/search?tab=default_tab&amp;search_scope=EVERYTHING&amp;vid=01CRU&amp;lang=en_US&amp;offset=0&amp;query=any,contains,991004329339702656","Catalog Record")</f>
        <v>Catalog Record</v>
      </c>
      <c r="AT49" s="6" t="str">
        <f>HYPERLINK("http://www.worldcat.org/oclc/3053618","WorldCat Record")</f>
        <v>WorldCat Record</v>
      </c>
      <c r="AU49" s="3" t="s">
        <v>603</v>
      </c>
      <c r="AV49" s="3" t="s">
        <v>604</v>
      </c>
      <c r="AW49" s="3" t="s">
        <v>605</v>
      </c>
      <c r="AX49" s="3" t="s">
        <v>605</v>
      </c>
      <c r="AY49" s="3" t="s">
        <v>606</v>
      </c>
      <c r="AZ49" s="3" t="s">
        <v>74</v>
      </c>
      <c r="BB49" s="3" t="s">
        <v>607</v>
      </c>
      <c r="BC49" s="3" t="s">
        <v>608</v>
      </c>
      <c r="BD49" s="3" t="s">
        <v>609</v>
      </c>
    </row>
    <row r="50" spans="1:56" ht="47.25" customHeight="1" x14ac:dyDescent="0.25">
      <c r="A50" s="7" t="s">
        <v>58</v>
      </c>
      <c r="B50" s="2" t="s">
        <v>610</v>
      </c>
      <c r="C50" s="2" t="s">
        <v>611</v>
      </c>
      <c r="D50" s="2" t="s">
        <v>612</v>
      </c>
      <c r="F50" s="3" t="s">
        <v>58</v>
      </c>
      <c r="G50" s="3" t="s">
        <v>59</v>
      </c>
      <c r="H50" s="3" t="s">
        <v>58</v>
      </c>
      <c r="I50" s="3" t="s">
        <v>58</v>
      </c>
      <c r="J50" s="3" t="s">
        <v>60</v>
      </c>
      <c r="K50" s="2" t="s">
        <v>613</v>
      </c>
      <c r="L50" s="2" t="s">
        <v>614</v>
      </c>
      <c r="M50" s="3" t="s">
        <v>615</v>
      </c>
      <c r="O50" s="3" t="s">
        <v>65</v>
      </c>
      <c r="P50" s="3" t="s">
        <v>127</v>
      </c>
      <c r="R50" s="3" t="s">
        <v>67</v>
      </c>
      <c r="S50" s="4">
        <v>3</v>
      </c>
      <c r="T50" s="4">
        <v>3</v>
      </c>
      <c r="U50" s="5" t="s">
        <v>616</v>
      </c>
      <c r="V50" s="5" t="s">
        <v>616</v>
      </c>
      <c r="W50" s="5" t="s">
        <v>617</v>
      </c>
      <c r="X50" s="5" t="s">
        <v>617</v>
      </c>
      <c r="Y50" s="4">
        <v>287</v>
      </c>
      <c r="Z50" s="4">
        <v>242</v>
      </c>
      <c r="AA50" s="4">
        <v>251</v>
      </c>
      <c r="AB50" s="4">
        <v>4</v>
      </c>
      <c r="AC50" s="4">
        <v>4</v>
      </c>
      <c r="AD50" s="4">
        <v>17</v>
      </c>
      <c r="AE50" s="4">
        <v>17</v>
      </c>
      <c r="AF50" s="4">
        <v>5</v>
      </c>
      <c r="AG50" s="4">
        <v>5</v>
      </c>
      <c r="AH50" s="4">
        <v>4</v>
      </c>
      <c r="AI50" s="4">
        <v>4</v>
      </c>
      <c r="AJ50" s="4">
        <v>7</v>
      </c>
      <c r="AK50" s="4">
        <v>7</v>
      </c>
      <c r="AL50" s="4">
        <v>3</v>
      </c>
      <c r="AM50" s="4">
        <v>3</v>
      </c>
      <c r="AN50" s="4">
        <v>0</v>
      </c>
      <c r="AO50" s="4">
        <v>0</v>
      </c>
      <c r="AP50" s="3" t="s">
        <v>58</v>
      </c>
      <c r="AQ50" s="3" t="s">
        <v>58</v>
      </c>
      <c r="AS50" s="6" t="str">
        <f>HYPERLINK("https://creighton-primo.hosted.exlibrisgroup.com/primo-explore/search?tab=default_tab&amp;search_scope=EVERYTHING&amp;vid=01CRU&amp;lang=en_US&amp;offset=0&amp;query=any,contains,991003860059702656","Catalog Record")</f>
        <v>Catalog Record</v>
      </c>
      <c r="AT50" s="6" t="str">
        <f>HYPERLINK("http://www.worldcat.org/oclc/45890477","WorldCat Record")</f>
        <v>WorldCat Record</v>
      </c>
      <c r="AU50" s="3" t="s">
        <v>618</v>
      </c>
      <c r="AV50" s="3" t="s">
        <v>619</v>
      </c>
      <c r="AW50" s="3" t="s">
        <v>620</v>
      </c>
      <c r="AX50" s="3" t="s">
        <v>620</v>
      </c>
      <c r="AY50" s="3" t="s">
        <v>621</v>
      </c>
      <c r="AZ50" s="3" t="s">
        <v>74</v>
      </c>
      <c r="BB50" s="3" t="s">
        <v>622</v>
      </c>
      <c r="BC50" s="3" t="s">
        <v>623</v>
      </c>
      <c r="BD50" s="3" t="s">
        <v>624</v>
      </c>
    </row>
    <row r="51" spans="1:56" ht="47.25" customHeight="1" x14ac:dyDescent="0.25">
      <c r="A51" s="7" t="s">
        <v>58</v>
      </c>
      <c r="B51" s="2" t="s">
        <v>625</v>
      </c>
      <c r="C51" s="2" t="s">
        <v>626</v>
      </c>
      <c r="D51" s="2" t="s">
        <v>627</v>
      </c>
      <c r="F51" s="3" t="s">
        <v>58</v>
      </c>
      <c r="G51" s="3" t="s">
        <v>59</v>
      </c>
      <c r="H51" s="3" t="s">
        <v>58</v>
      </c>
      <c r="I51" s="3" t="s">
        <v>58</v>
      </c>
      <c r="J51" s="3" t="s">
        <v>60</v>
      </c>
      <c r="K51" s="2" t="s">
        <v>628</v>
      </c>
      <c r="L51" s="2" t="s">
        <v>629</v>
      </c>
      <c r="M51" s="3" t="s">
        <v>630</v>
      </c>
      <c r="O51" s="3" t="s">
        <v>65</v>
      </c>
      <c r="P51" s="3" t="s">
        <v>127</v>
      </c>
      <c r="R51" s="3" t="s">
        <v>67</v>
      </c>
      <c r="S51" s="4">
        <v>2</v>
      </c>
      <c r="T51" s="4">
        <v>2</v>
      </c>
      <c r="U51" s="5" t="s">
        <v>631</v>
      </c>
      <c r="V51" s="5" t="s">
        <v>631</v>
      </c>
      <c r="W51" s="5" t="s">
        <v>129</v>
      </c>
      <c r="X51" s="5" t="s">
        <v>129</v>
      </c>
      <c r="Y51" s="4">
        <v>169</v>
      </c>
      <c r="Z51" s="4">
        <v>69</v>
      </c>
      <c r="AA51" s="4">
        <v>107</v>
      </c>
      <c r="AB51" s="4">
        <v>2</v>
      </c>
      <c r="AC51" s="4">
        <v>2</v>
      </c>
      <c r="AD51" s="4">
        <v>2</v>
      </c>
      <c r="AE51" s="4">
        <v>2</v>
      </c>
      <c r="AF51" s="4">
        <v>0</v>
      </c>
      <c r="AG51" s="4">
        <v>0</v>
      </c>
      <c r="AH51" s="4">
        <v>1</v>
      </c>
      <c r="AI51" s="4">
        <v>1</v>
      </c>
      <c r="AJ51" s="4">
        <v>0</v>
      </c>
      <c r="AK51" s="4">
        <v>0</v>
      </c>
      <c r="AL51" s="4">
        <v>1</v>
      </c>
      <c r="AM51" s="4">
        <v>1</v>
      </c>
      <c r="AN51" s="4">
        <v>0</v>
      </c>
      <c r="AO51" s="4">
        <v>0</v>
      </c>
      <c r="AP51" s="3" t="s">
        <v>58</v>
      </c>
      <c r="AQ51" s="3" t="s">
        <v>69</v>
      </c>
      <c r="AR51" s="6" t="str">
        <f>HYPERLINK("http://catalog.hathitrust.org/Record/000262351","HathiTrust Record")</f>
        <v>HathiTrust Record</v>
      </c>
      <c r="AS51" s="6" t="str">
        <f>HYPERLINK("https://creighton-primo.hosted.exlibrisgroup.com/primo-explore/search?tab=default_tab&amp;search_scope=EVERYTHING&amp;vid=01CRU&amp;lang=en_US&amp;offset=0&amp;query=any,contains,991004893849702656","Catalog Record")</f>
        <v>Catalog Record</v>
      </c>
      <c r="AT51" s="6" t="str">
        <f>HYPERLINK("http://www.worldcat.org/oclc/5889823","WorldCat Record")</f>
        <v>WorldCat Record</v>
      </c>
      <c r="AU51" s="3" t="s">
        <v>632</v>
      </c>
      <c r="AV51" s="3" t="s">
        <v>633</v>
      </c>
      <c r="AW51" s="3" t="s">
        <v>634</v>
      </c>
      <c r="AX51" s="3" t="s">
        <v>634</v>
      </c>
      <c r="AY51" s="3" t="s">
        <v>635</v>
      </c>
      <c r="AZ51" s="3" t="s">
        <v>74</v>
      </c>
      <c r="BB51" s="3" t="s">
        <v>636</v>
      </c>
      <c r="BC51" s="3" t="s">
        <v>637</v>
      </c>
      <c r="BD51" s="3" t="s">
        <v>638</v>
      </c>
    </row>
    <row r="52" spans="1:56" ht="47.25" customHeight="1" x14ac:dyDescent="0.25">
      <c r="A52" s="7" t="s">
        <v>58</v>
      </c>
      <c r="B52" s="2" t="s">
        <v>639</v>
      </c>
      <c r="C52" s="2" t="s">
        <v>640</v>
      </c>
      <c r="D52" s="2" t="s">
        <v>641</v>
      </c>
      <c r="F52" s="3" t="s">
        <v>58</v>
      </c>
      <c r="G52" s="3" t="s">
        <v>59</v>
      </c>
      <c r="H52" s="3" t="s">
        <v>58</v>
      </c>
      <c r="I52" s="3" t="s">
        <v>58</v>
      </c>
      <c r="J52" s="3" t="s">
        <v>60</v>
      </c>
      <c r="K52" s="2" t="s">
        <v>642</v>
      </c>
      <c r="L52" s="2" t="s">
        <v>643</v>
      </c>
      <c r="M52" s="3" t="s">
        <v>644</v>
      </c>
      <c r="N52" s="2" t="s">
        <v>645</v>
      </c>
      <c r="O52" s="3" t="s">
        <v>65</v>
      </c>
      <c r="P52" s="3" t="s">
        <v>646</v>
      </c>
      <c r="R52" s="3" t="s">
        <v>67</v>
      </c>
      <c r="S52" s="4">
        <v>2</v>
      </c>
      <c r="T52" s="4">
        <v>2</v>
      </c>
      <c r="U52" s="5" t="s">
        <v>647</v>
      </c>
      <c r="V52" s="5" t="s">
        <v>647</v>
      </c>
      <c r="W52" s="5" t="s">
        <v>87</v>
      </c>
      <c r="X52" s="5" t="s">
        <v>87</v>
      </c>
      <c r="Y52" s="4">
        <v>665</v>
      </c>
      <c r="Z52" s="4">
        <v>626</v>
      </c>
      <c r="AA52" s="4">
        <v>871</v>
      </c>
      <c r="AB52" s="4">
        <v>6</v>
      </c>
      <c r="AC52" s="4">
        <v>7</v>
      </c>
      <c r="AD52" s="4">
        <v>17</v>
      </c>
      <c r="AE52" s="4">
        <v>28</v>
      </c>
      <c r="AF52" s="4">
        <v>5</v>
      </c>
      <c r="AG52" s="4">
        <v>12</v>
      </c>
      <c r="AH52" s="4">
        <v>2</v>
      </c>
      <c r="AI52" s="4">
        <v>5</v>
      </c>
      <c r="AJ52" s="4">
        <v>7</v>
      </c>
      <c r="AK52" s="4">
        <v>12</v>
      </c>
      <c r="AL52" s="4">
        <v>5</v>
      </c>
      <c r="AM52" s="4">
        <v>6</v>
      </c>
      <c r="AN52" s="4">
        <v>0</v>
      </c>
      <c r="AO52" s="4">
        <v>0</v>
      </c>
      <c r="AP52" s="3" t="s">
        <v>58</v>
      </c>
      <c r="AQ52" s="3" t="s">
        <v>69</v>
      </c>
      <c r="AR52" s="6" t="str">
        <f>HYPERLINK("http://catalog.hathitrust.org/Record/001493560","HathiTrust Record")</f>
        <v>HathiTrust Record</v>
      </c>
      <c r="AS52" s="6" t="str">
        <f>HYPERLINK("https://creighton-primo.hosted.exlibrisgroup.com/primo-explore/search?tab=default_tab&amp;search_scope=EVERYTHING&amp;vid=01CRU&amp;lang=en_US&amp;offset=0&amp;query=any,contains,991002976679702656","Catalog Record")</f>
        <v>Catalog Record</v>
      </c>
      <c r="AT52" s="6" t="str">
        <f>HYPERLINK("http://www.worldcat.org/oclc/552226","WorldCat Record")</f>
        <v>WorldCat Record</v>
      </c>
      <c r="AU52" s="3" t="s">
        <v>648</v>
      </c>
      <c r="AV52" s="3" t="s">
        <v>649</v>
      </c>
      <c r="AW52" s="3" t="s">
        <v>650</v>
      </c>
      <c r="AX52" s="3" t="s">
        <v>650</v>
      </c>
      <c r="AY52" s="3" t="s">
        <v>651</v>
      </c>
      <c r="AZ52" s="3" t="s">
        <v>74</v>
      </c>
      <c r="BC52" s="3" t="s">
        <v>652</v>
      </c>
      <c r="BD52" s="3" t="s">
        <v>653</v>
      </c>
    </row>
    <row r="53" spans="1:56" ht="47.25" customHeight="1" x14ac:dyDescent="0.25">
      <c r="A53" s="7" t="s">
        <v>58</v>
      </c>
      <c r="B53" s="2" t="s">
        <v>654</v>
      </c>
      <c r="C53" s="2" t="s">
        <v>655</v>
      </c>
      <c r="D53" s="2" t="s">
        <v>656</v>
      </c>
      <c r="F53" s="3" t="s">
        <v>58</v>
      </c>
      <c r="G53" s="3" t="s">
        <v>59</v>
      </c>
      <c r="H53" s="3" t="s">
        <v>58</v>
      </c>
      <c r="I53" s="3" t="s">
        <v>58</v>
      </c>
      <c r="J53" s="3" t="s">
        <v>60</v>
      </c>
      <c r="K53" s="2" t="s">
        <v>657</v>
      </c>
      <c r="L53" s="2" t="s">
        <v>658</v>
      </c>
      <c r="M53" s="3" t="s">
        <v>659</v>
      </c>
      <c r="O53" s="3" t="s">
        <v>65</v>
      </c>
      <c r="P53" s="3" t="s">
        <v>660</v>
      </c>
      <c r="R53" s="3" t="s">
        <v>67</v>
      </c>
      <c r="S53" s="4">
        <v>1</v>
      </c>
      <c r="T53" s="4">
        <v>1</v>
      </c>
      <c r="U53" s="5" t="s">
        <v>661</v>
      </c>
      <c r="V53" s="5" t="s">
        <v>661</v>
      </c>
      <c r="W53" s="5" t="s">
        <v>661</v>
      </c>
      <c r="X53" s="5" t="s">
        <v>661</v>
      </c>
      <c r="Y53" s="4">
        <v>92</v>
      </c>
      <c r="Z53" s="4">
        <v>11</v>
      </c>
      <c r="AA53" s="4">
        <v>12</v>
      </c>
      <c r="AB53" s="4">
        <v>1</v>
      </c>
      <c r="AC53" s="4">
        <v>1</v>
      </c>
      <c r="AD53" s="4">
        <v>0</v>
      </c>
      <c r="AE53" s="4">
        <v>0</v>
      </c>
      <c r="AF53" s="4">
        <v>0</v>
      </c>
      <c r="AG53" s="4">
        <v>0</v>
      </c>
      <c r="AH53" s="4">
        <v>0</v>
      </c>
      <c r="AI53" s="4">
        <v>0</v>
      </c>
      <c r="AJ53" s="4">
        <v>0</v>
      </c>
      <c r="AK53" s="4">
        <v>0</v>
      </c>
      <c r="AL53" s="4">
        <v>0</v>
      </c>
      <c r="AM53" s="4">
        <v>0</v>
      </c>
      <c r="AN53" s="4">
        <v>0</v>
      </c>
      <c r="AO53" s="4">
        <v>0</v>
      </c>
      <c r="AP53" s="3" t="s">
        <v>58</v>
      </c>
      <c r="AQ53" s="3" t="s">
        <v>69</v>
      </c>
      <c r="AR53" s="6" t="str">
        <f>HYPERLINK("http://catalog.hathitrust.org/Record/102044818","HathiTrust Record")</f>
        <v>HathiTrust Record</v>
      </c>
      <c r="AS53" s="6" t="str">
        <f>HYPERLINK("https://creighton-primo.hosted.exlibrisgroup.com/primo-explore/search?tab=default_tab&amp;search_scope=EVERYTHING&amp;vid=01CRU&amp;lang=en_US&amp;offset=0&amp;query=any,contains,991004830019702656","Catalog Record")</f>
        <v>Catalog Record</v>
      </c>
      <c r="AT53" s="6" t="str">
        <f>HYPERLINK("http://www.worldcat.org/oclc/61373009","WorldCat Record")</f>
        <v>WorldCat Record</v>
      </c>
      <c r="AU53" s="3" t="s">
        <v>662</v>
      </c>
      <c r="AV53" s="3" t="s">
        <v>663</v>
      </c>
      <c r="AW53" s="3" t="s">
        <v>664</v>
      </c>
      <c r="AX53" s="3" t="s">
        <v>664</v>
      </c>
      <c r="AY53" s="3" t="s">
        <v>665</v>
      </c>
      <c r="AZ53" s="3" t="s">
        <v>74</v>
      </c>
      <c r="BB53" s="3" t="s">
        <v>666</v>
      </c>
      <c r="BC53" s="3" t="s">
        <v>667</v>
      </c>
      <c r="BD53" s="3" t="s">
        <v>668</v>
      </c>
    </row>
    <row r="54" spans="1:56" ht="47.25" customHeight="1" x14ac:dyDescent="0.25">
      <c r="A54" s="7" t="s">
        <v>58</v>
      </c>
      <c r="B54" s="2" t="s">
        <v>669</v>
      </c>
      <c r="C54" s="2" t="s">
        <v>670</v>
      </c>
      <c r="D54" s="2" t="s">
        <v>671</v>
      </c>
      <c r="F54" s="3" t="s">
        <v>58</v>
      </c>
      <c r="G54" s="3" t="s">
        <v>59</v>
      </c>
      <c r="H54" s="3" t="s">
        <v>58</v>
      </c>
      <c r="I54" s="3" t="s">
        <v>58</v>
      </c>
      <c r="J54" s="3" t="s">
        <v>60</v>
      </c>
      <c r="K54" s="2" t="s">
        <v>672</v>
      </c>
      <c r="L54" s="2" t="s">
        <v>673</v>
      </c>
      <c r="M54" s="3" t="s">
        <v>674</v>
      </c>
      <c r="O54" s="3" t="s">
        <v>65</v>
      </c>
      <c r="P54" s="3" t="s">
        <v>675</v>
      </c>
      <c r="R54" s="3" t="s">
        <v>67</v>
      </c>
      <c r="S54" s="4">
        <v>2</v>
      </c>
      <c r="T54" s="4">
        <v>2</v>
      </c>
      <c r="U54" s="5" t="s">
        <v>676</v>
      </c>
      <c r="V54" s="5" t="s">
        <v>676</v>
      </c>
      <c r="W54" s="5" t="s">
        <v>87</v>
      </c>
      <c r="X54" s="5" t="s">
        <v>87</v>
      </c>
      <c r="Y54" s="4">
        <v>132</v>
      </c>
      <c r="Z54" s="4">
        <v>101</v>
      </c>
      <c r="AA54" s="4">
        <v>354</v>
      </c>
      <c r="AB54" s="4">
        <v>1</v>
      </c>
      <c r="AC54" s="4">
        <v>1</v>
      </c>
      <c r="AD54" s="4">
        <v>3</v>
      </c>
      <c r="AE54" s="4">
        <v>7</v>
      </c>
      <c r="AF54" s="4">
        <v>2</v>
      </c>
      <c r="AG54" s="4">
        <v>3</v>
      </c>
      <c r="AH54" s="4">
        <v>1</v>
      </c>
      <c r="AI54" s="4">
        <v>2</v>
      </c>
      <c r="AJ54" s="4">
        <v>2</v>
      </c>
      <c r="AK54" s="4">
        <v>5</v>
      </c>
      <c r="AL54" s="4">
        <v>0</v>
      </c>
      <c r="AM54" s="4">
        <v>0</v>
      </c>
      <c r="AN54" s="4">
        <v>0</v>
      </c>
      <c r="AO54" s="4">
        <v>0</v>
      </c>
      <c r="AP54" s="3" t="s">
        <v>69</v>
      </c>
      <c r="AQ54" s="3" t="s">
        <v>58</v>
      </c>
      <c r="AR54" s="6" t="str">
        <f>HYPERLINK("http://catalog.hathitrust.org/Record/009082616","HathiTrust Record")</f>
        <v>HathiTrust Record</v>
      </c>
      <c r="AS54" s="6" t="str">
        <f>HYPERLINK("https://creighton-primo.hosted.exlibrisgroup.com/primo-explore/search?tab=default_tab&amp;search_scope=EVERYTHING&amp;vid=01CRU&amp;lang=en_US&amp;offset=0&amp;query=any,contains,991003461359702656","Catalog Record")</f>
        <v>Catalog Record</v>
      </c>
      <c r="AT54" s="6" t="str">
        <f>HYPERLINK("http://www.worldcat.org/oclc/1003118","WorldCat Record")</f>
        <v>WorldCat Record</v>
      </c>
      <c r="AU54" s="3" t="s">
        <v>677</v>
      </c>
      <c r="AV54" s="3" t="s">
        <v>678</v>
      </c>
      <c r="AW54" s="3" t="s">
        <v>679</v>
      </c>
      <c r="AX54" s="3" t="s">
        <v>679</v>
      </c>
      <c r="AY54" s="3" t="s">
        <v>680</v>
      </c>
      <c r="AZ54" s="3" t="s">
        <v>74</v>
      </c>
      <c r="BC54" s="3" t="s">
        <v>681</v>
      </c>
      <c r="BD54" s="3" t="s">
        <v>682</v>
      </c>
    </row>
    <row r="55" spans="1:56" ht="47.25" customHeight="1" x14ac:dyDescent="0.25">
      <c r="A55" s="7" t="s">
        <v>58</v>
      </c>
      <c r="B55" s="2" t="s">
        <v>683</v>
      </c>
      <c r="C55" s="2" t="s">
        <v>684</v>
      </c>
      <c r="D55" s="2" t="s">
        <v>685</v>
      </c>
      <c r="F55" s="3" t="s">
        <v>58</v>
      </c>
      <c r="G55" s="3" t="s">
        <v>59</v>
      </c>
      <c r="H55" s="3" t="s">
        <v>58</v>
      </c>
      <c r="I55" s="3" t="s">
        <v>58</v>
      </c>
      <c r="J55" s="3" t="s">
        <v>60</v>
      </c>
      <c r="K55" s="2" t="s">
        <v>686</v>
      </c>
      <c r="L55" s="2" t="s">
        <v>687</v>
      </c>
      <c r="M55" s="3" t="s">
        <v>644</v>
      </c>
      <c r="O55" s="3" t="s">
        <v>65</v>
      </c>
      <c r="P55" s="3" t="s">
        <v>85</v>
      </c>
      <c r="R55" s="3" t="s">
        <v>67</v>
      </c>
      <c r="S55" s="4">
        <v>1</v>
      </c>
      <c r="T55" s="4">
        <v>1</v>
      </c>
      <c r="U55" s="5" t="s">
        <v>688</v>
      </c>
      <c r="V55" s="5" t="s">
        <v>688</v>
      </c>
      <c r="W55" s="5" t="s">
        <v>87</v>
      </c>
      <c r="X55" s="5" t="s">
        <v>87</v>
      </c>
      <c r="Y55" s="4">
        <v>419</v>
      </c>
      <c r="Z55" s="4">
        <v>392</v>
      </c>
      <c r="AA55" s="4">
        <v>443</v>
      </c>
      <c r="AB55" s="4">
        <v>5</v>
      </c>
      <c r="AC55" s="4">
        <v>5</v>
      </c>
      <c r="AD55" s="4">
        <v>11</v>
      </c>
      <c r="AE55" s="4">
        <v>11</v>
      </c>
      <c r="AF55" s="4">
        <v>3</v>
      </c>
      <c r="AG55" s="4">
        <v>3</v>
      </c>
      <c r="AH55" s="4">
        <v>0</v>
      </c>
      <c r="AI55" s="4">
        <v>0</v>
      </c>
      <c r="AJ55" s="4">
        <v>4</v>
      </c>
      <c r="AK55" s="4">
        <v>4</v>
      </c>
      <c r="AL55" s="4">
        <v>4</v>
      </c>
      <c r="AM55" s="4">
        <v>4</v>
      </c>
      <c r="AN55" s="4">
        <v>0</v>
      </c>
      <c r="AO55" s="4">
        <v>0</v>
      </c>
      <c r="AP55" s="3" t="s">
        <v>58</v>
      </c>
      <c r="AQ55" s="3" t="s">
        <v>69</v>
      </c>
      <c r="AR55" s="6" t="str">
        <f>HYPERLINK("http://catalog.hathitrust.org/Record/001493610","HathiTrust Record")</f>
        <v>HathiTrust Record</v>
      </c>
      <c r="AS55" s="6" t="str">
        <f>HYPERLINK("https://creighton-primo.hosted.exlibrisgroup.com/primo-explore/search?tab=default_tab&amp;search_scope=EVERYTHING&amp;vid=01CRU&amp;lang=en_US&amp;offset=0&amp;query=any,contains,991003177919702656","Catalog Record")</f>
        <v>Catalog Record</v>
      </c>
      <c r="AT55" s="6" t="str">
        <f>HYPERLINK("http://www.worldcat.org/oclc/711126","WorldCat Record")</f>
        <v>WorldCat Record</v>
      </c>
      <c r="AU55" s="3" t="s">
        <v>689</v>
      </c>
      <c r="AV55" s="3" t="s">
        <v>690</v>
      </c>
      <c r="AW55" s="3" t="s">
        <v>691</v>
      </c>
      <c r="AX55" s="3" t="s">
        <v>691</v>
      </c>
      <c r="AY55" s="3" t="s">
        <v>692</v>
      </c>
      <c r="AZ55" s="3" t="s">
        <v>74</v>
      </c>
      <c r="BC55" s="3" t="s">
        <v>693</v>
      </c>
      <c r="BD55" s="3" t="s">
        <v>694</v>
      </c>
    </row>
    <row r="56" spans="1:56" ht="47.25" customHeight="1" x14ac:dyDescent="0.25">
      <c r="A56" s="7" t="s">
        <v>58</v>
      </c>
      <c r="B56" s="2" t="s">
        <v>695</v>
      </c>
      <c r="C56" s="2" t="s">
        <v>696</v>
      </c>
      <c r="D56" s="2" t="s">
        <v>697</v>
      </c>
      <c r="F56" s="3" t="s">
        <v>58</v>
      </c>
      <c r="G56" s="3" t="s">
        <v>59</v>
      </c>
      <c r="H56" s="3" t="s">
        <v>58</v>
      </c>
      <c r="I56" s="3" t="s">
        <v>58</v>
      </c>
      <c r="J56" s="3" t="s">
        <v>60</v>
      </c>
      <c r="K56" s="2" t="s">
        <v>698</v>
      </c>
      <c r="L56" s="2" t="s">
        <v>699</v>
      </c>
      <c r="M56" s="3" t="s">
        <v>700</v>
      </c>
      <c r="N56" s="2" t="s">
        <v>701</v>
      </c>
      <c r="O56" s="3" t="s">
        <v>65</v>
      </c>
      <c r="P56" s="3" t="s">
        <v>100</v>
      </c>
      <c r="Q56" s="2" t="s">
        <v>702</v>
      </c>
      <c r="R56" s="3" t="s">
        <v>67</v>
      </c>
      <c r="S56" s="4">
        <v>1</v>
      </c>
      <c r="T56" s="4">
        <v>1</v>
      </c>
      <c r="U56" s="5" t="s">
        <v>703</v>
      </c>
      <c r="V56" s="5" t="s">
        <v>703</v>
      </c>
      <c r="W56" s="5" t="s">
        <v>87</v>
      </c>
      <c r="X56" s="5" t="s">
        <v>87</v>
      </c>
      <c r="Y56" s="4">
        <v>19</v>
      </c>
      <c r="Z56" s="4">
        <v>16</v>
      </c>
      <c r="AA56" s="4">
        <v>146</v>
      </c>
      <c r="AB56" s="4">
        <v>1</v>
      </c>
      <c r="AC56" s="4">
        <v>2</v>
      </c>
      <c r="AD56" s="4">
        <v>0</v>
      </c>
      <c r="AE56" s="4">
        <v>4</v>
      </c>
      <c r="AF56" s="4">
        <v>0</v>
      </c>
      <c r="AG56" s="4">
        <v>1</v>
      </c>
      <c r="AH56" s="4">
        <v>0</v>
      </c>
      <c r="AI56" s="4">
        <v>2</v>
      </c>
      <c r="AJ56" s="4">
        <v>0</v>
      </c>
      <c r="AK56" s="4">
        <v>1</v>
      </c>
      <c r="AL56" s="4">
        <v>0</v>
      </c>
      <c r="AM56" s="4">
        <v>1</v>
      </c>
      <c r="AN56" s="4">
        <v>0</v>
      </c>
      <c r="AO56" s="4">
        <v>0</v>
      </c>
      <c r="AP56" s="3" t="s">
        <v>69</v>
      </c>
      <c r="AQ56" s="3" t="s">
        <v>58</v>
      </c>
      <c r="AR56" s="6" t="str">
        <f>HYPERLINK("http://catalog.hathitrust.org/Record/010668884","HathiTrust Record")</f>
        <v>HathiTrust Record</v>
      </c>
      <c r="AS56" s="6" t="str">
        <f>HYPERLINK("https://creighton-primo.hosted.exlibrisgroup.com/primo-explore/search?tab=default_tab&amp;search_scope=EVERYTHING&amp;vid=01CRU&amp;lang=en_US&amp;offset=0&amp;query=any,contains,991004626129702656","Catalog Record")</f>
        <v>Catalog Record</v>
      </c>
      <c r="AT56" s="6" t="str">
        <f>HYPERLINK("http://www.worldcat.org/oclc/4340872","WorldCat Record")</f>
        <v>WorldCat Record</v>
      </c>
      <c r="AU56" s="3" t="s">
        <v>704</v>
      </c>
      <c r="AV56" s="3" t="s">
        <v>705</v>
      </c>
      <c r="AW56" s="3" t="s">
        <v>706</v>
      </c>
      <c r="AX56" s="3" t="s">
        <v>706</v>
      </c>
      <c r="AY56" s="3" t="s">
        <v>707</v>
      </c>
      <c r="AZ56" s="3" t="s">
        <v>74</v>
      </c>
      <c r="BC56" s="3" t="s">
        <v>708</v>
      </c>
      <c r="BD56" s="3" t="s">
        <v>709</v>
      </c>
    </row>
    <row r="57" spans="1:56" ht="47.25" customHeight="1" x14ac:dyDescent="0.25">
      <c r="A57" s="7" t="s">
        <v>58</v>
      </c>
      <c r="B57" s="2" t="s">
        <v>710</v>
      </c>
      <c r="C57" s="2" t="s">
        <v>711</v>
      </c>
      <c r="D57" s="2" t="s">
        <v>712</v>
      </c>
      <c r="F57" s="3" t="s">
        <v>58</v>
      </c>
      <c r="G57" s="3" t="s">
        <v>59</v>
      </c>
      <c r="H57" s="3" t="s">
        <v>58</v>
      </c>
      <c r="I57" s="3" t="s">
        <v>58</v>
      </c>
      <c r="J57" s="3" t="s">
        <v>60</v>
      </c>
      <c r="K57" s="2" t="s">
        <v>713</v>
      </c>
      <c r="L57" s="2" t="s">
        <v>714</v>
      </c>
      <c r="M57" s="3" t="s">
        <v>644</v>
      </c>
      <c r="N57" s="2" t="s">
        <v>715</v>
      </c>
      <c r="O57" s="3" t="s">
        <v>65</v>
      </c>
      <c r="P57" s="3" t="s">
        <v>85</v>
      </c>
      <c r="R57" s="3" t="s">
        <v>67</v>
      </c>
      <c r="S57" s="4">
        <v>1</v>
      </c>
      <c r="T57" s="4">
        <v>1</v>
      </c>
      <c r="U57" s="5" t="s">
        <v>688</v>
      </c>
      <c r="V57" s="5" t="s">
        <v>688</v>
      </c>
      <c r="W57" s="5" t="s">
        <v>87</v>
      </c>
      <c r="X57" s="5" t="s">
        <v>87</v>
      </c>
      <c r="Y57" s="4">
        <v>668</v>
      </c>
      <c r="Z57" s="4">
        <v>602</v>
      </c>
      <c r="AA57" s="4">
        <v>916</v>
      </c>
      <c r="AB57" s="4">
        <v>8</v>
      </c>
      <c r="AC57" s="4">
        <v>8</v>
      </c>
      <c r="AD57" s="4">
        <v>25</v>
      </c>
      <c r="AE57" s="4">
        <v>30</v>
      </c>
      <c r="AF57" s="4">
        <v>10</v>
      </c>
      <c r="AG57" s="4">
        <v>13</v>
      </c>
      <c r="AH57" s="4">
        <v>3</v>
      </c>
      <c r="AI57" s="4">
        <v>4</v>
      </c>
      <c r="AJ57" s="4">
        <v>10</v>
      </c>
      <c r="AK57" s="4">
        <v>13</v>
      </c>
      <c r="AL57" s="4">
        <v>6</v>
      </c>
      <c r="AM57" s="4">
        <v>6</v>
      </c>
      <c r="AN57" s="4">
        <v>0</v>
      </c>
      <c r="AO57" s="4">
        <v>0</v>
      </c>
      <c r="AP57" s="3" t="s">
        <v>58</v>
      </c>
      <c r="AQ57" s="3" t="s">
        <v>58</v>
      </c>
      <c r="AS57" s="6" t="str">
        <f>HYPERLINK("https://creighton-primo.hosted.exlibrisgroup.com/primo-explore/search?tab=default_tab&amp;search_scope=EVERYTHING&amp;vid=01CRU&amp;lang=en_US&amp;offset=0&amp;query=any,contains,991002976709702656","Catalog Record")</f>
        <v>Catalog Record</v>
      </c>
      <c r="AT57" s="6" t="str">
        <f>HYPERLINK("http://www.worldcat.org/oclc/552230","WorldCat Record")</f>
        <v>WorldCat Record</v>
      </c>
      <c r="AU57" s="3" t="s">
        <v>716</v>
      </c>
      <c r="AV57" s="3" t="s">
        <v>717</v>
      </c>
      <c r="AW57" s="3" t="s">
        <v>718</v>
      </c>
      <c r="AX57" s="3" t="s">
        <v>718</v>
      </c>
      <c r="AY57" s="3" t="s">
        <v>719</v>
      </c>
      <c r="AZ57" s="3" t="s">
        <v>74</v>
      </c>
      <c r="BC57" s="3" t="s">
        <v>720</v>
      </c>
      <c r="BD57" s="3" t="s">
        <v>721</v>
      </c>
    </row>
    <row r="58" spans="1:56" ht="47.25" customHeight="1" x14ac:dyDescent="0.25">
      <c r="A58" s="7" t="s">
        <v>58</v>
      </c>
      <c r="B58" s="2" t="s">
        <v>722</v>
      </c>
      <c r="C58" s="2" t="s">
        <v>723</v>
      </c>
      <c r="D58" s="2" t="s">
        <v>724</v>
      </c>
      <c r="F58" s="3" t="s">
        <v>58</v>
      </c>
      <c r="G58" s="3" t="s">
        <v>59</v>
      </c>
      <c r="H58" s="3" t="s">
        <v>58</v>
      </c>
      <c r="I58" s="3" t="s">
        <v>58</v>
      </c>
      <c r="J58" s="3" t="s">
        <v>60</v>
      </c>
      <c r="K58" s="2" t="s">
        <v>725</v>
      </c>
      <c r="L58" s="2" t="s">
        <v>726</v>
      </c>
      <c r="M58" s="3" t="s">
        <v>727</v>
      </c>
      <c r="O58" s="3" t="s">
        <v>65</v>
      </c>
      <c r="P58" s="3" t="s">
        <v>100</v>
      </c>
      <c r="R58" s="3" t="s">
        <v>67</v>
      </c>
      <c r="S58" s="4">
        <v>1</v>
      </c>
      <c r="T58" s="4">
        <v>1</v>
      </c>
      <c r="U58" s="5" t="s">
        <v>688</v>
      </c>
      <c r="V58" s="5" t="s">
        <v>688</v>
      </c>
      <c r="W58" s="5" t="s">
        <v>87</v>
      </c>
      <c r="X58" s="5" t="s">
        <v>87</v>
      </c>
      <c r="Y58" s="4">
        <v>281</v>
      </c>
      <c r="Z58" s="4">
        <v>230</v>
      </c>
      <c r="AA58" s="4">
        <v>353</v>
      </c>
      <c r="AB58" s="4">
        <v>3</v>
      </c>
      <c r="AC58" s="4">
        <v>3</v>
      </c>
      <c r="AD58" s="4">
        <v>3</v>
      </c>
      <c r="AE58" s="4">
        <v>5</v>
      </c>
      <c r="AF58" s="4">
        <v>1</v>
      </c>
      <c r="AG58" s="4">
        <v>2</v>
      </c>
      <c r="AH58" s="4">
        <v>0</v>
      </c>
      <c r="AI58" s="4">
        <v>0</v>
      </c>
      <c r="AJ58" s="4">
        <v>1</v>
      </c>
      <c r="AK58" s="4">
        <v>2</v>
      </c>
      <c r="AL58" s="4">
        <v>2</v>
      </c>
      <c r="AM58" s="4">
        <v>2</v>
      </c>
      <c r="AN58" s="4">
        <v>0</v>
      </c>
      <c r="AO58" s="4">
        <v>0</v>
      </c>
      <c r="AP58" s="3" t="s">
        <v>58</v>
      </c>
      <c r="AQ58" s="3" t="s">
        <v>58</v>
      </c>
      <c r="AS58" s="6" t="str">
        <f>HYPERLINK("https://creighton-primo.hosted.exlibrisgroup.com/primo-explore/search?tab=default_tab&amp;search_scope=EVERYTHING&amp;vid=01CRU&amp;lang=en_US&amp;offset=0&amp;query=any,contains,991002743109702656","Catalog Record")</f>
        <v>Catalog Record</v>
      </c>
      <c r="AT58" s="6" t="str">
        <f>HYPERLINK("http://www.worldcat.org/oclc/421739","WorldCat Record")</f>
        <v>WorldCat Record</v>
      </c>
      <c r="AU58" s="3" t="s">
        <v>728</v>
      </c>
      <c r="AV58" s="3" t="s">
        <v>729</v>
      </c>
      <c r="AW58" s="3" t="s">
        <v>730</v>
      </c>
      <c r="AX58" s="3" t="s">
        <v>730</v>
      </c>
      <c r="AY58" s="3" t="s">
        <v>731</v>
      </c>
      <c r="AZ58" s="3" t="s">
        <v>74</v>
      </c>
      <c r="BC58" s="3" t="s">
        <v>732</v>
      </c>
      <c r="BD58" s="3" t="s">
        <v>733</v>
      </c>
    </row>
    <row r="59" spans="1:56" ht="47.25" customHeight="1" x14ac:dyDescent="0.25">
      <c r="A59" s="7" t="s">
        <v>58</v>
      </c>
      <c r="B59" s="2" t="s">
        <v>734</v>
      </c>
      <c r="C59" s="2" t="s">
        <v>735</v>
      </c>
      <c r="D59" s="2" t="s">
        <v>736</v>
      </c>
      <c r="F59" s="3" t="s">
        <v>58</v>
      </c>
      <c r="G59" s="3" t="s">
        <v>59</v>
      </c>
      <c r="H59" s="3" t="s">
        <v>58</v>
      </c>
      <c r="I59" s="3" t="s">
        <v>58</v>
      </c>
      <c r="J59" s="3" t="s">
        <v>60</v>
      </c>
      <c r="K59" s="2" t="s">
        <v>737</v>
      </c>
      <c r="L59" s="2" t="s">
        <v>738</v>
      </c>
      <c r="M59" s="3" t="s">
        <v>739</v>
      </c>
      <c r="N59" s="2" t="s">
        <v>740</v>
      </c>
      <c r="O59" s="3" t="s">
        <v>65</v>
      </c>
      <c r="P59" s="3" t="s">
        <v>282</v>
      </c>
      <c r="R59" s="3" t="s">
        <v>67</v>
      </c>
      <c r="S59" s="4">
        <v>1</v>
      </c>
      <c r="T59" s="4">
        <v>1</v>
      </c>
      <c r="U59" s="5" t="s">
        <v>703</v>
      </c>
      <c r="V59" s="5" t="s">
        <v>703</v>
      </c>
      <c r="W59" s="5" t="s">
        <v>87</v>
      </c>
      <c r="X59" s="5" t="s">
        <v>87</v>
      </c>
      <c r="Y59" s="4">
        <v>72</v>
      </c>
      <c r="Z59" s="4">
        <v>61</v>
      </c>
      <c r="AA59" s="4">
        <v>397</v>
      </c>
      <c r="AB59" s="4">
        <v>1</v>
      </c>
      <c r="AC59" s="4">
        <v>4</v>
      </c>
      <c r="AD59" s="4">
        <v>2</v>
      </c>
      <c r="AE59" s="4">
        <v>15</v>
      </c>
      <c r="AF59" s="4">
        <v>1</v>
      </c>
      <c r="AG59" s="4">
        <v>6</v>
      </c>
      <c r="AH59" s="4">
        <v>0</v>
      </c>
      <c r="AI59" s="4">
        <v>1</v>
      </c>
      <c r="AJ59" s="4">
        <v>2</v>
      </c>
      <c r="AK59" s="4">
        <v>6</v>
      </c>
      <c r="AL59" s="4">
        <v>0</v>
      </c>
      <c r="AM59" s="4">
        <v>3</v>
      </c>
      <c r="AN59" s="4">
        <v>0</v>
      </c>
      <c r="AO59" s="4">
        <v>0</v>
      </c>
      <c r="AP59" s="3" t="s">
        <v>58</v>
      </c>
      <c r="AQ59" s="3" t="s">
        <v>58</v>
      </c>
      <c r="AS59" s="6" t="str">
        <f>HYPERLINK("https://creighton-primo.hosted.exlibrisgroup.com/primo-explore/search?tab=default_tab&amp;search_scope=EVERYTHING&amp;vid=01CRU&amp;lang=en_US&amp;offset=0&amp;query=any,contains,991003490879702656","Catalog Record")</f>
        <v>Catalog Record</v>
      </c>
      <c r="AT59" s="6" t="str">
        <f>HYPERLINK("http://www.worldcat.org/oclc/1040093","WorldCat Record")</f>
        <v>WorldCat Record</v>
      </c>
      <c r="AU59" s="3" t="s">
        <v>741</v>
      </c>
      <c r="AV59" s="3" t="s">
        <v>742</v>
      </c>
      <c r="AW59" s="3" t="s">
        <v>743</v>
      </c>
      <c r="AX59" s="3" t="s">
        <v>743</v>
      </c>
      <c r="AY59" s="3" t="s">
        <v>744</v>
      </c>
      <c r="AZ59" s="3" t="s">
        <v>74</v>
      </c>
      <c r="BC59" s="3" t="s">
        <v>745</v>
      </c>
      <c r="BD59" s="3" t="s">
        <v>746</v>
      </c>
    </row>
    <row r="60" spans="1:56" ht="47.25" customHeight="1" x14ac:dyDescent="0.25">
      <c r="A60" s="7" t="s">
        <v>58</v>
      </c>
      <c r="B60" s="2" t="s">
        <v>747</v>
      </c>
      <c r="C60" s="2" t="s">
        <v>748</v>
      </c>
      <c r="D60" s="2" t="s">
        <v>749</v>
      </c>
      <c r="F60" s="3" t="s">
        <v>58</v>
      </c>
      <c r="G60" s="3" t="s">
        <v>59</v>
      </c>
      <c r="H60" s="3" t="s">
        <v>58</v>
      </c>
      <c r="I60" s="3" t="s">
        <v>58</v>
      </c>
      <c r="J60" s="3" t="s">
        <v>60</v>
      </c>
      <c r="K60" s="2" t="s">
        <v>750</v>
      </c>
      <c r="L60" s="2" t="s">
        <v>751</v>
      </c>
      <c r="M60" s="3" t="s">
        <v>674</v>
      </c>
      <c r="O60" s="3" t="s">
        <v>65</v>
      </c>
      <c r="P60" s="3" t="s">
        <v>100</v>
      </c>
      <c r="R60" s="3" t="s">
        <v>67</v>
      </c>
      <c r="S60" s="4">
        <v>6</v>
      </c>
      <c r="T60" s="4">
        <v>6</v>
      </c>
      <c r="U60" s="5" t="s">
        <v>676</v>
      </c>
      <c r="V60" s="5" t="s">
        <v>676</v>
      </c>
      <c r="W60" s="5" t="s">
        <v>752</v>
      </c>
      <c r="X60" s="5" t="s">
        <v>752</v>
      </c>
      <c r="Y60" s="4">
        <v>309</v>
      </c>
      <c r="Z60" s="4">
        <v>234</v>
      </c>
      <c r="AA60" s="4">
        <v>506</v>
      </c>
      <c r="AB60" s="4">
        <v>2</v>
      </c>
      <c r="AC60" s="4">
        <v>4</v>
      </c>
      <c r="AD60" s="4">
        <v>5</v>
      </c>
      <c r="AE60" s="4">
        <v>16</v>
      </c>
      <c r="AF60" s="4">
        <v>2</v>
      </c>
      <c r="AG60" s="4">
        <v>6</v>
      </c>
      <c r="AH60" s="4">
        <v>2</v>
      </c>
      <c r="AI60" s="4">
        <v>4</v>
      </c>
      <c r="AJ60" s="4">
        <v>3</v>
      </c>
      <c r="AK60" s="4">
        <v>8</v>
      </c>
      <c r="AL60" s="4">
        <v>1</v>
      </c>
      <c r="AM60" s="4">
        <v>3</v>
      </c>
      <c r="AN60" s="4">
        <v>0</v>
      </c>
      <c r="AO60" s="4">
        <v>0</v>
      </c>
      <c r="AP60" s="3" t="s">
        <v>69</v>
      </c>
      <c r="AQ60" s="3" t="s">
        <v>58</v>
      </c>
      <c r="AR60" s="6" t="str">
        <f>HYPERLINK("http://catalog.hathitrust.org/Record/101696769","HathiTrust Record")</f>
        <v>HathiTrust Record</v>
      </c>
      <c r="AS60" s="6" t="str">
        <f>HYPERLINK("https://creighton-primo.hosted.exlibrisgroup.com/primo-explore/search?tab=default_tab&amp;search_scope=EVERYTHING&amp;vid=01CRU&amp;lang=en_US&amp;offset=0&amp;query=any,contains,991003479289702656","Catalog Record")</f>
        <v>Catalog Record</v>
      </c>
      <c r="AT60" s="6" t="str">
        <f>HYPERLINK("http://www.worldcat.org/oclc/1025539","WorldCat Record")</f>
        <v>WorldCat Record</v>
      </c>
      <c r="AU60" s="3" t="s">
        <v>753</v>
      </c>
      <c r="AV60" s="3" t="s">
        <v>754</v>
      </c>
      <c r="AW60" s="3" t="s">
        <v>755</v>
      </c>
      <c r="AX60" s="3" t="s">
        <v>755</v>
      </c>
      <c r="AY60" s="3" t="s">
        <v>756</v>
      </c>
      <c r="AZ60" s="3" t="s">
        <v>74</v>
      </c>
      <c r="BC60" s="3" t="s">
        <v>757</v>
      </c>
      <c r="BD60" s="3" t="s">
        <v>758</v>
      </c>
    </row>
    <row r="61" spans="1:56" ht="47.25" customHeight="1" x14ac:dyDescent="0.25">
      <c r="A61" s="7" t="s">
        <v>58</v>
      </c>
      <c r="B61" s="2" t="s">
        <v>759</v>
      </c>
      <c r="C61" s="2" t="s">
        <v>760</v>
      </c>
      <c r="D61" s="2" t="s">
        <v>761</v>
      </c>
      <c r="F61" s="3" t="s">
        <v>58</v>
      </c>
      <c r="G61" s="3" t="s">
        <v>59</v>
      </c>
      <c r="H61" s="3" t="s">
        <v>58</v>
      </c>
      <c r="I61" s="3" t="s">
        <v>58</v>
      </c>
      <c r="J61" s="3" t="s">
        <v>60</v>
      </c>
      <c r="K61" s="2" t="s">
        <v>762</v>
      </c>
      <c r="L61" s="2" t="s">
        <v>763</v>
      </c>
      <c r="M61" s="3" t="s">
        <v>764</v>
      </c>
      <c r="O61" s="3" t="s">
        <v>65</v>
      </c>
      <c r="P61" s="3" t="s">
        <v>282</v>
      </c>
      <c r="R61" s="3" t="s">
        <v>67</v>
      </c>
      <c r="S61" s="4">
        <v>1</v>
      </c>
      <c r="T61" s="4">
        <v>1</v>
      </c>
      <c r="U61" s="5" t="s">
        <v>688</v>
      </c>
      <c r="V61" s="5" t="s">
        <v>688</v>
      </c>
      <c r="W61" s="5" t="s">
        <v>87</v>
      </c>
      <c r="X61" s="5" t="s">
        <v>87</v>
      </c>
      <c r="Y61" s="4">
        <v>164</v>
      </c>
      <c r="Z61" s="4">
        <v>144</v>
      </c>
      <c r="AA61" s="4">
        <v>150</v>
      </c>
      <c r="AB61" s="4">
        <v>1</v>
      </c>
      <c r="AC61" s="4">
        <v>1</v>
      </c>
      <c r="AD61" s="4">
        <v>2</v>
      </c>
      <c r="AE61" s="4">
        <v>2</v>
      </c>
      <c r="AF61" s="4">
        <v>1</v>
      </c>
      <c r="AG61" s="4">
        <v>1</v>
      </c>
      <c r="AH61" s="4">
        <v>0</v>
      </c>
      <c r="AI61" s="4">
        <v>0</v>
      </c>
      <c r="AJ61" s="4">
        <v>1</v>
      </c>
      <c r="AK61" s="4">
        <v>1</v>
      </c>
      <c r="AL61" s="4">
        <v>0</v>
      </c>
      <c r="AM61" s="4">
        <v>0</v>
      </c>
      <c r="AN61" s="4">
        <v>0</v>
      </c>
      <c r="AO61" s="4">
        <v>0</v>
      </c>
      <c r="AP61" s="3" t="s">
        <v>58</v>
      </c>
      <c r="AQ61" s="3" t="s">
        <v>69</v>
      </c>
      <c r="AR61" s="6" t="str">
        <f>HYPERLINK("http://catalog.hathitrust.org/Record/101697044","HathiTrust Record")</f>
        <v>HathiTrust Record</v>
      </c>
      <c r="AS61" s="6" t="str">
        <f>HYPERLINK("https://creighton-primo.hosted.exlibrisgroup.com/primo-explore/search?tab=default_tab&amp;search_scope=EVERYTHING&amp;vid=01CRU&amp;lang=en_US&amp;offset=0&amp;query=any,contains,991003461309702656","Catalog Record")</f>
        <v>Catalog Record</v>
      </c>
      <c r="AT61" s="6" t="str">
        <f>HYPERLINK("http://www.worldcat.org/oclc/1003065","WorldCat Record")</f>
        <v>WorldCat Record</v>
      </c>
      <c r="AU61" s="3" t="s">
        <v>765</v>
      </c>
      <c r="AV61" s="3" t="s">
        <v>766</v>
      </c>
      <c r="AW61" s="3" t="s">
        <v>767</v>
      </c>
      <c r="AX61" s="3" t="s">
        <v>767</v>
      </c>
      <c r="AY61" s="3" t="s">
        <v>768</v>
      </c>
      <c r="AZ61" s="3" t="s">
        <v>74</v>
      </c>
      <c r="BC61" s="3" t="s">
        <v>769</v>
      </c>
      <c r="BD61" s="3" t="s">
        <v>770</v>
      </c>
    </row>
    <row r="62" spans="1:56" ht="47.25" customHeight="1" x14ac:dyDescent="0.25">
      <c r="A62" s="7" t="s">
        <v>58</v>
      </c>
      <c r="B62" s="2" t="s">
        <v>771</v>
      </c>
      <c r="C62" s="2" t="s">
        <v>772</v>
      </c>
      <c r="D62" s="2" t="s">
        <v>773</v>
      </c>
      <c r="F62" s="3" t="s">
        <v>58</v>
      </c>
      <c r="G62" s="3" t="s">
        <v>59</v>
      </c>
      <c r="H62" s="3" t="s">
        <v>58</v>
      </c>
      <c r="I62" s="3" t="s">
        <v>58</v>
      </c>
      <c r="J62" s="3" t="s">
        <v>60</v>
      </c>
      <c r="K62" s="2" t="s">
        <v>774</v>
      </c>
      <c r="L62" s="2" t="s">
        <v>775</v>
      </c>
      <c r="M62" s="3" t="s">
        <v>674</v>
      </c>
      <c r="N62" s="2" t="s">
        <v>715</v>
      </c>
      <c r="O62" s="3" t="s">
        <v>65</v>
      </c>
      <c r="P62" s="3" t="s">
        <v>282</v>
      </c>
      <c r="R62" s="3" t="s">
        <v>67</v>
      </c>
      <c r="S62" s="4">
        <v>6</v>
      </c>
      <c r="T62" s="4">
        <v>6</v>
      </c>
      <c r="U62" s="5" t="s">
        <v>776</v>
      </c>
      <c r="V62" s="5" t="s">
        <v>776</v>
      </c>
      <c r="W62" s="5" t="s">
        <v>752</v>
      </c>
      <c r="X62" s="5" t="s">
        <v>752</v>
      </c>
      <c r="Y62" s="4">
        <v>226</v>
      </c>
      <c r="Z62" s="4">
        <v>179</v>
      </c>
      <c r="AA62" s="4">
        <v>728</v>
      </c>
      <c r="AB62" s="4">
        <v>3</v>
      </c>
      <c r="AC62" s="4">
        <v>9</v>
      </c>
      <c r="AD62" s="4">
        <v>3</v>
      </c>
      <c r="AE62" s="4">
        <v>16</v>
      </c>
      <c r="AF62" s="4">
        <v>1</v>
      </c>
      <c r="AG62" s="4">
        <v>3</v>
      </c>
      <c r="AH62" s="4">
        <v>0</v>
      </c>
      <c r="AI62" s="4">
        <v>4</v>
      </c>
      <c r="AJ62" s="4">
        <v>0</v>
      </c>
      <c r="AK62" s="4">
        <v>7</v>
      </c>
      <c r="AL62" s="4">
        <v>2</v>
      </c>
      <c r="AM62" s="4">
        <v>5</v>
      </c>
      <c r="AN62" s="4">
        <v>0</v>
      </c>
      <c r="AO62" s="4">
        <v>0</v>
      </c>
      <c r="AP62" s="3" t="s">
        <v>58</v>
      </c>
      <c r="AQ62" s="3" t="s">
        <v>58</v>
      </c>
      <c r="AS62" s="6" t="str">
        <f>HYPERLINK("https://creighton-primo.hosted.exlibrisgroup.com/primo-explore/search?tab=default_tab&amp;search_scope=EVERYTHING&amp;vid=01CRU&amp;lang=en_US&amp;offset=0&amp;query=any,contains,991003667249702656","Catalog Record")</f>
        <v>Catalog Record</v>
      </c>
      <c r="AT62" s="6" t="str">
        <f>HYPERLINK("http://www.worldcat.org/oclc/1282094","WorldCat Record")</f>
        <v>WorldCat Record</v>
      </c>
      <c r="AU62" s="3" t="s">
        <v>777</v>
      </c>
      <c r="AV62" s="3" t="s">
        <v>778</v>
      </c>
      <c r="AW62" s="3" t="s">
        <v>779</v>
      </c>
      <c r="AX62" s="3" t="s">
        <v>779</v>
      </c>
      <c r="AY62" s="3" t="s">
        <v>780</v>
      </c>
      <c r="AZ62" s="3" t="s">
        <v>74</v>
      </c>
      <c r="BC62" s="3" t="s">
        <v>781</v>
      </c>
      <c r="BD62" s="3" t="s">
        <v>782</v>
      </c>
    </row>
    <row r="63" spans="1:56" ht="47.25" customHeight="1" x14ac:dyDescent="0.25">
      <c r="A63" s="7" t="s">
        <v>58</v>
      </c>
      <c r="B63" s="2" t="s">
        <v>783</v>
      </c>
      <c r="C63" s="2" t="s">
        <v>784</v>
      </c>
      <c r="D63" s="2" t="s">
        <v>785</v>
      </c>
      <c r="F63" s="3" t="s">
        <v>58</v>
      </c>
      <c r="G63" s="3" t="s">
        <v>59</v>
      </c>
      <c r="H63" s="3" t="s">
        <v>58</v>
      </c>
      <c r="I63" s="3" t="s">
        <v>58</v>
      </c>
      <c r="J63" s="3" t="s">
        <v>60</v>
      </c>
      <c r="K63" s="2" t="s">
        <v>786</v>
      </c>
      <c r="L63" s="2" t="s">
        <v>787</v>
      </c>
      <c r="M63" s="3" t="s">
        <v>788</v>
      </c>
      <c r="N63" s="2" t="s">
        <v>789</v>
      </c>
      <c r="O63" s="3" t="s">
        <v>65</v>
      </c>
      <c r="P63" s="3" t="s">
        <v>100</v>
      </c>
      <c r="R63" s="3" t="s">
        <v>67</v>
      </c>
      <c r="S63" s="4">
        <v>16</v>
      </c>
      <c r="T63" s="4">
        <v>16</v>
      </c>
      <c r="U63" s="5" t="s">
        <v>128</v>
      </c>
      <c r="V63" s="5" t="s">
        <v>128</v>
      </c>
      <c r="W63" s="5" t="s">
        <v>602</v>
      </c>
      <c r="X63" s="5" t="s">
        <v>602</v>
      </c>
      <c r="Y63" s="4">
        <v>1138</v>
      </c>
      <c r="Z63" s="4">
        <v>1081</v>
      </c>
      <c r="AA63" s="4">
        <v>1135</v>
      </c>
      <c r="AB63" s="4">
        <v>12</v>
      </c>
      <c r="AC63" s="4">
        <v>14</v>
      </c>
      <c r="AD63" s="4">
        <v>8</v>
      </c>
      <c r="AE63" s="4">
        <v>9</v>
      </c>
      <c r="AF63" s="4">
        <v>3</v>
      </c>
      <c r="AG63" s="4">
        <v>3</v>
      </c>
      <c r="AH63" s="4">
        <v>1</v>
      </c>
      <c r="AI63" s="4">
        <v>1</v>
      </c>
      <c r="AJ63" s="4">
        <v>3</v>
      </c>
      <c r="AK63" s="4">
        <v>3</v>
      </c>
      <c r="AL63" s="4">
        <v>3</v>
      </c>
      <c r="AM63" s="4">
        <v>4</v>
      </c>
      <c r="AN63" s="4">
        <v>0</v>
      </c>
      <c r="AO63" s="4">
        <v>0</v>
      </c>
      <c r="AP63" s="3" t="s">
        <v>58</v>
      </c>
      <c r="AQ63" s="3" t="s">
        <v>58</v>
      </c>
      <c r="AS63" s="6" t="str">
        <f>HYPERLINK("https://creighton-primo.hosted.exlibrisgroup.com/primo-explore/search?tab=default_tab&amp;search_scope=EVERYTHING&amp;vid=01CRU&amp;lang=en_US&amp;offset=0&amp;query=any,contains,991004572119702656","Catalog Record")</f>
        <v>Catalog Record</v>
      </c>
      <c r="AT63" s="6" t="str">
        <f>HYPERLINK("http://www.worldcat.org/oclc/4036251","WorldCat Record")</f>
        <v>WorldCat Record</v>
      </c>
      <c r="AU63" s="3" t="s">
        <v>790</v>
      </c>
      <c r="AV63" s="3" t="s">
        <v>791</v>
      </c>
      <c r="AW63" s="3" t="s">
        <v>792</v>
      </c>
      <c r="AX63" s="3" t="s">
        <v>792</v>
      </c>
      <c r="AY63" s="3" t="s">
        <v>793</v>
      </c>
      <c r="AZ63" s="3" t="s">
        <v>74</v>
      </c>
      <c r="BB63" s="3" t="s">
        <v>794</v>
      </c>
      <c r="BC63" s="3" t="s">
        <v>795</v>
      </c>
      <c r="BD63" s="3" t="s">
        <v>796</v>
      </c>
    </row>
    <row r="64" spans="1:56" ht="47.25" customHeight="1" x14ac:dyDescent="0.25">
      <c r="A64" s="7" t="s">
        <v>58</v>
      </c>
      <c r="B64" s="2" t="s">
        <v>797</v>
      </c>
      <c r="C64" s="2" t="s">
        <v>798</v>
      </c>
      <c r="D64" s="2" t="s">
        <v>799</v>
      </c>
      <c r="F64" s="3" t="s">
        <v>58</v>
      </c>
      <c r="G64" s="3" t="s">
        <v>59</v>
      </c>
      <c r="H64" s="3" t="s">
        <v>58</v>
      </c>
      <c r="I64" s="3" t="s">
        <v>58</v>
      </c>
      <c r="J64" s="3" t="s">
        <v>60</v>
      </c>
      <c r="K64" s="2" t="s">
        <v>800</v>
      </c>
      <c r="L64" s="2" t="s">
        <v>801</v>
      </c>
      <c r="M64" s="3" t="s">
        <v>764</v>
      </c>
      <c r="N64" s="2" t="s">
        <v>64</v>
      </c>
      <c r="O64" s="3" t="s">
        <v>65</v>
      </c>
      <c r="P64" s="3" t="s">
        <v>100</v>
      </c>
      <c r="Q64" s="2" t="s">
        <v>802</v>
      </c>
      <c r="R64" s="3" t="s">
        <v>67</v>
      </c>
      <c r="S64" s="4">
        <v>4</v>
      </c>
      <c r="T64" s="4">
        <v>4</v>
      </c>
      <c r="U64" s="5" t="s">
        <v>803</v>
      </c>
      <c r="V64" s="5" t="s">
        <v>803</v>
      </c>
      <c r="W64" s="5" t="s">
        <v>87</v>
      </c>
      <c r="X64" s="5" t="s">
        <v>87</v>
      </c>
      <c r="Y64" s="4">
        <v>268</v>
      </c>
      <c r="Z64" s="4">
        <v>230</v>
      </c>
      <c r="AA64" s="4">
        <v>816</v>
      </c>
      <c r="AB64" s="4">
        <v>2</v>
      </c>
      <c r="AC64" s="4">
        <v>8</v>
      </c>
      <c r="AD64" s="4">
        <v>6</v>
      </c>
      <c r="AE64" s="4">
        <v>19</v>
      </c>
      <c r="AF64" s="4">
        <v>2</v>
      </c>
      <c r="AG64" s="4">
        <v>6</v>
      </c>
      <c r="AH64" s="4">
        <v>1</v>
      </c>
      <c r="AI64" s="4">
        <v>5</v>
      </c>
      <c r="AJ64" s="4">
        <v>3</v>
      </c>
      <c r="AK64" s="4">
        <v>6</v>
      </c>
      <c r="AL64" s="4">
        <v>1</v>
      </c>
      <c r="AM64" s="4">
        <v>6</v>
      </c>
      <c r="AN64" s="4">
        <v>0</v>
      </c>
      <c r="AO64" s="4">
        <v>0</v>
      </c>
      <c r="AP64" s="3" t="s">
        <v>58</v>
      </c>
      <c r="AQ64" s="3" t="s">
        <v>69</v>
      </c>
      <c r="AR64" s="6" t="str">
        <f>HYPERLINK("http://catalog.hathitrust.org/Record/001516677","HathiTrust Record")</f>
        <v>HathiTrust Record</v>
      </c>
      <c r="AS64" s="6" t="str">
        <f>HYPERLINK("https://creighton-primo.hosted.exlibrisgroup.com/primo-explore/search?tab=default_tab&amp;search_scope=EVERYTHING&amp;vid=01CRU&amp;lang=en_US&amp;offset=0&amp;query=any,contains,991003625819702656","Catalog Record")</f>
        <v>Catalog Record</v>
      </c>
      <c r="AT64" s="6" t="str">
        <f>HYPERLINK("http://www.worldcat.org/oclc/1217085","WorldCat Record")</f>
        <v>WorldCat Record</v>
      </c>
      <c r="AU64" s="3" t="s">
        <v>804</v>
      </c>
      <c r="AV64" s="3" t="s">
        <v>805</v>
      </c>
      <c r="AW64" s="3" t="s">
        <v>806</v>
      </c>
      <c r="AX64" s="3" t="s">
        <v>806</v>
      </c>
      <c r="AY64" s="3" t="s">
        <v>807</v>
      </c>
      <c r="AZ64" s="3" t="s">
        <v>74</v>
      </c>
      <c r="BC64" s="3" t="s">
        <v>808</v>
      </c>
      <c r="BD64" s="3" t="s">
        <v>809</v>
      </c>
    </row>
    <row r="65" spans="1:56" ht="47.25" customHeight="1" x14ac:dyDescent="0.25">
      <c r="A65" s="7" t="s">
        <v>58</v>
      </c>
      <c r="B65" s="2" t="s">
        <v>810</v>
      </c>
      <c r="C65" s="2" t="s">
        <v>811</v>
      </c>
      <c r="D65" s="2" t="s">
        <v>812</v>
      </c>
      <c r="F65" s="3" t="s">
        <v>58</v>
      </c>
      <c r="G65" s="3" t="s">
        <v>59</v>
      </c>
      <c r="H65" s="3" t="s">
        <v>58</v>
      </c>
      <c r="I65" s="3" t="s">
        <v>58</v>
      </c>
      <c r="J65" s="3" t="s">
        <v>60</v>
      </c>
      <c r="K65" s="2" t="s">
        <v>813</v>
      </c>
      <c r="L65" s="2" t="s">
        <v>814</v>
      </c>
      <c r="M65" s="3" t="s">
        <v>815</v>
      </c>
      <c r="O65" s="3" t="s">
        <v>65</v>
      </c>
      <c r="P65" s="3" t="s">
        <v>100</v>
      </c>
      <c r="R65" s="3" t="s">
        <v>67</v>
      </c>
      <c r="S65" s="4">
        <v>14</v>
      </c>
      <c r="T65" s="4">
        <v>14</v>
      </c>
      <c r="U65" s="5" t="s">
        <v>816</v>
      </c>
      <c r="V65" s="5" t="s">
        <v>816</v>
      </c>
      <c r="W65" s="5" t="s">
        <v>817</v>
      </c>
      <c r="X65" s="5" t="s">
        <v>817</v>
      </c>
      <c r="Y65" s="4">
        <v>264</v>
      </c>
      <c r="Z65" s="4">
        <v>246</v>
      </c>
      <c r="AA65" s="4">
        <v>644</v>
      </c>
      <c r="AB65" s="4">
        <v>3</v>
      </c>
      <c r="AC65" s="4">
        <v>8</v>
      </c>
      <c r="AD65" s="4">
        <v>5</v>
      </c>
      <c r="AE65" s="4">
        <v>15</v>
      </c>
      <c r="AF65" s="4">
        <v>2</v>
      </c>
      <c r="AG65" s="4">
        <v>5</v>
      </c>
      <c r="AH65" s="4">
        <v>1</v>
      </c>
      <c r="AI65" s="4">
        <v>4</v>
      </c>
      <c r="AJ65" s="4">
        <v>0</v>
      </c>
      <c r="AK65" s="4">
        <v>1</v>
      </c>
      <c r="AL65" s="4">
        <v>2</v>
      </c>
      <c r="AM65" s="4">
        <v>7</v>
      </c>
      <c r="AN65" s="4">
        <v>0</v>
      </c>
      <c r="AO65" s="4">
        <v>0</v>
      </c>
      <c r="AP65" s="3" t="s">
        <v>69</v>
      </c>
      <c r="AQ65" s="3" t="s">
        <v>58</v>
      </c>
      <c r="AR65" s="6" t="str">
        <f>HYPERLINK("http://catalog.hathitrust.org/Record/001494750","HathiTrust Record")</f>
        <v>HathiTrust Record</v>
      </c>
      <c r="AS65" s="6" t="str">
        <f>HYPERLINK("https://creighton-primo.hosted.exlibrisgroup.com/primo-explore/search?tab=default_tab&amp;search_scope=EVERYTHING&amp;vid=01CRU&amp;lang=en_US&amp;offset=0&amp;query=any,contains,991003047059702656","Catalog Record")</f>
        <v>Catalog Record</v>
      </c>
      <c r="AT65" s="6" t="str">
        <f>HYPERLINK("http://www.worldcat.org/oclc/607241","WorldCat Record")</f>
        <v>WorldCat Record</v>
      </c>
      <c r="AU65" s="3" t="s">
        <v>818</v>
      </c>
      <c r="AV65" s="3" t="s">
        <v>819</v>
      </c>
      <c r="AW65" s="3" t="s">
        <v>820</v>
      </c>
      <c r="AX65" s="3" t="s">
        <v>820</v>
      </c>
      <c r="AY65" s="3" t="s">
        <v>821</v>
      </c>
      <c r="AZ65" s="3" t="s">
        <v>74</v>
      </c>
      <c r="BC65" s="3" t="s">
        <v>822</v>
      </c>
      <c r="BD65" s="3" t="s">
        <v>823</v>
      </c>
    </row>
    <row r="66" spans="1:56" ht="47.25" customHeight="1" x14ac:dyDescent="0.25">
      <c r="A66" s="7" t="s">
        <v>58</v>
      </c>
      <c r="B66" s="2" t="s">
        <v>824</v>
      </c>
      <c r="C66" s="2" t="s">
        <v>825</v>
      </c>
      <c r="D66" s="2" t="s">
        <v>826</v>
      </c>
      <c r="F66" s="3" t="s">
        <v>58</v>
      </c>
      <c r="G66" s="3" t="s">
        <v>59</v>
      </c>
      <c r="H66" s="3" t="s">
        <v>58</v>
      </c>
      <c r="I66" s="3" t="s">
        <v>58</v>
      </c>
      <c r="J66" s="3" t="s">
        <v>60</v>
      </c>
      <c r="K66" s="2" t="s">
        <v>827</v>
      </c>
      <c r="L66" s="2" t="s">
        <v>828</v>
      </c>
      <c r="M66" s="3" t="s">
        <v>829</v>
      </c>
      <c r="N66" s="2" t="s">
        <v>830</v>
      </c>
      <c r="O66" s="3" t="s">
        <v>65</v>
      </c>
      <c r="P66" s="3" t="s">
        <v>675</v>
      </c>
      <c r="R66" s="3" t="s">
        <v>67</v>
      </c>
      <c r="S66" s="4">
        <v>10</v>
      </c>
      <c r="T66" s="4">
        <v>10</v>
      </c>
      <c r="U66" s="5" t="s">
        <v>803</v>
      </c>
      <c r="V66" s="5" t="s">
        <v>803</v>
      </c>
      <c r="W66" s="5" t="s">
        <v>831</v>
      </c>
      <c r="X66" s="5" t="s">
        <v>831</v>
      </c>
      <c r="Y66" s="4">
        <v>60</v>
      </c>
      <c r="Z66" s="4">
        <v>57</v>
      </c>
      <c r="AA66" s="4">
        <v>1639</v>
      </c>
      <c r="AB66" s="4">
        <v>1</v>
      </c>
      <c r="AC66" s="4">
        <v>13</v>
      </c>
      <c r="AD66" s="4">
        <v>1</v>
      </c>
      <c r="AE66" s="4">
        <v>41</v>
      </c>
      <c r="AF66" s="4">
        <v>0</v>
      </c>
      <c r="AG66" s="4">
        <v>16</v>
      </c>
      <c r="AH66" s="4">
        <v>1</v>
      </c>
      <c r="AI66" s="4">
        <v>7</v>
      </c>
      <c r="AJ66" s="4">
        <v>0</v>
      </c>
      <c r="AK66" s="4">
        <v>17</v>
      </c>
      <c r="AL66" s="4">
        <v>0</v>
      </c>
      <c r="AM66" s="4">
        <v>10</v>
      </c>
      <c r="AN66" s="4">
        <v>0</v>
      </c>
      <c r="AO66" s="4">
        <v>0</v>
      </c>
      <c r="AP66" s="3" t="s">
        <v>69</v>
      </c>
      <c r="AQ66" s="3" t="s">
        <v>58</v>
      </c>
      <c r="AR66" s="6" t="str">
        <f>HYPERLINK("http://catalog.hathitrust.org/Record/002014335","HathiTrust Record")</f>
        <v>HathiTrust Record</v>
      </c>
      <c r="AS66" s="6" t="str">
        <f>HYPERLINK("https://creighton-primo.hosted.exlibrisgroup.com/primo-explore/search?tab=default_tab&amp;search_scope=EVERYTHING&amp;vid=01CRU&amp;lang=en_US&amp;offset=0&amp;query=any,contains,991004577249702656","Catalog Record")</f>
        <v>Catalog Record</v>
      </c>
      <c r="AT66" s="6" t="str">
        <f>HYPERLINK("http://www.worldcat.org/oclc/4047863","WorldCat Record")</f>
        <v>WorldCat Record</v>
      </c>
      <c r="AU66" s="3" t="s">
        <v>832</v>
      </c>
      <c r="AV66" s="3" t="s">
        <v>833</v>
      </c>
      <c r="AW66" s="3" t="s">
        <v>834</v>
      </c>
      <c r="AX66" s="3" t="s">
        <v>834</v>
      </c>
      <c r="AY66" s="3" t="s">
        <v>835</v>
      </c>
      <c r="AZ66" s="3" t="s">
        <v>74</v>
      </c>
      <c r="BC66" s="3" t="s">
        <v>836</v>
      </c>
      <c r="BD66" s="3" t="s">
        <v>837</v>
      </c>
    </row>
    <row r="67" spans="1:56" ht="47.25" customHeight="1" x14ac:dyDescent="0.25">
      <c r="A67" s="7" t="s">
        <v>58</v>
      </c>
      <c r="B67" s="2" t="s">
        <v>838</v>
      </c>
      <c r="C67" s="2" t="s">
        <v>839</v>
      </c>
      <c r="D67" s="2" t="s">
        <v>840</v>
      </c>
      <c r="F67" s="3" t="s">
        <v>58</v>
      </c>
      <c r="G67" s="3" t="s">
        <v>59</v>
      </c>
      <c r="H67" s="3" t="s">
        <v>58</v>
      </c>
      <c r="I67" s="3" t="s">
        <v>58</v>
      </c>
      <c r="J67" s="3" t="s">
        <v>60</v>
      </c>
      <c r="K67" s="2" t="s">
        <v>841</v>
      </c>
      <c r="L67" s="2" t="s">
        <v>842</v>
      </c>
      <c r="M67" s="3" t="s">
        <v>843</v>
      </c>
      <c r="O67" s="3" t="s">
        <v>65</v>
      </c>
      <c r="P67" s="3" t="s">
        <v>100</v>
      </c>
      <c r="R67" s="3" t="s">
        <v>67</v>
      </c>
      <c r="S67" s="4">
        <v>8</v>
      </c>
      <c r="T67" s="4">
        <v>8</v>
      </c>
      <c r="U67" s="5" t="s">
        <v>844</v>
      </c>
      <c r="V67" s="5" t="s">
        <v>844</v>
      </c>
      <c r="W67" s="5" t="s">
        <v>845</v>
      </c>
      <c r="X67" s="5" t="s">
        <v>845</v>
      </c>
      <c r="Y67" s="4">
        <v>489</v>
      </c>
      <c r="Z67" s="4">
        <v>455</v>
      </c>
      <c r="AA67" s="4">
        <v>456</v>
      </c>
      <c r="AB67" s="4">
        <v>6</v>
      </c>
      <c r="AC67" s="4">
        <v>6</v>
      </c>
      <c r="AD67" s="4">
        <v>13</v>
      </c>
      <c r="AE67" s="4">
        <v>13</v>
      </c>
      <c r="AF67" s="4">
        <v>5</v>
      </c>
      <c r="AG67" s="4">
        <v>5</v>
      </c>
      <c r="AH67" s="4">
        <v>2</v>
      </c>
      <c r="AI67" s="4">
        <v>2</v>
      </c>
      <c r="AJ67" s="4">
        <v>2</v>
      </c>
      <c r="AK67" s="4">
        <v>2</v>
      </c>
      <c r="AL67" s="4">
        <v>5</v>
      </c>
      <c r="AM67" s="4">
        <v>5</v>
      </c>
      <c r="AN67" s="4">
        <v>0</v>
      </c>
      <c r="AO67" s="4">
        <v>0</v>
      </c>
      <c r="AP67" s="3" t="s">
        <v>58</v>
      </c>
      <c r="AQ67" s="3" t="s">
        <v>58</v>
      </c>
      <c r="AS67" s="6" t="str">
        <f>HYPERLINK("https://creighton-primo.hosted.exlibrisgroup.com/primo-explore/search?tab=default_tab&amp;search_scope=EVERYTHING&amp;vid=01CRU&amp;lang=en_US&amp;offset=0&amp;query=any,contains,991000188999702656","Catalog Record")</f>
        <v>Catalog Record</v>
      </c>
      <c r="AT67" s="6" t="str">
        <f>HYPERLINK("http://www.worldcat.org/oclc/63401","WorldCat Record")</f>
        <v>WorldCat Record</v>
      </c>
      <c r="AU67" s="3" t="s">
        <v>846</v>
      </c>
      <c r="AV67" s="3" t="s">
        <v>847</v>
      </c>
      <c r="AW67" s="3" t="s">
        <v>848</v>
      </c>
      <c r="AX67" s="3" t="s">
        <v>848</v>
      </c>
      <c r="AY67" s="3" t="s">
        <v>849</v>
      </c>
      <c r="AZ67" s="3" t="s">
        <v>74</v>
      </c>
      <c r="BB67" s="3" t="s">
        <v>850</v>
      </c>
      <c r="BC67" s="3" t="s">
        <v>851</v>
      </c>
      <c r="BD67" s="3" t="s">
        <v>852</v>
      </c>
    </row>
    <row r="68" spans="1:56" ht="47.25" customHeight="1" x14ac:dyDescent="0.25">
      <c r="A68" s="7" t="s">
        <v>58</v>
      </c>
      <c r="B68" s="2" t="s">
        <v>853</v>
      </c>
      <c r="C68" s="2" t="s">
        <v>854</v>
      </c>
      <c r="D68" s="2" t="s">
        <v>855</v>
      </c>
      <c r="F68" s="3" t="s">
        <v>58</v>
      </c>
      <c r="G68" s="3" t="s">
        <v>59</v>
      </c>
      <c r="H68" s="3" t="s">
        <v>58</v>
      </c>
      <c r="I68" s="3" t="s">
        <v>58</v>
      </c>
      <c r="J68" s="3" t="s">
        <v>60</v>
      </c>
      <c r="K68" s="2" t="s">
        <v>856</v>
      </c>
      <c r="L68" s="2" t="s">
        <v>857</v>
      </c>
      <c r="M68" s="3" t="s">
        <v>858</v>
      </c>
      <c r="N68" s="2" t="s">
        <v>859</v>
      </c>
      <c r="O68" s="3" t="s">
        <v>65</v>
      </c>
      <c r="P68" s="3" t="s">
        <v>860</v>
      </c>
      <c r="R68" s="3" t="s">
        <v>67</v>
      </c>
      <c r="S68" s="4">
        <v>13</v>
      </c>
      <c r="T68" s="4">
        <v>13</v>
      </c>
      <c r="U68" s="5" t="s">
        <v>803</v>
      </c>
      <c r="V68" s="5" t="s">
        <v>803</v>
      </c>
      <c r="W68" s="5" t="s">
        <v>817</v>
      </c>
      <c r="X68" s="5" t="s">
        <v>817</v>
      </c>
      <c r="Y68" s="4">
        <v>113</v>
      </c>
      <c r="Z68" s="4">
        <v>112</v>
      </c>
      <c r="AA68" s="4">
        <v>1467</v>
      </c>
      <c r="AB68" s="4">
        <v>1</v>
      </c>
      <c r="AC68" s="4">
        <v>6</v>
      </c>
      <c r="AD68" s="4">
        <v>1</v>
      </c>
      <c r="AE68" s="4">
        <v>15</v>
      </c>
      <c r="AF68" s="4">
        <v>1</v>
      </c>
      <c r="AG68" s="4">
        <v>6</v>
      </c>
      <c r="AH68" s="4">
        <v>0</v>
      </c>
      <c r="AI68" s="4">
        <v>3</v>
      </c>
      <c r="AJ68" s="4">
        <v>0</v>
      </c>
      <c r="AK68" s="4">
        <v>7</v>
      </c>
      <c r="AL68" s="4">
        <v>0</v>
      </c>
      <c r="AM68" s="4">
        <v>2</v>
      </c>
      <c r="AN68" s="4">
        <v>0</v>
      </c>
      <c r="AO68" s="4">
        <v>0</v>
      </c>
      <c r="AP68" s="3" t="s">
        <v>58</v>
      </c>
      <c r="AQ68" s="3" t="s">
        <v>69</v>
      </c>
      <c r="AR68" s="6" t="str">
        <f>HYPERLINK("http://catalog.hathitrust.org/Record/008364580","HathiTrust Record")</f>
        <v>HathiTrust Record</v>
      </c>
      <c r="AS68" s="6" t="str">
        <f>HYPERLINK("https://creighton-primo.hosted.exlibrisgroup.com/primo-explore/search?tab=default_tab&amp;search_scope=EVERYTHING&amp;vid=01CRU&amp;lang=en_US&amp;offset=0&amp;query=any,contains,991004780659702656","Catalog Record")</f>
        <v>Catalog Record</v>
      </c>
      <c r="AT68" s="6" t="str">
        <f>HYPERLINK("http://www.worldcat.org/oclc/5105291","WorldCat Record")</f>
        <v>WorldCat Record</v>
      </c>
      <c r="AU68" s="3" t="s">
        <v>861</v>
      </c>
      <c r="AV68" s="3" t="s">
        <v>862</v>
      </c>
      <c r="AW68" s="3" t="s">
        <v>863</v>
      </c>
      <c r="AX68" s="3" t="s">
        <v>863</v>
      </c>
      <c r="AY68" s="3" t="s">
        <v>864</v>
      </c>
      <c r="AZ68" s="3" t="s">
        <v>74</v>
      </c>
      <c r="BC68" s="3" t="s">
        <v>865</v>
      </c>
      <c r="BD68" s="3" t="s">
        <v>866</v>
      </c>
    </row>
    <row r="69" spans="1:56" ht="47.25" customHeight="1" x14ac:dyDescent="0.25">
      <c r="A69" s="7" t="s">
        <v>58</v>
      </c>
      <c r="B69" s="2" t="s">
        <v>867</v>
      </c>
      <c r="C69" s="2" t="s">
        <v>868</v>
      </c>
      <c r="D69" s="2" t="s">
        <v>869</v>
      </c>
      <c r="F69" s="3" t="s">
        <v>58</v>
      </c>
      <c r="G69" s="3" t="s">
        <v>59</v>
      </c>
      <c r="H69" s="3" t="s">
        <v>58</v>
      </c>
      <c r="I69" s="3" t="s">
        <v>58</v>
      </c>
      <c r="J69" s="3" t="s">
        <v>60</v>
      </c>
      <c r="K69" s="2" t="s">
        <v>870</v>
      </c>
      <c r="L69" s="2" t="s">
        <v>871</v>
      </c>
      <c r="M69" s="3" t="s">
        <v>497</v>
      </c>
      <c r="O69" s="3" t="s">
        <v>65</v>
      </c>
      <c r="P69" s="3" t="s">
        <v>872</v>
      </c>
      <c r="R69" s="3" t="s">
        <v>67</v>
      </c>
      <c r="S69" s="4">
        <v>4</v>
      </c>
      <c r="T69" s="4">
        <v>4</v>
      </c>
      <c r="U69" s="5" t="s">
        <v>873</v>
      </c>
      <c r="V69" s="5" t="s">
        <v>873</v>
      </c>
      <c r="W69" s="5" t="s">
        <v>874</v>
      </c>
      <c r="X69" s="5" t="s">
        <v>874</v>
      </c>
      <c r="Y69" s="4">
        <v>454</v>
      </c>
      <c r="Z69" s="4">
        <v>431</v>
      </c>
      <c r="AA69" s="4">
        <v>433</v>
      </c>
      <c r="AB69" s="4">
        <v>15</v>
      </c>
      <c r="AC69" s="4">
        <v>15</v>
      </c>
      <c r="AD69" s="4">
        <v>13</v>
      </c>
      <c r="AE69" s="4">
        <v>13</v>
      </c>
      <c r="AF69" s="4">
        <v>3</v>
      </c>
      <c r="AG69" s="4">
        <v>3</v>
      </c>
      <c r="AH69" s="4">
        <v>2</v>
      </c>
      <c r="AI69" s="4">
        <v>2</v>
      </c>
      <c r="AJ69" s="4">
        <v>2</v>
      </c>
      <c r="AK69" s="4">
        <v>2</v>
      </c>
      <c r="AL69" s="4">
        <v>8</v>
      </c>
      <c r="AM69" s="4">
        <v>8</v>
      </c>
      <c r="AN69" s="4">
        <v>0</v>
      </c>
      <c r="AO69" s="4">
        <v>0</v>
      </c>
      <c r="AP69" s="3" t="s">
        <v>58</v>
      </c>
      <c r="AQ69" s="3" t="s">
        <v>69</v>
      </c>
      <c r="AR69" s="6" t="str">
        <f>HYPERLINK("http://catalog.hathitrust.org/Record/000708705","HathiTrust Record")</f>
        <v>HathiTrust Record</v>
      </c>
      <c r="AS69" s="6" t="str">
        <f>HYPERLINK("https://creighton-primo.hosted.exlibrisgroup.com/primo-explore/search?tab=default_tab&amp;search_scope=EVERYTHING&amp;vid=01CRU&amp;lang=en_US&amp;offset=0&amp;query=any,contains,991003310879702656","Catalog Record")</f>
        <v>Catalog Record</v>
      </c>
      <c r="AT69" s="6" t="str">
        <f>HYPERLINK("http://www.worldcat.org/oclc/834763","WorldCat Record")</f>
        <v>WorldCat Record</v>
      </c>
      <c r="AU69" s="3" t="s">
        <v>875</v>
      </c>
      <c r="AV69" s="3" t="s">
        <v>876</v>
      </c>
      <c r="AW69" s="3" t="s">
        <v>877</v>
      </c>
      <c r="AX69" s="3" t="s">
        <v>877</v>
      </c>
      <c r="AY69" s="3" t="s">
        <v>878</v>
      </c>
      <c r="AZ69" s="3" t="s">
        <v>74</v>
      </c>
      <c r="BB69" s="3" t="s">
        <v>879</v>
      </c>
      <c r="BC69" s="3" t="s">
        <v>880</v>
      </c>
      <c r="BD69" s="3" t="s">
        <v>881</v>
      </c>
    </row>
    <row r="70" spans="1:56" ht="47.25" customHeight="1" x14ac:dyDescent="0.25">
      <c r="A70" s="7" t="s">
        <v>58</v>
      </c>
      <c r="B70" s="2" t="s">
        <v>882</v>
      </c>
      <c r="C70" s="2" t="s">
        <v>883</v>
      </c>
      <c r="D70" s="2" t="s">
        <v>884</v>
      </c>
      <c r="F70" s="3" t="s">
        <v>58</v>
      </c>
      <c r="G70" s="3" t="s">
        <v>59</v>
      </c>
      <c r="H70" s="3" t="s">
        <v>58</v>
      </c>
      <c r="I70" s="3" t="s">
        <v>58</v>
      </c>
      <c r="J70" s="3" t="s">
        <v>60</v>
      </c>
      <c r="K70" s="2" t="s">
        <v>885</v>
      </c>
      <c r="L70" s="2" t="s">
        <v>886</v>
      </c>
      <c r="M70" s="3" t="s">
        <v>887</v>
      </c>
      <c r="N70" s="2" t="s">
        <v>470</v>
      </c>
      <c r="O70" s="3" t="s">
        <v>65</v>
      </c>
      <c r="P70" s="3" t="s">
        <v>888</v>
      </c>
      <c r="R70" s="3" t="s">
        <v>67</v>
      </c>
      <c r="S70" s="4">
        <v>1</v>
      </c>
      <c r="T70" s="4">
        <v>1</v>
      </c>
      <c r="U70" s="5" t="s">
        <v>889</v>
      </c>
      <c r="V70" s="5" t="s">
        <v>889</v>
      </c>
      <c r="W70" s="5" t="s">
        <v>87</v>
      </c>
      <c r="X70" s="5" t="s">
        <v>87</v>
      </c>
      <c r="Y70" s="4">
        <v>740</v>
      </c>
      <c r="Z70" s="4">
        <v>664</v>
      </c>
      <c r="AA70" s="4">
        <v>778</v>
      </c>
      <c r="AB70" s="4">
        <v>8</v>
      </c>
      <c r="AC70" s="4">
        <v>8</v>
      </c>
      <c r="AD70" s="4">
        <v>13</v>
      </c>
      <c r="AE70" s="4">
        <v>17</v>
      </c>
      <c r="AF70" s="4">
        <v>3</v>
      </c>
      <c r="AG70" s="4">
        <v>5</v>
      </c>
      <c r="AH70" s="4">
        <v>3</v>
      </c>
      <c r="AI70" s="4">
        <v>4</v>
      </c>
      <c r="AJ70" s="4">
        <v>3</v>
      </c>
      <c r="AK70" s="4">
        <v>5</v>
      </c>
      <c r="AL70" s="4">
        <v>6</v>
      </c>
      <c r="AM70" s="4">
        <v>6</v>
      </c>
      <c r="AN70" s="4">
        <v>0</v>
      </c>
      <c r="AO70" s="4">
        <v>0</v>
      </c>
      <c r="AP70" s="3" t="s">
        <v>58</v>
      </c>
      <c r="AQ70" s="3" t="s">
        <v>58</v>
      </c>
      <c r="AS70" s="6" t="str">
        <f>HYPERLINK("https://creighton-primo.hosted.exlibrisgroup.com/primo-explore/search?tab=default_tab&amp;search_scope=EVERYTHING&amp;vid=01CRU&amp;lang=en_US&amp;offset=0&amp;query=any,contains,991003530289702656","Catalog Record")</f>
        <v>Catalog Record</v>
      </c>
      <c r="AT70" s="6" t="str">
        <f>HYPERLINK("http://www.worldcat.org/oclc/1093384","WorldCat Record")</f>
        <v>WorldCat Record</v>
      </c>
      <c r="AU70" s="3" t="s">
        <v>890</v>
      </c>
      <c r="AV70" s="3" t="s">
        <v>891</v>
      </c>
      <c r="AW70" s="3" t="s">
        <v>892</v>
      </c>
      <c r="AX70" s="3" t="s">
        <v>892</v>
      </c>
      <c r="AY70" s="3" t="s">
        <v>893</v>
      </c>
      <c r="AZ70" s="3" t="s">
        <v>74</v>
      </c>
      <c r="BB70" s="3" t="s">
        <v>894</v>
      </c>
      <c r="BC70" s="3" t="s">
        <v>895</v>
      </c>
      <c r="BD70" s="3" t="s">
        <v>896</v>
      </c>
    </row>
    <row r="71" spans="1:56" ht="47.25" customHeight="1" x14ac:dyDescent="0.25">
      <c r="A71" s="7" t="s">
        <v>58</v>
      </c>
      <c r="B71" s="2" t="s">
        <v>897</v>
      </c>
      <c r="C71" s="2" t="s">
        <v>898</v>
      </c>
      <c r="D71" s="2" t="s">
        <v>899</v>
      </c>
      <c r="F71" s="3" t="s">
        <v>58</v>
      </c>
      <c r="G71" s="3" t="s">
        <v>59</v>
      </c>
      <c r="H71" s="3" t="s">
        <v>58</v>
      </c>
      <c r="I71" s="3" t="s">
        <v>58</v>
      </c>
      <c r="J71" s="3" t="s">
        <v>60</v>
      </c>
      <c r="K71" s="2" t="s">
        <v>900</v>
      </c>
      <c r="L71" s="2" t="s">
        <v>901</v>
      </c>
      <c r="M71" s="3" t="s">
        <v>902</v>
      </c>
      <c r="O71" s="3" t="s">
        <v>65</v>
      </c>
      <c r="P71" s="3" t="s">
        <v>903</v>
      </c>
      <c r="R71" s="3" t="s">
        <v>67</v>
      </c>
      <c r="S71" s="4">
        <v>2</v>
      </c>
      <c r="T71" s="4">
        <v>2</v>
      </c>
      <c r="U71" s="5" t="s">
        <v>904</v>
      </c>
      <c r="V71" s="5" t="s">
        <v>904</v>
      </c>
      <c r="W71" s="5" t="s">
        <v>905</v>
      </c>
      <c r="X71" s="5" t="s">
        <v>905</v>
      </c>
      <c r="Y71" s="4">
        <v>115</v>
      </c>
      <c r="Z71" s="4">
        <v>53</v>
      </c>
      <c r="AA71" s="4">
        <v>55</v>
      </c>
      <c r="AB71" s="4">
        <v>1</v>
      </c>
      <c r="AC71" s="4">
        <v>1</v>
      </c>
      <c r="AD71" s="4">
        <v>0</v>
      </c>
      <c r="AE71" s="4">
        <v>0</v>
      </c>
      <c r="AF71" s="4">
        <v>0</v>
      </c>
      <c r="AG71" s="4">
        <v>0</v>
      </c>
      <c r="AH71" s="4">
        <v>0</v>
      </c>
      <c r="AI71" s="4">
        <v>0</v>
      </c>
      <c r="AJ71" s="4">
        <v>0</v>
      </c>
      <c r="AK71" s="4">
        <v>0</v>
      </c>
      <c r="AL71" s="4">
        <v>0</v>
      </c>
      <c r="AM71" s="4">
        <v>0</v>
      </c>
      <c r="AN71" s="4">
        <v>0</v>
      </c>
      <c r="AO71" s="4">
        <v>0</v>
      </c>
      <c r="AP71" s="3" t="s">
        <v>58</v>
      </c>
      <c r="AQ71" s="3" t="s">
        <v>69</v>
      </c>
      <c r="AR71" s="6" t="str">
        <f>HYPERLINK("http://catalog.hathitrust.org/Record/002612155","HathiTrust Record")</f>
        <v>HathiTrust Record</v>
      </c>
      <c r="AS71" s="6" t="str">
        <f>HYPERLINK("https://creighton-primo.hosted.exlibrisgroup.com/primo-explore/search?tab=default_tab&amp;search_scope=EVERYTHING&amp;vid=01CRU&amp;lang=en_US&amp;offset=0&amp;query=any,contains,991003258239702656","Catalog Record")</f>
        <v>Catalog Record</v>
      </c>
      <c r="AT71" s="6" t="str">
        <f>HYPERLINK("http://www.worldcat.org/oclc/26109619","WorldCat Record")</f>
        <v>WorldCat Record</v>
      </c>
      <c r="AU71" s="3" t="s">
        <v>906</v>
      </c>
      <c r="AV71" s="3" t="s">
        <v>907</v>
      </c>
      <c r="AW71" s="3" t="s">
        <v>908</v>
      </c>
      <c r="AX71" s="3" t="s">
        <v>908</v>
      </c>
      <c r="AY71" s="3" t="s">
        <v>909</v>
      </c>
      <c r="AZ71" s="3" t="s">
        <v>74</v>
      </c>
      <c r="BB71" s="3" t="s">
        <v>910</v>
      </c>
      <c r="BC71" s="3" t="s">
        <v>911</v>
      </c>
      <c r="BD71" s="3" t="s">
        <v>912</v>
      </c>
    </row>
    <row r="72" spans="1:56" ht="47.25" customHeight="1" x14ac:dyDescent="0.25">
      <c r="A72" s="7" t="s">
        <v>58</v>
      </c>
      <c r="B72" s="2" t="s">
        <v>913</v>
      </c>
      <c r="C72" s="2" t="s">
        <v>914</v>
      </c>
      <c r="D72" s="2" t="s">
        <v>915</v>
      </c>
      <c r="F72" s="3" t="s">
        <v>58</v>
      </c>
      <c r="G72" s="3" t="s">
        <v>59</v>
      </c>
      <c r="H72" s="3" t="s">
        <v>58</v>
      </c>
      <c r="I72" s="3" t="s">
        <v>58</v>
      </c>
      <c r="J72" s="3" t="s">
        <v>60</v>
      </c>
      <c r="K72" s="2" t="s">
        <v>916</v>
      </c>
      <c r="L72" s="2" t="s">
        <v>917</v>
      </c>
      <c r="M72" s="3" t="s">
        <v>918</v>
      </c>
      <c r="O72" s="3" t="s">
        <v>65</v>
      </c>
      <c r="P72" s="3" t="s">
        <v>127</v>
      </c>
      <c r="R72" s="3" t="s">
        <v>67</v>
      </c>
      <c r="S72" s="4">
        <v>7</v>
      </c>
      <c r="T72" s="4">
        <v>7</v>
      </c>
      <c r="U72" s="5" t="s">
        <v>889</v>
      </c>
      <c r="V72" s="5" t="s">
        <v>889</v>
      </c>
      <c r="W72" s="5" t="s">
        <v>919</v>
      </c>
      <c r="X72" s="5" t="s">
        <v>919</v>
      </c>
      <c r="Y72" s="4">
        <v>352</v>
      </c>
      <c r="Z72" s="4">
        <v>232</v>
      </c>
      <c r="AA72" s="4">
        <v>249</v>
      </c>
      <c r="AB72" s="4">
        <v>4</v>
      </c>
      <c r="AC72" s="4">
        <v>4</v>
      </c>
      <c r="AD72" s="4">
        <v>10</v>
      </c>
      <c r="AE72" s="4">
        <v>10</v>
      </c>
      <c r="AF72" s="4">
        <v>3</v>
      </c>
      <c r="AG72" s="4">
        <v>3</v>
      </c>
      <c r="AH72" s="4">
        <v>2</v>
      </c>
      <c r="AI72" s="4">
        <v>2</v>
      </c>
      <c r="AJ72" s="4">
        <v>4</v>
      </c>
      <c r="AK72" s="4">
        <v>4</v>
      </c>
      <c r="AL72" s="4">
        <v>3</v>
      </c>
      <c r="AM72" s="4">
        <v>3</v>
      </c>
      <c r="AN72" s="4">
        <v>0</v>
      </c>
      <c r="AO72" s="4">
        <v>0</v>
      </c>
      <c r="AP72" s="3" t="s">
        <v>58</v>
      </c>
      <c r="AQ72" s="3" t="s">
        <v>69</v>
      </c>
      <c r="AR72" s="6" t="str">
        <f>HYPERLINK("http://catalog.hathitrust.org/Record/003960396","HathiTrust Record")</f>
        <v>HathiTrust Record</v>
      </c>
      <c r="AS72" s="6" t="str">
        <f>HYPERLINK("https://creighton-primo.hosted.exlibrisgroup.com/primo-explore/search?tab=default_tab&amp;search_scope=EVERYTHING&amp;vid=01CRU&amp;lang=en_US&amp;offset=0&amp;query=any,contains,991002695549702656","Catalog Record")</f>
        <v>Catalog Record</v>
      </c>
      <c r="AT72" s="6" t="str">
        <f>HYPERLINK("http://www.worldcat.org/oclc/36726815","WorldCat Record")</f>
        <v>WorldCat Record</v>
      </c>
      <c r="AU72" s="3" t="s">
        <v>920</v>
      </c>
      <c r="AV72" s="3" t="s">
        <v>921</v>
      </c>
      <c r="AW72" s="3" t="s">
        <v>922</v>
      </c>
      <c r="AX72" s="3" t="s">
        <v>922</v>
      </c>
      <c r="AY72" s="3" t="s">
        <v>923</v>
      </c>
      <c r="AZ72" s="3" t="s">
        <v>74</v>
      </c>
      <c r="BB72" s="3" t="s">
        <v>924</v>
      </c>
      <c r="BC72" s="3" t="s">
        <v>925</v>
      </c>
      <c r="BD72" s="3" t="s">
        <v>926</v>
      </c>
    </row>
    <row r="73" spans="1:56" ht="47.25" customHeight="1" x14ac:dyDescent="0.25">
      <c r="A73" s="7" t="s">
        <v>58</v>
      </c>
      <c r="B73" s="2" t="s">
        <v>927</v>
      </c>
      <c r="C73" s="2" t="s">
        <v>928</v>
      </c>
      <c r="D73" s="2" t="s">
        <v>929</v>
      </c>
      <c r="F73" s="3" t="s">
        <v>58</v>
      </c>
      <c r="G73" s="3" t="s">
        <v>59</v>
      </c>
      <c r="H73" s="3" t="s">
        <v>58</v>
      </c>
      <c r="I73" s="3" t="s">
        <v>58</v>
      </c>
      <c r="J73" s="3" t="s">
        <v>60</v>
      </c>
      <c r="K73" s="2" t="s">
        <v>930</v>
      </c>
      <c r="L73" s="2" t="s">
        <v>931</v>
      </c>
      <c r="M73" s="3" t="s">
        <v>918</v>
      </c>
      <c r="N73" s="2" t="s">
        <v>64</v>
      </c>
      <c r="O73" s="3" t="s">
        <v>65</v>
      </c>
      <c r="P73" s="3" t="s">
        <v>860</v>
      </c>
      <c r="R73" s="3" t="s">
        <v>67</v>
      </c>
      <c r="S73" s="4">
        <v>5</v>
      </c>
      <c r="T73" s="4">
        <v>5</v>
      </c>
      <c r="U73" s="5" t="s">
        <v>889</v>
      </c>
      <c r="V73" s="5" t="s">
        <v>889</v>
      </c>
      <c r="W73" s="5" t="s">
        <v>932</v>
      </c>
      <c r="X73" s="5" t="s">
        <v>932</v>
      </c>
      <c r="Y73" s="4">
        <v>451</v>
      </c>
      <c r="Z73" s="4">
        <v>403</v>
      </c>
      <c r="AA73" s="4">
        <v>414</v>
      </c>
      <c r="AB73" s="4">
        <v>7</v>
      </c>
      <c r="AC73" s="4">
        <v>7</v>
      </c>
      <c r="AD73" s="4">
        <v>17</v>
      </c>
      <c r="AE73" s="4">
        <v>17</v>
      </c>
      <c r="AF73" s="4">
        <v>6</v>
      </c>
      <c r="AG73" s="4">
        <v>6</v>
      </c>
      <c r="AH73" s="4">
        <v>2</v>
      </c>
      <c r="AI73" s="4">
        <v>2</v>
      </c>
      <c r="AJ73" s="4">
        <v>7</v>
      </c>
      <c r="AK73" s="4">
        <v>7</v>
      </c>
      <c r="AL73" s="4">
        <v>6</v>
      </c>
      <c r="AM73" s="4">
        <v>6</v>
      </c>
      <c r="AN73" s="4">
        <v>0</v>
      </c>
      <c r="AO73" s="4">
        <v>0</v>
      </c>
      <c r="AP73" s="3" t="s">
        <v>58</v>
      </c>
      <c r="AQ73" s="3" t="s">
        <v>58</v>
      </c>
      <c r="AS73" s="6" t="str">
        <f>HYPERLINK("https://creighton-primo.hosted.exlibrisgroup.com/primo-explore/search?tab=default_tab&amp;search_scope=EVERYTHING&amp;vid=01CRU&amp;lang=en_US&amp;offset=0&amp;query=any,contains,991002529989702656","Catalog Record")</f>
        <v>Catalog Record</v>
      </c>
      <c r="AT73" s="6" t="str">
        <f>HYPERLINK("http://www.worldcat.org/oclc/32891512","WorldCat Record")</f>
        <v>WorldCat Record</v>
      </c>
      <c r="AU73" s="3" t="s">
        <v>933</v>
      </c>
      <c r="AV73" s="3" t="s">
        <v>934</v>
      </c>
      <c r="AW73" s="3" t="s">
        <v>935</v>
      </c>
      <c r="AX73" s="3" t="s">
        <v>935</v>
      </c>
      <c r="AY73" s="3" t="s">
        <v>936</v>
      </c>
      <c r="AZ73" s="3" t="s">
        <v>74</v>
      </c>
      <c r="BB73" s="3" t="s">
        <v>937</v>
      </c>
      <c r="BC73" s="3" t="s">
        <v>938</v>
      </c>
      <c r="BD73" s="3" t="s">
        <v>939</v>
      </c>
    </row>
    <row r="74" spans="1:56" ht="47.25" customHeight="1" x14ac:dyDescent="0.25">
      <c r="A74" s="7" t="s">
        <v>58</v>
      </c>
      <c r="B74" s="2" t="s">
        <v>940</v>
      </c>
      <c r="C74" s="2" t="s">
        <v>941</v>
      </c>
      <c r="D74" s="2" t="s">
        <v>942</v>
      </c>
      <c r="F74" s="3" t="s">
        <v>58</v>
      </c>
      <c r="G74" s="3" t="s">
        <v>59</v>
      </c>
      <c r="H74" s="3" t="s">
        <v>58</v>
      </c>
      <c r="I74" s="3" t="s">
        <v>58</v>
      </c>
      <c r="J74" s="3" t="s">
        <v>60</v>
      </c>
      <c r="L74" s="2" t="s">
        <v>943</v>
      </c>
      <c r="M74" s="3" t="s">
        <v>944</v>
      </c>
      <c r="N74" s="2" t="s">
        <v>470</v>
      </c>
      <c r="O74" s="3" t="s">
        <v>65</v>
      </c>
      <c r="P74" s="3" t="s">
        <v>888</v>
      </c>
      <c r="R74" s="3" t="s">
        <v>67</v>
      </c>
      <c r="S74" s="4">
        <v>13</v>
      </c>
      <c r="T74" s="4">
        <v>13</v>
      </c>
      <c r="U74" s="5" t="s">
        <v>945</v>
      </c>
      <c r="V74" s="5" t="s">
        <v>945</v>
      </c>
      <c r="W74" s="5" t="s">
        <v>129</v>
      </c>
      <c r="X74" s="5" t="s">
        <v>129</v>
      </c>
      <c r="Y74" s="4">
        <v>362</v>
      </c>
      <c r="Z74" s="4">
        <v>315</v>
      </c>
      <c r="AA74" s="4">
        <v>318</v>
      </c>
      <c r="AB74" s="4">
        <v>4</v>
      </c>
      <c r="AC74" s="4">
        <v>4</v>
      </c>
      <c r="AD74" s="4">
        <v>8</v>
      </c>
      <c r="AE74" s="4">
        <v>8</v>
      </c>
      <c r="AF74" s="4">
        <v>2</v>
      </c>
      <c r="AG74" s="4">
        <v>2</v>
      </c>
      <c r="AH74" s="4">
        <v>2</v>
      </c>
      <c r="AI74" s="4">
        <v>2</v>
      </c>
      <c r="AJ74" s="4">
        <v>2</v>
      </c>
      <c r="AK74" s="4">
        <v>2</v>
      </c>
      <c r="AL74" s="4">
        <v>3</v>
      </c>
      <c r="AM74" s="4">
        <v>3</v>
      </c>
      <c r="AN74" s="4">
        <v>0</v>
      </c>
      <c r="AO74" s="4">
        <v>0</v>
      </c>
      <c r="AP74" s="3" t="s">
        <v>58</v>
      </c>
      <c r="AQ74" s="3" t="s">
        <v>58</v>
      </c>
      <c r="AS74" s="6" t="str">
        <f>HYPERLINK("https://creighton-primo.hosted.exlibrisgroup.com/primo-explore/search?tab=default_tab&amp;search_scope=EVERYTHING&amp;vid=01CRU&amp;lang=en_US&amp;offset=0&amp;query=any,contains,991005139419702656","Catalog Record")</f>
        <v>Catalog Record</v>
      </c>
      <c r="AT74" s="6" t="str">
        <f>HYPERLINK("http://www.worldcat.org/oclc/7597309","WorldCat Record")</f>
        <v>WorldCat Record</v>
      </c>
      <c r="AU74" s="3" t="s">
        <v>946</v>
      </c>
      <c r="AV74" s="3" t="s">
        <v>947</v>
      </c>
      <c r="AW74" s="3" t="s">
        <v>948</v>
      </c>
      <c r="AX74" s="3" t="s">
        <v>948</v>
      </c>
      <c r="AY74" s="3" t="s">
        <v>949</v>
      </c>
      <c r="AZ74" s="3" t="s">
        <v>74</v>
      </c>
      <c r="BB74" s="3" t="s">
        <v>950</v>
      </c>
      <c r="BC74" s="3" t="s">
        <v>951</v>
      </c>
      <c r="BD74" s="3" t="s">
        <v>952</v>
      </c>
    </row>
    <row r="75" spans="1:56" ht="47.25" customHeight="1" x14ac:dyDescent="0.25">
      <c r="A75" s="7" t="s">
        <v>58</v>
      </c>
      <c r="B75" s="2" t="s">
        <v>953</v>
      </c>
      <c r="C75" s="2" t="s">
        <v>954</v>
      </c>
      <c r="D75" s="2" t="s">
        <v>955</v>
      </c>
      <c r="F75" s="3" t="s">
        <v>58</v>
      </c>
      <c r="G75" s="3" t="s">
        <v>59</v>
      </c>
      <c r="H75" s="3" t="s">
        <v>58</v>
      </c>
      <c r="I75" s="3" t="s">
        <v>58</v>
      </c>
      <c r="J75" s="3" t="s">
        <v>60</v>
      </c>
      <c r="K75" s="2" t="s">
        <v>956</v>
      </c>
      <c r="L75" s="2" t="s">
        <v>957</v>
      </c>
      <c r="M75" s="3" t="s">
        <v>958</v>
      </c>
      <c r="O75" s="3" t="s">
        <v>65</v>
      </c>
      <c r="P75" s="3" t="s">
        <v>959</v>
      </c>
      <c r="Q75" s="2" t="s">
        <v>960</v>
      </c>
      <c r="R75" s="3" t="s">
        <v>67</v>
      </c>
      <c r="S75" s="4">
        <v>6</v>
      </c>
      <c r="T75" s="4">
        <v>6</v>
      </c>
      <c r="U75" s="5" t="s">
        <v>889</v>
      </c>
      <c r="V75" s="5" t="s">
        <v>889</v>
      </c>
      <c r="W75" s="5" t="s">
        <v>129</v>
      </c>
      <c r="X75" s="5" t="s">
        <v>129</v>
      </c>
      <c r="Y75" s="4">
        <v>354</v>
      </c>
      <c r="Z75" s="4">
        <v>314</v>
      </c>
      <c r="AA75" s="4">
        <v>474</v>
      </c>
      <c r="AB75" s="4">
        <v>7</v>
      </c>
      <c r="AC75" s="4">
        <v>10</v>
      </c>
      <c r="AD75" s="4">
        <v>13</v>
      </c>
      <c r="AE75" s="4">
        <v>16</v>
      </c>
      <c r="AF75" s="4">
        <v>3</v>
      </c>
      <c r="AG75" s="4">
        <v>4</v>
      </c>
      <c r="AH75" s="4">
        <v>2</v>
      </c>
      <c r="AI75" s="4">
        <v>3</v>
      </c>
      <c r="AJ75" s="4">
        <v>6</v>
      </c>
      <c r="AK75" s="4">
        <v>6</v>
      </c>
      <c r="AL75" s="4">
        <v>5</v>
      </c>
      <c r="AM75" s="4">
        <v>7</v>
      </c>
      <c r="AN75" s="4">
        <v>0</v>
      </c>
      <c r="AO75" s="4">
        <v>0</v>
      </c>
      <c r="AP75" s="3" t="s">
        <v>69</v>
      </c>
      <c r="AQ75" s="3" t="s">
        <v>58</v>
      </c>
      <c r="AR75" s="6" t="str">
        <f>HYPERLINK("http://catalog.hathitrust.org/Record/001496859","HathiTrust Record")</f>
        <v>HathiTrust Record</v>
      </c>
      <c r="AS75" s="6" t="str">
        <f>HYPERLINK("https://creighton-primo.hosted.exlibrisgroup.com/primo-explore/search?tab=default_tab&amp;search_scope=EVERYTHING&amp;vid=01CRU&amp;lang=en_US&amp;offset=0&amp;query=any,contains,991001935289702656","Catalog Record")</f>
        <v>Catalog Record</v>
      </c>
      <c r="AT75" s="6" t="str">
        <f>HYPERLINK("http://www.worldcat.org/oclc/250374","WorldCat Record")</f>
        <v>WorldCat Record</v>
      </c>
      <c r="AU75" s="3" t="s">
        <v>961</v>
      </c>
      <c r="AV75" s="3" t="s">
        <v>962</v>
      </c>
      <c r="AW75" s="3" t="s">
        <v>963</v>
      </c>
      <c r="AX75" s="3" t="s">
        <v>963</v>
      </c>
      <c r="AY75" s="3" t="s">
        <v>964</v>
      </c>
      <c r="AZ75" s="3" t="s">
        <v>74</v>
      </c>
      <c r="BC75" s="3" t="s">
        <v>965</v>
      </c>
      <c r="BD75" s="3" t="s">
        <v>966</v>
      </c>
    </row>
    <row r="76" spans="1:56" ht="47.25" customHeight="1" x14ac:dyDescent="0.25">
      <c r="A76" s="7" t="s">
        <v>58</v>
      </c>
      <c r="B76" s="2" t="s">
        <v>967</v>
      </c>
      <c r="C76" s="2" t="s">
        <v>968</v>
      </c>
      <c r="D76" s="2" t="s">
        <v>969</v>
      </c>
      <c r="F76" s="3" t="s">
        <v>58</v>
      </c>
      <c r="G76" s="3" t="s">
        <v>59</v>
      </c>
      <c r="H76" s="3" t="s">
        <v>58</v>
      </c>
      <c r="I76" s="3" t="s">
        <v>58</v>
      </c>
      <c r="J76" s="3" t="s">
        <v>60</v>
      </c>
      <c r="L76" s="2" t="s">
        <v>970</v>
      </c>
      <c r="M76" s="3" t="s">
        <v>171</v>
      </c>
      <c r="O76" s="3" t="s">
        <v>65</v>
      </c>
      <c r="P76" s="3" t="s">
        <v>127</v>
      </c>
      <c r="R76" s="3" t="s">
        <v>67</v>
      </c>
      <c r="S76" s="4">
        <v>3</v>
      </c>
      <c r="T76" s="4">
        <v>3</v>
      </c>
      <c r="U76" s="5" t="s">
        <v>971</v>
      </c>
      <c r="V76" s="5" t="s">
        <v>971</v>
      </c>
      <c r="W76" s="5" t="s">
        <v>972</v>
      </c>
      <c r="X76" s="5" t="s">
        <v>972</v>
      </c>
      <c r="Y76" s="4">
        <v>296</v>
      </c>
      <c r="Z76" s="4">
        <v>196</v>
      </c>
      <c r="AA76" s="4">
        <v>208</v>
      </c>
      <c r="AB76" s="4">
        <v>2</v>
      </c>
      <c r="AC76" s="4">
        <v>2</v>
      </c>
      <c r="AD76" s="4">
        <v>10</v>
      </c>
      <c r="AE76" s="4">
        <v>10</v>
      </c>
      <c r="AF76" s="4">
        <v>2</v>
      </c>
      <c r="AG76" s="4">
        <v>2</v>
      </c>
      <c r="AH76" s="4">
        <v>3</v>
      </c>
      <c r="AI76" s="4">
        <v>3</v>
      </c>
      <c r="AJ76" s="4">
        <v>6</v>
      </c>
      <c r="AK76" s="4">
        <v>6</v>
      </c>
      <c r="AL76" s="4">
        <v>1</v>
      </c>
      <c r="AM76" s="4">
        <v>1</v>
      </c>
      <c r="AN76" s="4">
        <v>0</v>
      </c>
      <c r="AO76" s="4">
        <v>0</v>
      </c>
      <c r="AP76" s="3" t="s">
        <v>58</v>
      </c>
      <c r="AQ76" s="3" t="s">
        <v>58</v>
      </c>
      <c r="AS76" s="6" t="str">
        <f>HYPERLINK("https://creighton-primo.hosted.exlibrisgroup.com/primo-explore/search?tab=default_tab&amp;search_scope=EVERYTHING&amp;vid=01CRU&amp;lang=en_US&amp;offset=0&amp;query=any,contains,991003666499702656","Catalog Record")</f>
        <v>Catalog Record</v>
      </c>
      <c r="AT76" s="6" t="str">
        <f>HYPERLINK("http://www.worldcat.org/oclc/37211294","WorldCat Record")</f>
        <v>WorldCat Record</v>
      </c>
      <c r="AU76" s="3" t="s">
        <v>973</v>
      </c>
      <c r="AV76" s="3" t="s">
        <v>974</v>
      </c>
      <c r="AW76" s="3" t="s">
        <v>975</v>
      </c>
      <c r="AX76" s="3" t="s">
        <v>975</v>
      </c>
      <c r="AY76" s="3" t="s">
        <v>976</v>
      </c>
      <c r="AZ76" s="3" t="s">
        <v>74</v>
      </c>
      <c r="BB76" s="3" t="s">
        <v>977</v>
      </c>
      <c r="BC76" s="3" t="s">
        <v>978</v>
      </c>
      <c r="BD76" s="3" t="s">
        <v>979</v>
      </c>
    </row>
    <row r="77" spans="1:56" ht="47.25" customHeight="1" x14ac:dyDescent="0.25">
      <c r="A77" s="7" t="s">
        <v>58</v>
      </c>
      <c r="B77" s="2" t="s">
        <v>980</v>
      </c>
      <c r="C77" s="2" t="s">
        <v>981</v>
      </c>
      <c r="D77" s="2" t="s">
        <v>982</v>
      </c>
      <c r="F77" s="3" t="s">
        <v>58</v>
      </c>
      <c r="G77" s="3" t="s">
        <v>59</v>
      </c>
      <c r="H77" s="3" t="s">
        <v>58</v>
      </c>
      <c r="I77" s="3" t="s">
        <v>58</v>
      </c>
      <c r="J77" s="3" t="s">
        <v>60</v>
      </c>
      <c r="K77" s="2" t="s">
        <v>140</v>
      </c>
      <c r="L77" s="2" t="s">
        <v>983</v>
      </c>
      <c r="M77" s="3" t="s">
        <v>438</v>
      </c>
      <c r="N77" s="2" t="s">
        <v>984</v>
      </c>
      <c r="O77" s="3" t="s">
        <v>65</v>
      </c>
      <c r="P77" s="3" t="s">
        <v>143</v>
      </c>
      <c r="R77" s="3" t="s">
        <v>67</v>
      </c>
      <c r="S77" s="4">
        <v>5</v>
      </c>
      <c r="T77" s="4">
        <v>5</v>
      </c>
      <c r="U77" s="5" t="s">
        <v>889</v>
      </c>
      <c r="V77" s="5" t="s">
        <v>889</v>
      </c>
      <c r="W77" s="5" t="s">
        <v>129</v>
      </c>
      <c r="X77" s="5" t="s">
        <v>129</v>
      </c>
      <c r="Y77" s="4">
        <v>164</v>
      </c>
      <c r="Z77" s="4">
        <v>156</v>
      </c>
      <c r="AA77" s="4">
        <v>257</v>
      </c>
      <c r="AB77" s="4">
        <v>3</v>
      </c>
      <c r="AC77" s="4">
        <v>3</v>
      </c>
      <c r="AD77" s="4">
        <v>3</v>
      </c>
      <c r="AE77" s="4">
        <v>3</v>
      </c>
      <c r="AF77" s="4">
        <v>0</v>
      </c>
      <c r="AG77" s="4">
        <v>0</v>
      </c>
      <c r="AH77" s="4">
        <v>1</v>
      </c>
      <c r="AI77" s="4">
        <v>1</v>
      </c>
      <c r="AJ77" s="4">
        <v>0</v>
      </c>
      <c r="AK77" s="4">
        <v>0</v>
      </c>
      <c r="AL77" s="4">
        <v>2</v>
      </c>
      <c r="AM77" s="4">
        <v>2</v>
      </c>
      <c r="AN77" s="4">
        <v>0</v>
      </c>
      <c r="AO77" s="4">
        <v>0</v>
      </c>
      <c r="AP77" s="3" t="s">
        <v>58</v>
      </c>
      <c r="AQ77" s="3" t="s">
        <v>58</v>
      </c>
      <c r="AS77" s="6" t="str">
        <f>HYPERLINK("https://creighton-primo.hosted.exlibrisgroup.com/primo-explore/search?tab=default_tab&amp;search_scope=EVERYTHING&amp;vid=01CRU&amp;lang=en_US&amp;offset=0&amp;query=any,contains,991005196029702656","Catalog Record")</f>
        <v>Catalog Record</v>
      </c>
      <c r="AT77" s="6" t="str">
        <f>HYPERLINK("http://www.worldcat.org/oclc/8040450","WorldCat Record")</f>
        <v>WorldCat Record</v>
      </c>
      <c r="AU77" s="3" t="s">
        <v>985</v>
      </c>
      <c r="AV77" s="3" t="s">
        <v>986</v>
      </c>
      <c r="AW77" s="3" t="s">
        <v>987</v>
      </c>
      <c r="AX77" s="3" t="s">
        <v>987</v>
      </c>
      <c r="AY77" s="3" t="s">
        <v>988</v>
      </c>
      <c r="AZ77" s="3" t="s">
        <v>74</v>
      </c>
      <c r="BB77" s="3" t="s">
        <v>989</v>
      </c>
      <c r="BC77" s="3" t="s">
        <v>990</v>
      </c>
      <c r="BD77" s="3" t="s">
        <v>991</v>
      </c>
    </row>
    <row r="78" spans="1:56" ht="47.25" customHeight="1" x14ac:dyDescent="0.25">
      <c r="A78" s="7" t="s">
        <v>58</v>
      </c>
      <c r="B78" s="2" t="s">
        <v>992</v>
      </c>
      <c r="C78" s="2" t="s">
        <v>993</v>
      </c>
      <c r="D78" s="2" t="s">
        <v>994</v>
      </c>
      <c r="F78" s="3" t="s">
        <v>58</v>
      </c>
      <c r="G78" s="3" t="s">
        <v>59</v>
      </c>
      <c r="H78" s="3" t="s">
        <v>58</v>
      </c>
      <c r="I78" s="3" t="s">
        <v>58</v>
      </c>
      <c r="J78" s="3" t="s">
        <v>60</v>
      </c>
      <c r="K78" s="2" t="s">
        <v>995</v>
      </c>
      <c r="L78" s="2" t="s">
        <v>996</v>
      </c>
      <c r="M78" s="3" t="s">
        <v>659</v>
      </c>
      <c r="O78" s="3" t="s">
        <v>65</v>
      </c>
      <c r="P78" s="3" t="s">
        <v>66</v>
      </c>
      <c r="Q78" s="2" t="s">
        <v>997</v>
      </c>
      <c r="R78" s="3" t="s">
        <v>67</v>
      </c>
      <c r="S78" s="4">
        <v>1</v>
      </c>
      <c r="T78" s="4">
        <v>1</v>
      </c>
      <c r="U78" s="5" t="s">
        <v>998</v>
      </c>
      <c r="V78" s="5" t="s">
        <v>998</v>
      </c>
      <c r="W78" s="5" t="s">
        <v>998</v>
      </c>
      <c r="X78" s="5" t="s">
        <v>998</v>
      </c>
      <c r="Y78" s="4">
        <v>248</v>
      </c>
      <c r="Z78" s="4">
        <v>223</v>
      </c>
      <c r="AA78" s="4">
        <v>233</v>
      </c>
      <c r="AB78" s="4">
        <v>2</v>
      </c>
      <c r="AC78" s="4">
        <v>3</v>
      </c>
      <c r="AD78" s="4">
        <v>4</v>
      </c>
      <c r="AE78" s="4">
        <v>5</v>
      </c>
      <c r="AF78" s="4">
        <v>2</v>
      </c>
      <c r="AG78" s="4">
        <v>2</v>
      </c>
      <c r="AH78" s="4">
        <v>0</v>
      </c>
      <c r="AI78" s="4">
        <v>0</v>
      </c>
      <c r="AJ78" s="4">
        <v>2</v>
      </c>
      <c r="AK78" s="4">
        <v>2</v>
      </c>
      <c r="AL78" s="4">
        <v>1</v>
      </c>
      <c r="AM78" s="4">
        <v>2</v>
      </c>
      <c r="AN78" s="4">
        <v>0</v>
      </c>
      <c r="AO78" s="4">
        <v>0</v>
      </c>
      <c r="AP78" s="3" t="s">
        <v>58</v>
      </c>
      <c r="AQ78" s="3" t="s">
        <v>58</v>
      </c>
      <c r="AS78" s="6" t="str">
        <f>HYPERLINK("https://creighton-primo.hosted.exlibrisgroup.com/primo-explore/search?tab=default_tab&amp;search_scope=EVERYTHING&amp;vid=01CRU&amp;lang=en_US&amp;offset=0&amp;query=any,contains,991004852229702656","Catalog Record")</f>
        <v>Catalog Record</v>
      </c>
      <c r="AT78" s="6" t="str">
        <f>HYPERLINK("http://www.worldcat.org/oclc/55965668","WorldCat Record")</f>
        <v>WorldCat Record</v>
      </c>
      <c r="AU78" s="3" t="s">
        <v>999</v>
      </c>
      <c r="AV78" s="3" t="s">
        <v>1000</v>
      </c>
      <c r="AW78" s="3" t="s">
        <v>1001</v>
      </c>
      <c r="AX78" s="3" t="s">
        <v>1001</v>
      </c>
      <c r="AY78" s="3" t="s">
        <v>1002</v>
      </c>
      <c r="AZ78" s="3" t="s">
        <v>74</v>
      </c>
      <c r="BB78" s="3" t="s">
        <v>1003</v>
      </c>
      <c r="BC78" s="3" t="s">
        <v>1004</v>
      </c>
      <c r="BD78" s="3" t="s">
        <v>1005</v>
      </c>
    </row>
    <row r="79" spans="1:56" ht="47.25" customHeight="1" x14ac:dyDescent="0.25">
      <c r="A79" s="7" t="s">
        <v>58</v>
      </c>
      <c r="B79" s="2" t="s">
        <v>1006</v>
      </c>
      <c r="C79" s="2" t="s">
        <v>1007</v>
      </c>
      <c r="D79" s="2" t="s">
        <v>1008</v>
      </c>
      <c r="F79" s="3" t="s">
        <v>58</v>
      </c>
      <c r="G79" s="3" t="s">
        <v>59</v>
      </c>
      <c r="H79" s="3" t="s">
        <v>58</v>
      </c>
      <c r="I79" s="3" t="s">
        <v>58</v>
      </c>
      <c r="J79" s="3" t="s">
        <v>60</v>
      </c>
      <c r="K79" s="2" t="s">
        <v>1009</v>
      </c>
      <c r="L79" s="2" t="s">
        <v>1010</v>
      </c>
      <c r="M79" s="3" t="s">
        <v>63</v>
      </c>
      <c r="O79" s="3" t="s">
        <v>65</v>
      </c>
      <c r="P79" s="3" t="s">
        <v>1011</v>
      </c>
      <c r="R79" s="3" t="s">
        <v>67</v>
      </c>
      <c r="S79" s="4">
        <v>12</v>
      </c>
      <c r="T79" s="4">
        <v>12</v>
      </c>
      <c r="U79" s="5" t="s">
        <v>1012</v>
      </c>
      <c r="V79" s="5" t="s">
        <v>1012</v>
      </c>
      <c r="W79" s="5" t="s">
        <v>1013</v>
      </c>
      <c r="X79" s="5" t="s">
        <v>1013</v>
      </c>
      <c r="Y79" s="4">
        <v>1746</v>
      </c>
      <c r="Z79" s="4">
        <v>1655</v>
      </c>
      <c r="AA79" s="4">
        <v>1747</v>
      </c>
      <c r="AB79" s="4">
        <v>16</v>
      </c>
      <c r="AC79" s="4">
        <v>16</v>
      </c>
      <c r="AD79" s="4">
        <v>45</v>
      </c>
      <c r="AE79" s="4">
        <v>46</v>
      </c>
      <c r="AF79" s="4">
        <v>20</v>
      </c>
      <c r="AG79" s="4">
        <v>21</v>
      </c>
      <c r="AH79" s="4">
        <v>6</v>
      </c>
      <c r="AI79" s="4">
        <v>6</v>
      </c>
      <c r="AJ79" s="4">
        <v>18</v>
      </c>
      <c r="AK79" s="4">
        <v>18</v>
      </c>
      <c r="AL79" s="4">
        <v>10</v>
      </c>
      <c r="AM79" s="4">
        <v>10</v>
      </c>
      <c r="AN79" s="4">
        <v>0</v>
      </c>
      <c r="AO79" s="4">
        <v>0</v>
      </c>
      <c r="AP79" s="3" t="s">
        <v>58</v>
      </c>
      <c r="AQ79" s="3" t="s">
        <v>58</v>
      </c>
      <c r="AS79" s="6" t="str">
        <f>HYPERLINK("https://creighton-primo.hosted.exlibrisgroup.com/primo-explore/search?tab=default_tab&amp;search_scope=EVERYTHING&amp;vid=01CRU&amp;lang=en_US&amp;offset=0&amp;query=any,contains,991002494219702656","Catalog Record")</f>
        <v>Catalog Record</v>
      </c>
      <c r="AT79" s="6" t="str">
        <f>HYPERLINK("http://www.worldcat.org/oclc/32465059","WorldCat Record")</f>
        <v>WorldCat Record</v>
      </c>
      <c r="AU79" s="3" t="s">
        <v>1014</v>
      </c>
      <c r="AV79" s="3" t="s">
        <v>1015</v>
      </c>
      <c r="AW79" s="3" t="s">
        <v>1016</v>
      </c>
      <c r="AX79" s="3" t="s">
        <v>1016</v>
      </c>
      <c r="AY79" s="3" t="s">
        <v>1017</v>
      </c>
      <c r="AZ79" s="3" t="s">
        <v>74</v>
      </c>
      <c r="BB79" s="3" t="s">
        <v>1018</v>
      </c>
      <c r="BC79" s="3" t="s">
        <v>1019</v>
      </c>
      <c r="BD79" s="3" t="s">
        <v>1020</v>
      </c>
    </row>
    <row r="80" spans="1:56" ht="47.25" customHeight="1" x14ac:dyDescent="0.25">
      <c r="A80" s="7" t="s">
        <v>58</v>
      </c>
      <c r="B80" s="2" t="s">
        <v>1021</v>
      </c>
      <c r="C80" s="2" t="s">
        <v>1022</v>
      </c>
      <c r="D80" s="2" t="s">
        <v>1023</v>
      </c>
      <c r="F80" s="3" t="s">
        <v>58</v>
      </c>
      <c r="G80" s="3" t="s">
        <v>59</v>
      </c>
      <c r="H80" s="3" t="s">
        <v>58</v>
      </c>
      <c r="I80" s="3" t="s">
        <v>58</v>
      </c>
      <c r="J80" s="3" t="s">
        <v>60</v>
      </c>
      <c r="K80" s="2" t="s">
        <v>1024</v>
      </c>
      <c r="L80" s="2" t="s">
        <v>1025</v>
      </c>
      <c r="M80" s="3" t="s">
        <v>1026</v>
      </c>
      <c r="O80" s="3" t="s">
        <v>65</v>
      </c>
      <c r="P80" s="3" t="s">
        <v>100</v>
      </c>
      <c r="R80" s="3" t="s">
        <v>67</v>
      </c>
      <c r="S80" s="4">
        <v>1</v>
      </c>
      <c r="T80" s="4">
        <v>1</v>
      </c>
      <c r="U80" s="5" t="s">
        <v>1027</v>
      </c>
      <c r="V80" s="5" t="s">
        <v>1027</v>
      </c>
      <c r="W80" s="5" t="s">
        <v>1028</v>
      </c>
      <c r="X80" s="5" t="s">
        <v>1028</v>
      </c>
      <c r="Y80" s="4">
        <v>184</v>
      </c>
      <c r="Z80" s="4">
        <v>164</v>
      </c>
      <c r="AA80" s="4">
        <v>415</v>
      </c>
      <c r="AB80" s="4">
        <v>2</v>
      </c>
      <c r="AC80" s="4">
        <v>3</v>
      </c>
      <c r="AD80" s="4">
        <v>9</v>
      </c>
      <c r="AE80" s="4">
        <v>11</v>
      </c>
      <c r="AF80" s="4">
        <v>4</v>
      </c>
      <c r="AG80" s="4">
        <v>4</v>
      </c>
      <c r="AH80" s="4">
        <v>1</v>
      </c>
      <c r="AI80" s="4">
        <v>2</v>
      </c>
      <c r="AJ80" s="4">
        <v>4</v>
      </c>
      <c r="AK80" s="4">
        <v>5</v>
      </c>
      <c r="AL80" s="4">
        <v>1</v>
      </c>
      <c r="AM80" s="4">
        <v>1</v>
      </c>
      <c r="AN80" s="4">
        <v>0</v>
      </c>
      <c r="AO80" s="4">
        <v>0</v>
      </c>
      <c r="AP80" s="3" t="s">
        <v>58</v>
      </c>
      <c r="AQ80" s="3" t="s">
        <v>58</v>
      </c>
      <c r="AS80" s="6" t="str">
        <f>HYPERLINK("https://creighton-primo.hosted.exlibrisgroup.com/primo-explore/search?tab=default_tab&amp;search_scope=EVERYTHING&amp;vid=01CRU&amp;lang=en_US&amp;offset=0&amp;query=any,contains,991004513889702656","Catalog Record")</f>
        <v>Catalog Record</v>
      </c>
      <c r="AT80" s="6" t="str">
        <f>HYPERLINK("http://www.worldcat.org/oclc/55625672","WorldCat Record")</f>
        <v>WorldCat Record</v>
      </c>
      <c r="AU80" s="3" t="s">
        <v>1029</v>
      </c>
      <c r="AV80" s="3" t="s">
        <v>1030</v>
      </c>
      <c r="AW80" s="3" t="s">
        <v>1031</v>
      </c>
      <c r="AX80" s="3" t="s">
        <v>1031</v>
      </c>
      <c r="AY80" s="3" t="s">
        <v>1032</v>
      </c>
      <c r="AZ80" s="3" t="s">
        <v>74</v>
      </c>
      <c r="BB80" s="3" t="s">
        <v>1033</v>
      </c>
      <c r="BC80" s="3" t="s">
        <v>1034</v>
      </c>
      <c r="BD80" s="3" t="s">
        <v>1035</v>
      </c>
    </row>
    <row r="81" spans="1:56" ht="47.25" customHeight="1" x14ac:dyDescent="0.25">
      <c r="A81" s="7" t="s">
        <v>58</v>
      </c>
      <c r="B81" s="2" t="s">
        <v>1036</v>
      </c>
      <c r="C81" s="2" t="s">
        <v>1037</v>
      </c>
      <c r="D81" s="2" t="s">
        <v>1038</v>
      </c>
      <c r="F81" s="3" t="s">
        <v>58</v>
      </c>
      <c r="G81" s="3" t="s">
        <v>59</v>
      </c>
      <c r="H81" s="3" t="s">
        <v>58</v>
      </c>
      <c r="I81" s="3" t="s">
        <v>58</v>
      </c>
      <c r="J81" s="3" t="s">
        <v>60</v>
      </c>
      <c r="K81" s="2" t="s">
        <v>1039</v>
      </c>
      <c r="L81" s="2" t="s">
        <v>1040</v>
      </c>
      <c r="M81" s="3" t="s">
        <v>83</v>
      </c>
      <c r="N81" s="2" t="s">
        <v>1041</v>
      </c>
      <c r="O81" s="3" t="s">
        <v>65</v>
      </c>
      <c r="P81" s="3" t="s">
        <v>100</v>
      </c>
      <c r="Q81" s="2" t="s">
        <v>1042</v>
      </c>
      <c r="R81" s="3" t="s">
        <v>67</v>
      </c>
      <c r="S81" s="4">
        <v>4</v>
      </c>
      <c r="T81" s="4">
        <v>4</v>
      </c>
      <c r="U81" s="5" t="s">
        <v>1043</v>
      </c>
      <c r="V81" s="5" t="s">
        <v>1043</v>
      </c>
      <c r="W81" s="5" t="s">
        <v>1044</v>
      </c>
      <c r="X81" s="5" t="s">
        <v>1044</v>
      </c>
      <c r="Y81" s="4">
        <v>97</v>
      </c>
      <c r="Z81" s="4">
        <v>85</v>
      </c>
      <c r="AA81" s="4">
        <v>1476</v>
      </c>
      <c r="AB81" s="4">
        <v>1</v>
      </c>
      <c r="AC81" s="4">
        <v>14</v>
      </c>
      <c r="AD81" s="4">
        <v>2</v>
      </c>
      <c r="AE81" s="4">
        <v>20</v>
      </c>
      <c r="AF81" s="4">
        <v>1</v>
      </c>
      <c r="AG81" s="4">
        <v>11</v>
      </c>
      <c r="AH81" s="4">
        <v>1</v>
      </c>
      <c r="AI81" s="4">
        <v>2</v>
      </c>
      <c r="AJ81" s="4">
        <v>1</v>
      </c>
      <c r="AK81" s="4">
        <v>10</v>
      </c>
      <c r="AL81" s="4">
        <v>0</v>
      </c>
      <c r="AM81" s="4">
        <v>2</v>
      </c>
      <c r="AN81" s="4">
        <v>0</v>
      </c>
      <c r="AO81" s="4">
        <v>0</v>
      </c>
      <c r="AP81" s="3" t="s">
        <v>58</v>
      </c>
      <c r="AQ81" s="3" t="s">
        <v>69</v>
      </c>
      <c r="AR81" s="6" t="str">
        <f>HYPERLINK("http://catalog.hathitrust.org/Record/007044412","HathiTrust Record")</f>
        <v>HathiTrust Record</v>
      </c>
      <c r="AS81" s="6" t="str">
        <f>HYPERLINK("https://creighton-primo.hosted.exlibrisgroup.com/primo-explore/search?tab=default_tab&amp;search_scope=EVERYTHING&amp;vid=01CRU&amp;lang=en_US&amp;offset=0&amp;query=any,contains,991004256049702656","Catalog Record")</f>
        <v>Catalog Record</v>
      </c>
      <c r="AT81" s="6" t="str">
        <f>HYPERLINK("http://www.worldcat.org/oclc/2825447","WorldCat Record")</f>
        <v>WorldCat Record</v>
      </c>
      <c r="AU81" s="3" t="s">
        <v>1045</v>
      </c>
      <c r="AV81" s="3" t="s">
        <v>1046</v>
      </c>
      <c r="AW81" s="3" t="s">
        <v>1047</v>
      </c>
      <c r="AX81" s="3" t="s">
        <v>1047</v>
      </c>
      <c r="AY81" s="3" t="s">
        <v>1048</v>
      </c>
      <c r="AZ81" s="3" t="s">
        <v>74</v>
      </c>
      <c r="BC81" s="3" t="s">
        <v>1049</v>
      </c>
      <c r="BD81" s="3" t="s">
        <v>1050</v>
      </c>
    </row>
    <row r="82" spans="1:56" ht="47.25" customHeight="1" x14ac:dyDescent="0.25">
      <c r="A82" s="7" t="s">
        <v>58</v>
      </c>
      <c r="B82" s="2" t="s">
        <v>1051</v>
      </c>
      <c r="C82" s="2" t="s">
        <v>1052</v>
      </c>
      <c r="D82" s="2" t="s">
        <v>1053</v>
      </c>
      <c r="E82" s="3" t="s">
        <v>277</v>
      </c>
      <c r="F82" s="3" t="s">
        <v>69</v>
      </c>
      <c r="G82" s="3" t="s">
        <v>59</v>
      </c>
      <c r="H82" s="3" t="s">
        <v>58</v>
      </c>
      <c r="I82" s="3" t="s">
        <v>58</v>
      </c>
      <c r="J82" s="3" t="s">
        <v>60</v>
      </c>
      <c r="K82" s="2" t="s">
        <v>1054</v>
      </c>
      <c r="L82" s="2" t="s">
        <v>1055</v>
      </c>
      <c r="M82" s="3" t="s">
        <v>1056</v>
      </c>
      <c r="O82" s="3" t="s">
        <v>65</v>
      </c>
      <c r="P82" s="3" t="s">
        <v>282</v>
      </c>
      <c r="Q82" s="2" t="s">
        <v>1057</v>
      </c>
      <c r="R82" s="3" t="s">
        <v>67</v>
      </c>
      <c r="S82" s="4">
        <v>1</v>
      </c>
      <c r="T82" s="4">
        <v>4</v>
      </c>
      <c r="U82" s="5" t="s">
        <v>1058</v>
      </c>
      <c r="V82" s="5" t="s">
        <v>128</v>
      </c>
      <c r="W82" s="5" t="s">
        <v>87</v>
      </c>
      <c r="X82" s="5" t="s">
        <v>87</v>
      </c>
      <c r="Y82" s="4">
        <v>300</v>
      </c>
      <c r="Z82" s="4">
        <v>244</v>
      </c>
      <c r="AA82" s="4">
        <v>422</v>
      </c>
      <c r="AB82" s="4">
        <v>3</v>
      </c>
      <c r="AC82" s="4">
        <v>4</v>
      </c>
      <c r="AD82" s="4">
        <v>4</v>
      </c>
      <c r="AE82" s="4">
        <v>14</v>
      </c>
      <c r="AF82" s="4">
        <v>0</v>
      </c>
      <c r="AG82" s="4">
        <v>5</v>
      </c>
      <c r="AH82" s="4">
        <v>2</v>
      </c>
      <c r="AI82" s="4">
        <v>3</v>
      </c>
      <c r="AJ82" s="4">
        <v>2</v>
      </c>
      <c r="AK82" s="4">
        <v>6</v>
      </c>
      <c r="AL82" s="4">
        <v>2</v>
      </c>
      <c r="AM82" s="4">
        <v>3</v>
      </c>
      <c r="AN82" s="4">
        <v>0</v>
      </c>
      <c r="AO82" s="4">
        <v>0</v>
      </c>
      <c r="AP82" s="3" t="s">
        <v>58</v>
      </c>
      <c r="AQ82" s="3" t="s">
        <v>58</v>
      </c>
      <c r="AR82" s="6" t="str">
        <f>HYPERLINK("http://catalog.hathitrust.org/Record/001497059","HathiTrust Record")</f>
        <v>HathiTrust Record</v>
      </c>
      <c r="AS82" s="6" t="str">
        <f>HYPERLINK("https://creighton-primo.hosted.exlibrisgroup.com/primo-explore/search?tab=default_tab&amp;search_scope=EVERYTHING&amp;vid=01CRU&amp;lang=en_US&amp;offset=0&amp;query=any,contains,991003575519702656","Catalog Record")</f>
        <v>Catalog Record</v>
      </c>
      <c r="AT82" s="6" t="str">
        <f>HYPERLINK("http://www.worldcat.org/oclc/1153162","WorldCat Record")</f>
        <v>WorldCat Record</v>
      </c>
      <c r="AU82" s="3" t="s">
        <v>1059</v>
      </c>
      <c r="AV82" s="3" t="s">
        <v>1060</v>
      </c>
      <c r="AW82" s="3" t="s">
        <v>1061</v>
      </c>
      <c r="AX82" s="3" t="s">
        <v>1061</v>
      </c>
      <c r="AY82" s="3" t="s">
        <v>1062</v>
      </c>
      <c r="AZ82" s="3" t="s">
        <v>74</v>
      </c>
      <c r="BC82" s="3" t="s">
        <v>1063</v>
      </c>
      <c r="BD82" s="3" t="s">
        <v>1064</v>
      </c>
    </row>
    <row r="83" spans="1:56" ht="47.25" customHeight="1" x14ac:dyDescent="0.25">
      <c r="A83" s="7" t="s">
        <v>58</v>
      </c>
      <c r="B83" s="2" t="s">
        <v>1051</v>
      </c>
      <c r="C83" s="2" t="s">
        <v>1052</v>
      </c>
      <c r="D83" s="2" t="s">
        <v>1053</v>
      </c>
      <c r="E83" s="3" t="s">
        <v>293</v>
      </c>
      <c r="F83" s="3" t="s">
        <v>69</v>
      </c>
      <c r="G83" s="3" t="s">
        <v>59</v>
      </c>
      <c r="H83" s="3" t="s">
        <v>58</v>
      </c>
      <c r="I83" s="3" t="s">
        <v>58</v>
      </c>
      <c r="J83" s="3" t="s">
        <v>60</v>
      </c>
      <c r="K83" s="2" t="s">
        <v>1054</v>
      </c>
      <c r="L83" s="2" t="s">
        <v>1055</v>
      </c>
      <c r="M83" s="3" t="s">
        <v>1056</v>
      </c>
      <c r="O83" s="3" t="s">
        <v>65</v>
      </c>
      <c r="P83" s="3" t="s">
        <v>282</v>
      </c>
      <c r="Q83" s="2" t="s">
        <v>1057</v>
      </c>
      <c r="R83" s="3" t="s">
        <v>67</v>
      </c>
      <c r="S83" s="4">
        <v>2</v>
      </c>
      <c r="T83" s="4">
        <v>4</v>
      </c>
      <c r="U83" s="5" t="s">
        <v>128</v>
      </c>
      <c r="V83" s="5" t="s">
        <v>128</v>
      </c>
      <c r="W83" s="5" t="s">
        <v>87</v>
      </c>
      <c r="X83" s="5" t="s">
        <v>87</v>
      </c>
      <c r="Y83" s="4">
        <v>300</v>
      </c>
      <c r="Z83" s="4">
        <v>244</v>
      </c>
      <c r="AA83" s="4">
        <v>422</v>
      </c>
      <c r="AB83" s="4">
        <v>3</v>
      </c>
      <c r="AC83" s="4">
        <v>4</v>
      </c>
      <c r="AD83" s="4">
        <v>4</v>
      </c>
      <c r="AE83" s="4">
        <v>14</v>
      </c>
      <c r="AF83" s="4">
        <v>0</v>
      </c>
      <c r="AG83" s="4">
        <v>5</v>
      </c>
      <c r="AH83" s="4">
        <v>2</v>
      </c>
      <c r="AI83" s="4">
        <v>3</v>
      </c>
      <c r="AJ83" s="4">
        <v>2</v>
      </c>
      <c r="AK83" s="4">
        <v>6</v>
      </c>
      <c r="AL83" s="4">
        <v>2</v>
      </c>
      <c r="AM83" s="4">
        <v>3</v>
      </c>
      <c r="AN83" s="4">
        <v>0</v>
      </c>
      <c r="AO83" s="4">
        <v>0</v>
      </c>
      <c r="AP83" s="3" t="s">
        <v>58</v>
      </c>
      <c r="AQ83" s="3" t="s">
        <v>58</v>
      </c>
      <c r="AR83" s="6" t="str">
        <f>HYPERLINK("http://catalog.hathitrust.org/Record/001497059","HathiTrust Record")</f>
        <v>HathiTrust Record</v>
      </c>
      <c r="AS83" s="6" t="str">
        <f>HYPERLINK("https://creighton-primo.hosted.exlibrisgroup.com/primo-explore/search?tab=default_tab&amp;search_scope=EVERYTHING&amp;vid=01CRU&amp;lang=en_US&amp;offset=0&amp;query=any,contains,991003575519702656","Catalog Record")</f>
        <v>Catalog Record</v>
      </c>
      <c r="AT83" s="6" t="str">
        <f>HYPERLINK("http://www.worldcat.org/oclc/1153162","WorldCat Record")</f>
        <v>WorldCat Record</v>
      </c>
      <c r="AU83" s="3" t="s">
        <v>1059</v>
      </c>
      <c r="AV83" s="3" t="s">
        <v>1060</v>
      </c>
      <c r="AW83" s="3" t="s">
        <v>1061</v>
      </c>
      <c r="AX83" s="3" t="s">
        <v>1061</v>
      </c>
      <c r="AY83" s="3" t="s">
        <v>1062</v>
      </c>
      <c r="AZ83" s="3" t="s">
        <v>74</v>
      </c>
      <c r="BC83" s="3" t="s">
        <v>1065</v>
      </c>
      <c r="BD83" s="3" t="s">
        <v>1066</v>
      </c>
    </row>
    <row r="84" spans="1:56" ht="47.25" customHeight="1" x14ac:dyDescent="0.25">
      <c r="A84" s="7" t="s">
        <v>58</v>
      </c>
      <c r="B84" s="2" t="s">
        <v>1051</v>
      </c>
      <c r="C84" s="2" t="s">
        <v>1052</v>
      </c>
      <c r="D84" s="2" t="s">
        <v>1053</v>
      </c>
      <c r="E84" s="3" t="s">
        <v>290</v>
      </c>
      <c r="F84" s="3" t="s">
        <v>69</v>
      </c>
      <c r="G84" s="3" t="s">
        <v>59</v>
      </c>
      <c r="H84" s="3" t="s">
        <v>58</v>
      </c>
      <c r="I84" s="3" t="s">
        <v>58</v>
      </c>
      <c r="J84" s="3" t="s">
        <v>60</v>
      </c>
      <c r="K84" s="2" t="s">
        <v>1054</v>
      </c>
      <c r="L84" s="2" t="s">
        <v>1055</v>
      </c>
      <c r="M84" s="3" t="s">
        <v>1056</v>
      </c>
      <c r="O84" s="3" t="s">
        <v>65</v>
      </c>
      <c r="P84" s="3" t="s">
        <v>282</v>
      </c>
      <c r="Q84" s="2" t="s">
        <v>1057</v>
      </c>
      <c r="R84" s="3" t="s">
        <v>67</v>
      </c>
      <c r="S84" s="4">
        <v>1</v>
      </c>
      <c r="T84" s="4">
        <v>4</v>
      </c>
      <c r="U84" s="5" t="s">
        <v>688</v>
      </c>
      <c r="V84" s="5" t="s">
        <v>128</v>
      </c>
      <c r="W84" s="5" t="s">
        <v>87</v>
      </c>
      <c r="X84" s="5" t="s">
        <v>87</v>
      </c>
      <c r="Y84" s="4">
        <v>300</v>
      </c>
      <c r="Z84" s="4">
        <v>244</v>
      </c>
      <c r="AA84" s="4">
        <v>422</v>
      </c>
      <c r="AB84" s="4">
        <v>3</v>
      </c>
      <c r="AC84" s="4">
        <v>4</v>
      </c>
      <c r="AD84" s="4">
        <v>4</v>
      </c>
      <c r="AE84" s="4">
        <v>14</v>
      </c>
      <c r="AF84" s="4">
        <v>0</v>
      </c>
      <c r="AG84" s="4">
        <v>5</v>
      </c>
      <c r="AH84" s="4">
        <v>2</v>
      </c>
      <c r="AI84" s="4">
        <v>3</v>
      </c>
      <c r="AJ84" s="4">
        <v>2</v>
      </c>
      <c r="AK84" s="4">
        <v>6</v>
      </c>
      <c r="AL84" s="4">
        <v>2</v>
      </c>
      <c r="AM84" s="4">
        <v>3</v>
      </c>
      <c r="AN84" s="4">
        <v>0</v>
      </c>
      <c r="AO84" s="4">
        <v>0</v>
      </c>
      <c r="AP84" s="3" t="s">
        <v>58</v>
      </c>
      <c r="AQ84" s="3" t="s">
        <v>58</v>
      </c>
      <c r="AR84" s="6" t="str">
        <f>HYPERLINK("http://catalog.hathitrust.org/Record/001497059","HathiTrust Record")</f>
        <v>HathiTrust Record</v>
      </c>
      <c r="AS84" s="6" t="str">
        <f>HYPERLINK("https://creighton-primo.hosted.exlibrisgroup.com/primo-explore/search?tab=default_tab&amp;search_scope=EVERYTHING&amp;vid=01CRU&amp;lang=en_US&amp;offset=0&amp;query=any,contains,991003575519702656","Catalog Record")</f>
        <v>Catalog Record</v>
      </c>
      <c r="AT84" s="6" t="str">
        <f>HYPERLINK("http://www.worldcat.org/oclc/1153162","WorldCat Record")</f>
        <v>WorldCat Record</v>
      </c>
      <c r="AU84" s="3" t="s">
        <v>1059</v>
      </c>
      <c r="AV84" s="3" t="s">
        <v>1060</v>
      </c>
      <c r="AW84" s="3" t="s">
        <v>1061</v>
      </c>
      <c r="AX84" s="3" t="s">
        <v>1061</v>
      </c>
      <c r="AY84" s="3" t="s">
        <v>1062</v>
      </c>
      <c r="AZ84" s="3" t="s">
        <v>74</v>
      </c>
      <c r="BC84" s="3" t="s">
        <v>1067</v>
      </c>
      <c r="BD84" s="3" t="s">
        <v>1068</v>
      </c>
    </row>
    <row r="85" spans="1:56" ht="47.25" customHeight="1" x14ac:dyDescent="0.25">
      <c r="A85" s="7" t="s">
        <v>58</v>
      </c>
      <c r="B85" s="2" t="s">
        <v>1069</v>
      </c>
      <c r="C85" s="2" t="s">
        <v>1070</v>
      </c>
      <c r="D85" s="2" t="s">
        <v>1071</v>
      </c>
      <c r="F85" s="3" t="s">
        <v>58</v>
      </c>
      <c r="G85" s="3" t="s">
        <v>59</v>
      </c>
      <c r="H85" s="3" t="s">
        <v>58</v>
      </c>
      <c r="I85" s="3" t="s">
        <v>58</v>
      </c>
      <c r="J85" s="3" t="s">
        <v>60</v>
      </c>
      <c r="K85" s="2" t="s">
        <v>1072</v>
      </c>
      <c r="L85" s="2" t="s">
        <v>1073</v>
      </c>
      <c r="M85" s="3" t="s">
        <v>1074</v>
      </c>
      <c r="N85" s="2" t="s">
        <v>1075</v>
      </c>
      <c r="O85" s="3" t="s">
        <v>65</v>
      </c>
      <c r="P85" s="3" t="s">
        <v>282</v>
      </c>
      <c r="R85" s="3" t="s">
        <v>67</v>
      </c>
      <c r="S85" s="4">
        <v>1</v>
      </c>
      <c r="T85" s="4">
        <v>1</v>
      </c>
      <c r="U85" s="5" t="s">
        <v>1058</v>
      </c>
      <c r="V85" s="5" t="s">
        <v>1058</v>
      </c>
      <c r="W85" s="5" t="s">
        <v>87</v>
      </c>
      <c r="X85" s="5" t="s">
        <v>87</v>
      </c>
      <c r="Y85" s="4">
        <v>98</v>
      </c>
      <c r="Z85" s="4">
        <v>96</v>
      </c>
      <c r="AA85" s="4">
        <v>483</v>
      </c>
      <c r="AB85" s="4">
        <v>1</v>
      </c>
      <c r="AC85" s="4">
        <v>2</v>
      </c>
      <c r="AD85" s="4">
        <v>4</v>
      </c>
      <c r="AE85" s="4">
        <v>20</v>
      </c>
      <c r="AF85" s="4">
        <v>3</v>
      </c>
      <c r="AG85" s="4">
        <v>10</v>
      </c>
      <c r="AH85" s="4">
        <v>2</v>
      </c>
      <c r="AI85" s="4">
        <v>6</v>
      </c>
      <c r="AJ85" s="4">
        <v>2</v>
      </c>
      <c r="AK85" s="4">
        <v>10</v>
      </c>
      <c r="AL85" s="4">
        <v>0</v>
      </c>
      <c r="AM85" s="4">
        <v>1</v>
      </c>
      <c r="AN85" s="4">
        <v>0</v>
      </c>
      <c r="AO85" s="4">
        <v>0</v>
      </c>
      <c r="AP85" s="3" t="s">
        <v>69</v>
      </c>
      <c r="AQ85" s="3" t="s">
        <v>58</v>
      </c>
      <c r="AR85" s="6" t="str">
        <f>HYPERLINK("http://catalog.hathitrust.org/Record/001496358","HathiTrust Record")</f>
        <v>HathiTrust Record</v>
      </c>
      <c r="AS85" s="6" t="str">
        <f>HYPERLINK("https://creighton-primo.hosted.exlibrisgroup.com/primo-explore/search?tab=default_tab&amp;search_scope=EVERYTHING&amp;vid=01CRU&amp;lang=en_US&amp;offset=0&amp;query=any,contains,991003452699702656","Catalog Record")</f>
        <v>Catalog Record</v>
      </c>
      <c r="AT85" s="6" t="str">
        <f>HYPERLINK("http://www.worldcat.org/oclc/991793","WorldCat Record")</f>
        <v>WorldCat Record</v>
      </c>
      <c r="AU85" s="3" t="s">
        <v>1076</v>
      </c>
      <c r="AV85" s="3" t="s">
        <v>1077</v>
      </c>
      <c r="AW85" s="3" t="s">
        <v>1078</v>
      </c>
      <c r="AX85" s="3" t="s">
        <v>1078</v>
      </c>
      <c r="AY85" s="3" t="s">
        <v>1079</v>
      </c>
      <c r="AZ85" s="3" t="s">
        <v>74</v>
      </c>
      <c r="BC85" s="3" t="s">
        <v>1080</v>
      </c>
      <c r="BD85" s="3" t="s">
        <v>1081</v>
      </c>
    </row>
    <row r="86" spans="1:56" ht="47.25" customHeight="1" x14ac:dyDescent="0.25">
      <c r="A86" s="7" t="s">
        <v>58</v>
      </c>
      <c r="B86" s="2" t="s">
        <v>1082</v>
      </c>
      <c r="C86" s="2" t="s">
        <v>1083</v>
      </c>
      <c r="D86" s="2" t="s">
        <v>1084</v>
      </c>
      <c r="F86" s="3" t="s">
        <v>58</v>
      </c>
      <c r="G86" s="3" t="s">
        <v>59</v>
      </c>
      <c r="H86" s="3" t="s">
        <v>58</v>
      </c>
      <c r="I86" s="3" t="s">
        <v>58</v>
      </c>
      <c r="J86" s="3" t="s">
        <v>60</v>
      </c>
      <c r="K86" s="2" t="s">
        <v>1085</v>
      </c>
      <c r="L86" s="2" t="s">
        <v>1086</v>
      </c>
      <c r="M86" s="3" t="s">
        <v>644</v>
      </c>
      <c r="O86" s="3" t="s">
        <v>65</v>
      </c>
      <c r="P86" s="3" t="s">
        <v>127</v>
      </c>
      <c r="Q86" s="2" t="s">
        <v>1087</v>
      </c>
      <c r="R86" s="3" t="s">
        <v>67</v>
      </c>
      <c r="S86" s="4">
        <v>1</v>
      </c>
      <c r="T86" s="4">
        <v>1</v>
      </c>
      <c r="U86" s="5" t="s">
        <v>1058</v>
      </c>
      <c r="V86" s="5" t="s">
        <v>1058</v>
      </c>
      <c r="W86" s="5" t="s">
        <v>87</v>
      </c>
      <c r="X86" s="5" t="s">
        <v>87</v>
      </c>
      <c r="Y86" s="4">
        <v>412</v>
      </c>
      <c r="Z86" s="4">
        <v>314</v>
      </c>
      <c r="AA86" s="4">
        <v>551</v>
      </c>
      <c r="AB86" s="4">
        <v>2</v>
      </c>
      <c r="AC86" s="4">
        <v>4</v>
      </c>
      <c r="AD86" s="4">
        <v>7</v>
      </c>
      <c r="AE86" s="4">
        <v>16</v>
      </c>
      <c r="AF86" s="4">
        <v>4</v>
      </c>
      <c r="AG86" s="4">
        <v>6</v>
      </c>
      <c r="AH86" s="4">
        <v>2</v>
      </c>
      <c r="AI86" s="4">
        <v>4</v>
      </c>
      <c r="AJ86" s="4">
        <v>3</v>
      </c>
      <c r="AK86" s="4">
        <v>7</v>
      </c>
      <c r="AL86" s="4">
        <v>1</v>
      </c>
      <c r="AM86" s="4">
        <v>3</v>
      </c>
      <c r="AN86" s="4">
        <v>0</v>
      </c>
      <c r="AO86" s="4">
        <v>0</v>
      </c>
      <c r="AP86" s="3" t="s">
        <v>58</v>
      </c>
      <c r="AQ86" s="3" t="s">
        <v>69</v>
      </c>
      <c r="AR86" s="6" t="str">
        <f>HYPERLINK("http://catalog.hathitrust.org/Record/002105013","HathiTrust Record")</f>
        <v>HathiTrust Record</v>
      </c>
      <c r="AS86" s="6" t="str">
        <f>HYPERLINK("https://creighton-primo.hosted.exlibrisgroup.com/primo-explore/search?tab=default_tab&amp;search_scope=EVERYTHING&amp;vid=01CRU&amp;lang=en_US&amp;offset=0&amp;query=any,contains,991002747339702656","Catalog Record")</f>
        <v>Catalog Record</v>
      </c>
      <c r="AT86" s="6" t="str">
        <f>HYPERLINK("http://www.worldcat.org/oclc/423310","WorldCat Record")</f>
        <v>WorldCat Record</v>
      </c>
      <c r="AU86" s="3" t="s">
        <v>1088</v>
      </c>
      <c r="AV86" s="3" t="s">
        <v>1089</v>
      </c>
      <c r="AW86" s="3" t="s">
        <v>1090</v>
      </c>
      <c r="AX86" s="3" t="s">
        <v>1090</v>
      </c>
      <c r="AY86" s="3" t="s">
        <v>1091</v>
      </c>
      <c r="AZ86" s="3" t="s">
        <v>74</v>
      </c>
      <c r="BC86" s="3" t="s">
        <v>1092</v>
      </c>
      <c r="BD86" s="3" t="s">
        <v>1093</v>
      </c>
    </row>
    <row r="87" spans="1:56" ht="47.25" customHeight="1" x14ac:dyDescent="0.25">
      <c r="A87" s="7" t="s">
        <v>58</v>
      </c>
      <c r="B87" s="2" t="s">
        <v>1094</v>
      </c>
      <c r="C87" s="2" t="s">
        <v>1095</v>
      </c>
      <c r="D87" s="2" t="s">
        <v>1096</v>
      </c>
      <c r="F87" s="3" t="s">
        <v>58</v>
      </c>
      <c r="G87" s="3" t="s">
        <v>59</v>
      </c>
      <c r="H87" s="3" t="s">
        <v>58</v>
      </c>
      <c r="I87" s="3" t="s">
        <v>58</v>
      </c>
      <c r="J87" s="3" t="s">
        <v>60</v>
      </c>
      <c r="L87" s="2" t="s">
        <v>1097</v>
      </c>
      <c r="M87" s="3" t="s">
        <v>126</v>
      </c>
      <c r="O87" s="3" t="s">
        <v>65</v>
      </c>
      <c r="P87" s="3" t="s">
        <v>127</v>
      </c>
      <c r="Q87" s="2" t="s">
        <v>1098</v>
      </c>
      <c r="R87" s="3" t="s">
        <v>67</v>
      </c>
      <c r="S87" s="4">
        <v>10</v>
      </c>
      <c r="T87" s="4">
        <v>10</v>
      </c>
      <c r="U87" s="5" t="s">
        <v>1099</v>
      </c>
      <c r="V87" s="5" t="s">
        <v>1099</v>
      </c>
      <c r="W87" s="5" t="s">
        <v>129</v>
      </c>
      <c r="X87" s="5" t="s">
        <v>129</v>
      </c>
      <c r="Y87" s="4">
        <v>287</v>
      </c>
      <c r="Z87" s="4">
        <v>172</v>
      </c>
      <c r="AA87" s="4">
        <v>173</v>
      </c>
      <c r="AB87" s="4">
        <v>2</v>
      </c>
      <c r="AC87" s="4">
        <v>2</v>
      </c>
      <c r="AD87" s="4">
        <v>8</v>
      </c>
      <c r="AE87" s="4">
        <v>8</v>
      </c>
      <c r="AF87" s="4">
        <v>1</v>
      </c>
      <c r="AG87" s="4">
        <v>1</v>
      </c>
      <c r="AH87" s="4">
        <v>4</v>
      </c>
      <c r="AI87" s="4">
        <v>4</v>
      </c>
      <c r="AJ87" s="4">
        <v>5</v>
      </c>
      <c r="AK87" s="4">
        <v>5</v>
      </c>
      <c r="AL87" s="4">
        <v>1</v>
      </c>
      <c r="AM87" s="4">
        <v>1</v>
      </c>
      <c r="AN87" s="4">
        <v>0</v>
      </c>
      <c r="AO87" s="4">
        <v>0</v>
      </c>
      <c r="AP87" s="3" t="s">
        <v>58</v>
      </c>
      <c r="AQ87" s="3" t="s">
        <v>69</v>
      </c>
      <c r="AR87" s="6" t="str">
        <f>HYPERLINK("http://catalog.hathitrust.org/Record/001540465","HathiTrust Record")</f>
        <v>HathiTrust Record</v>
      </c>
      <c r="AS87" s="6" t="str">
        <f>HYPERLINK("https://creighton-primo.hosted.exlibrisgroup.com/primo-explore/search?tab=default_tab&amp;search_scope=EVERYTHING&amp;vid=01CRU&amp;lang=en_US&amp;offset=0&amp;query=any,contains,991001278099702656","Catalog Record")</f>
        <v>Catalog Record</v>
      </c>
      <c r="AT87" s="6" t="str">
        <f>HYPERLINK("http://www.worldcat.org/oclc/17878384","WorldCat Record")</f>
        <v>WorldCat Record</v>
      </c>
      <c r="AU87" s="3" t="s">
        <v>1100</v>
      </c>
      <c r="AV87" s="3" t="s">
        <v>1101</v>
      </c>
      <c r="AW87" s="3" t="s">
        <v>1102</v>
      </c>
      <c r="AX87" s="3" t="s">
        <v>1102</v>
      </c>
      <c r="AY87" s="3" t="s">
        <v>1103</v>
      </c>
      <c r="AZ87" s="3" t="s">
        <v>74</v>
      </c>
      <c r="BB87" s="3" t="s">
        <v>1104</v>
      </c>
      <c r="BC87" s="3" t="s">
        <v>1105</v>
      </c>
      <c r="BD87" s="3" t="s">
        <v>1106</v>
      </c>
    </row>
    <row r="88" spans="1:56" ht="47.25" customHeight="1" x14ac:dyDescent="0.25">
      <c r="A88" s="7" t="s">
        <v>58</v>
      </c>
      <c r="B88" s="2" t="s">
        <v>1107</v>
      </c>
      <c r="C88" s="2" t="s">
        <v>1108</v>
      </c>
      <c r="D88" s="2" t="s">
        <v>1109</v>
      </c>
      <c r="F88" s="3" t="s">
        <v>58</v>
      </c>
      <c r="G88" s="3" t="s">
        <v>59</v>
      </c>
      <c r="H88" s="3" t="s">
        <v>58</v>
      </c>
      <c r="I88" s="3" t="s">
        <v>58</v>
      </c>
      <c r="J88" s="3" t="s">
        <v>60</v>
      </c>
      <c r="K88" s="2" t="s">
        <v>1110</v>
      </c>
      <c r="L88" s="2" t="s">
        <v>1111</v>
      </c>
      <c r="M88" s="3" t="s">
        <v>1112</v>
      </c>
      <c r="O88" s="3" t="s">
        <v>65</v>
      </c>
      <c r="P88" s="3" t="s">
        <v>127</v>
      </c>
      <c r="R88" s="3" t="s">
        <v>67</v>
      </c>
      <c r="S88" s="4">
        <v>12</v>
      </c>
      <c r="T88" s="4">
        <v>12</v>
      </c>
      <c r="U88" s="5" t="s">
        <v>1113</v>
      </c>
      <c r="V88" s="5" t="s">
        <v>1113</v>
      </c>
      <c r="W88" s="5" t="s">
        <v>129</v>
      </c>
      <c r="X88" s="5" t="s">
        <v>129</v>
      </c>
      <c r="Y88" s="4">
        <v>355</v>
      </c>
      <c r="Z88" s="4">
        <v>196</v>
      </c>
      <c r="AA88" s="4">
        <v>217</v>
      </c>
      <c r="AB88" s="4">
        <v>3</v>
      </c>
      <c r="AC88" s="4">
        <v>3</v>
      </c>
      <c r="AD88" s="4">
        <v>11</v>
      </c>
      <c r="AE88" s="4">
        <v>11</v>
      </c>
      <c r="AF88" s="4">
        <v>3</v>
      </c>
      <c r="AG88" s="4">
        <v>3</v>
      </c>
      <c r="AH88" s="4">
        <v>1</v>
      </c>
      <c r="AI88" s="4">
        <v>1</v>
      </c>
      <c r="AJ88" s="4">
        <v>6</v>
      </c>
      <c r="AK88" s="4">
        <v>6</v>
      </c>
      <c r="AL88" s="4">
        <v>2</v>
      </c>
      <c r="AM88" s="4">
        <v>2</v>
      </c>
      <c r="AN88" s="4">
        <v>0</v>
      </c>
      <c r="AO88" s="4">
        <v>0</v>
      </c>
      <c r="AP88" s="3" t="s">
        <v>58</v>
      </c>
      <c r="AQ88" s="3" t="s">
        <v>58</v>
      </c>
      <c r="AS88" s="6" t="str">
        <f>HYPERLINK("https://creighton-primo.hosted.exlibrisgroup.com/primo-explore/search?tab=default_tab&amp;search_scope=EVERYTHING&amp;vid=01CRU&amp;lang=en_US&amp;offset=0&amp;query=any,contains,991001074529702656","Catalog Record")</f>
        <v>Catalog Record</v>
      </c>
      <c r="AT88" s="6" t="str">
        <f>HYPERLINK("http://www.worldcat.org/oclc/16004978","WorldCat Record")</f>
        <v>WorldCat Record</v>
      </c>
      <c r="AU88" s="3" t="s">
        <v>1114</v>
      </c>
      <c r="AV88" s="3" t="s">
        <v>1115</v>
      </c>
      <c r="AW88" s="3" t="s">
        <v>1116</v>
      </c>
      <c r="AX88" s="3" t="s">
        <v>1116</v>
      </c>
      <c r="AY88" s="3" t="s">
        <v>1117</v>
      </c>
      <c r="AZ88" s="3" t="s">
        <v>74</v>
      </c>
      <c r="BB88" s="3" t="s">
        <v>1118</v>
      </c>
      <c r="BC88" s="3" t="s">
        <v>1119</v>
      </c>
      <c r="BD88" s="3" t="s">
        <v>1120</v>
      </c>
    </row>
    <row r="89" spans="1:56" ht="47.25" customHeight="1" x14ac:dyDescent="0.25">
      <c r="A89" s="7" t="s">
        <v>58</v>
      </c>
      <c r="B89" s="2" t="s">
        <v>1121</v>
      </c>
      <c r="C89" s="2" t="s">
        <v>1122</v>
      </c>
      <c r="D89" s="2" t="s">
        <v>1123</v>
      </c>
      <c r="F89" s="3" t="s">
        <v>58</v>
      </c>
      <c r="G89" s="3" t="s">
        <v>59</v>
      </c>
      <c r="H89" s="3" t="s">
        <v>58</v>
      </c>
      <c r="I89" s="3" t="s">
        <v>69</v>
      </c>
      <c r="J89" s="3" t="s">
        <v>60</v>
      </c>
      <c r="K89" s="2" t="s">
        <v>1124</v>
      </c>
      <c r="L89" s="2" t="s">
        <v>1125</v>
      </c>
      <c r="M89" s="3" t="s">
        <v>301</v>
      </c>
      <c r="O89" s="3" t="s">
        <v>65</v>
      </c>
      <c r="P89" s="3" t="s">
        <v>282</v>
      </c>
      <c r="R89" s="3" t="s">
        <v>67</v>
      </c>
      <c r="S89" s="4">
        <v>1</v>
      </c>
      <c r="T89" s="4">
        <v>1</v>
      </c>
      <c r="U89" s="5" t="s">
        <v>1126</v>
      </c>
      <c r="V89" s="5" t="s">
        <v>1126</v>
      </c>
      <c r="W89" s="5" t="s">
        <v>87</v>
      </c>
      <c r="X89" s="5" t="s">
        <v>87</v>
      </c>
      <c r="Y89" s="4">
        <v>231</v>
      </c>
      <c r="Z89" s="4">
        <v>135</v>
      </c>
      <c r="AA89" s="4">
        <v>586</v>
      </c>
      <c r="AB89" s="4">
        <v>1</v>
      </c>
      <c r="AC89" s="4">
        <v>5</v>
      </c>
      <c r="AD89" s="4">
        <v>4</v>
      </c>
      <c r="AE89" s="4">
        <v>16</v>
      </c>
      <c r="AF89" s="4">
        <v>0</v>
      </c>
      <c r="AG89" s="4">
        <v>6</v>
      </c>
      <c r="AH89" s="4">
        <v>2</v>
      </c>
      <c r="AI89" s="4">
        <v>3</v>
      </c>
      <c r="AJ89" s="4">
        <v>2</v>
      </c>
      <c r="AK89" s="4">
        <v>6</v>
      </c>
      <c r="AL89" s="4">
        <v>0</v>
      </c>
      <c r="AM89" s="4">
        <v>4</v>
      </c>
      <c r="AN89" s="4">
        <v>0</v>
      </c>
      <c r="AO89" s="4">
        <v>0</v>
      </c>
      <c r="AP89" s="3" t="s">
        <v>58</v>
      </c>
      <c r="AQ89" s="3" t="s">
        <v>69</v>
      </c>
      <c r="AR89" s="6" t="str">
        <f>HYPERLINK("http://catalog.hathitrust.org/Record/001994453","HathiTrust Record")</f>
        <v>HathiTrust Record</v>
      </c>
      <c r="AS89" s="6" t="str">
        <f>HYPERLINK("https://creighton-primo.hosted.exlibrisgroup.com/primo-explore/search?tab=default_tab&amp;search_scope=EVERYTHING&amp;vid=01CRU&amp;lang=en_US&amp;offset=0&amp;query=any,contains,991003633069702656","Catalog Record")</f>
        <v>Catalog Record</v>
      </c>
      <c r="AT89" s="6" t="str">
        <f>HYPERLINK("http://www.worldcat.org/oclc/1226835","WorldCat Record")</f>
        <v>WorldCat Record</v>
      </c>
      <c r="AU89" s="3" t="s">
        <v>1127</v>
      </c>
      <c r="AV89" s="3" t="s">
        <v>1128</v>
      </c>
      <c r="AW89" s="3" t="s">
        <v>1129</v>
      </c>
      <c r="AX89" s="3" t="s">
        <v>1129</v>
      </c>
      <c r="AY89" s="3" t="s">
        <v>1130</v>
      </c>
      <c r="AZ89" s="3" t="s">
        <v>74</v>
      </c>
      <c r="BC89" s="3" t="s">
        <v>1131</v>
      </c>
      <c r="BD89" s="3" t="s">
        <v>1132</v>
      </c>
    </row>
    <row r="90" spans="1:56" ht="47.25" customHeight="1" x14ac:dyDescent="0.25">
      <c r="A90" s="7" t="s">
        <v>58</v>
      </c>
      <c r="B90" s="2" t="s">
        <v>1133</v>
      </c>
      <c r="C90" s="2" t="s">
        <v>1134</v>
      </c>
      <c r="D90" s="2" t="s">
        <v>1135</v>
      </c>
      <c r="F90" s="3" t="s">
        <v>58</v>
      </c>
      <c r="G90" s="3" t="s">
        <v>59</v>
      </c>
      <c r="H90" s="3" t="s">
        <v>58</v>
      </c>
      <c r="I90" s="3" t="s">
        <v>69</v>
      </c>
      <c r="J90" s="3" t="s">
        <v>60</v>
      </c>
      <c r="K90" s="2" t="s">
        <v>1124</v>
      </c>
      <c r="L90" s="2" t="s">
        <v>1136</v>
      </c>
      <c r="M90" s="3" t="s">
        <v>630</v>
      </c>
      <c r="N90" s="2" t="s">
        <v>715</v>
      </c>
      <c r="O90" s="3" t="s">
        <v>65</v>
      </c>
      <c r="P90" s="3" t="s">
        <v>127</v>
      </c>
      <c r="R90" s="3" t="s">
        <v>67</v>
      </c>
      <c r="S90" s="4">
        <v>4</v>
      </c>
      <c r="T90" s="4">
        <v>4</v>
      </c>
      <c r="U90" s="5" t="s">
        <v>1126</v>
      </c>
      <c r="V90" s="5" t="s">
        <v>1126</v>
      </c>
      <c r="W90" s="5" t="s">
        <v>129</v>
      </c>
      <c r="X90" s="5" t="s">
        <v>129</v>
      </c>
      <c r="Y90" s="4">
        <v>339</v>
      </c>
      <c r="Z90" s="4">
        <v>185</v>
      </c>
      <c r="AA90" s="4">
        <v>586</v>
      </c>
      <c r="AB90" s="4">
        <v>3</v>
      </c>
      <c r="AC90" s="4">
        <v>5</v>
      </c>
      <c r="AD90" s="4">
        <v>5</v>
      </c>
      <c r="AE90" s="4">
        <v>16</v>
      </c>
      <c r="AF90" s="4">
        <v>1</v>
      </c>
      <c r="AG90" s="4">
        <v>6</v>
      </c>
      <c r="AH90" s="4">
        <v>0</v>
      </c>
      <c r="AI90" s="4">
        <v>3</v>
      </c>
      <c r="AJ90" s="4">
        <v>2</v>
      </c>
      <c r="AK90" s="4">
        <v>6</v>
      </c>
      <c r="AL90" s="4">
        <v>2</v>
      </c>
      <c r="AM90" s="4">
        <v>4</v>
      </c>
      <c r="AN90" s="4">
        <v>0</v>
      </c>
      <c r="AO90" s="4">
        <v>0</v>
      </c>
      <c r="AP90" s="3" t="s">
        <v>58</v>
      </c>
      <c r="AQ90" s="3" t="s">
        <v>69</v>
      </c>
      <c r="AR90" s="6" t="str">
        <f>HYPERLINK("http://catalog.hathitrust.org/Record/007159887","HathiTrust Record")</f>
        <v>HathiTrust Record</v>
      </c>
      <c r="AS90" s="6" t="str">
        <f>HYPERLINK("https://creighton-primo.hosted.exlibrisgroup.com/primo-explore/search?tab=default_tab&amp;search_scope=EVERYTHING&amp;vid=01CRU&amp;lang=en_US&amp;offset=0&amp;query=any,contains,991005066139702656","Catalog Record")</f>
        <v>Catalog Record</v>
      </c>
      <c r="AT90" s="6" t="str">
        <f>HYPERLINK("http://www.worldcat.org/oclc/6961624","WorldCat Record")</f>
        <v>WorldCat Record</v>
      </c>
      <c r="AU90" s="3" t="s">
        <v>1127</v>
      </c>
      <c r="AV90" s="3" t="s">
        <v>1137</v>
      </c>
      <c r="AW90" s="3" t="s">
        <v>1138</v>
      </c>
      <c r="AX90" s="3" t="s">
        <v>1138</v>
      </c>
      <c r="AY90" s="3" t="s">
        <v>1139</v>
      </c>
      <c r="AZ90" s="3" t="s">
        <v>74</v>
      </c>
      <c r="BB90" s="3" t="s">
        <v>1140</v>
      </c>
      <c r="BC90" s="3" t="s">
        <v>1141</v>
      </c>
      <c r="BD90" s="3" t="s">
        <v>1142</v>
      </c>
    </row>
    <row r="91" spans="1:56" ht="47.25" customHeight="1" x14ac:dyDescent="0.25">
      <c r="A91" s="7" t="s">
        <v>58</v>
      </c>
      <c r="B91" s="2" t="s">
        <v>1143</v>
      </c>
      <c r="C91" s="2" t="s">
        <v>1144</v>
      </c>
      <c r="D91" s="2" t="s">
        <v>1145</v>
      </c>
      <c r="F91" s="3" t="s">
        <v>58</v>
      </c>
      <c r="G91" s="3" t="s">
        <v>59</v>
      </c>
      <c r="H91" s="3" t="s">
        <v>58</v>
      </c>
      <c r="I91" s="3" t="s">
        <v>58</v>
      </c>
      <c r="J91" s="3" t="s">
        <v>60</v>
      </c>
      <c r="K91" s="2" t="s">
        <v>1146</v>
      </c>
      <c r="L91" s="2" t="s">
        <v>1147</v>
      </c>
      <c r="M91" s="3" t="s">
        <v>1148</v>
      </c>
      <c r="N91" s="2" t="s">
        <v>470</v>
      </c>
      <c r="O91" s="3" t="s">
        <v>65</v>
      </c>
      <c r="P91" s="3" t="s">
        <v>127</v>
      </c>
      <c r="R91" s="3" t="s">
        <v>67</v>
      </c>
      <c r="S91" s="4">
        <v>8</v>
      </c>
      <c r="T91" s="4">
        <v>8</v>
      </c>
      <c r="U91" s="5" t="s">
        <v>1149</v>
      </c>
      <c r="V91" s="5" t="s">
        <v>1149</v>
      </c>
      <c r="W91" s="5" t="s">
        <v>1150</v>
      </c>
      <c r="X91" s="5" t="s">
        <v>1150</v>
      </c>
      <c r="Y91" s="4">
        <v>220</v>
      </c>
      <c r="Z91" s="4">
        <v>149</v>
      </c>
      <c r="AA91" s="4">
        <v>149</v>
      </c>
      <c r="AB91" s="4">
        <v>3</v>
      </c>
      <c r="AC91" s="4">
        <v>3</v>
      </c>
      <c r="AD91" s="4">
        <v>5</v>
      </c>
      <c r="AE91" s="4">
        <v>5</v>
      </c>
      <c r="AF91" s="4">
        <v>1</v>
      </c>
      <c r="AG91" s="4">
        <v>1</v>
      </c>
      <c r="AH91" s="4">
        <v>1</v>
      </c>
      <c r="AI91" s="4">
        <v>1</v>
      </c>
      <c r="AJ91" s="4">
        <v>2</v>
      </c>
      <c r="AK91" s="4">
        <v>2</v>
      </c>
      <c r="AL91" s="4">
        <v>2</v>
      </c>
      <c r="AM91" s="4">
        <v>2</v>
      </c>
      <c r="AN91" s="4">
        <v>0</v>
      </c>
      <c r="AO91" s="4">
        <v>0</v>
      </c>
      <c r="AP91" s="3" t="s">
        <v>58</v>
      </c>
      <c r="AQ91" s="3" t="s">
        <v>58</v>
      </c>
      <c r="AS91" s="6" t="str">
        <f>HYPERLINK("https://creighton-primo.hosted.exlibrisgroup.com/primo-explore/search?tab=default_tab&amp;search_scope=EVERYTHING&amp;vid=01CRU&amp;lang=en_US&amp;offset=0&amp;query=any,contains,991000555719702656","Catalog Record")</f>
        <v>Catalog Record</v>
      </c>
      <c r="AT91" s="6" t="str">
        <f>HYPERLINK("http://www.worldcat.org/oclc/11552509","WorldCat Record")</f>
        <v>WorldCat Record</v>
      </c>
      <c r="AU91" s="3" t="s">
        <v>1151</v>
      </c>
      <c r="AV91" s="3" t="s">
        <v>1152</v>
      </c>
      <c r="AW91" s="3" t="s">
        <v>1153</v>
      </c>
      <c r="AX91" s="3" t="s">
        <v>1153</v>
      </c>
      <c r="AY91" s="3" t="s">
        <v>1154</v>
      </c>
      <c r="AZ91" s="3" t="s">
        <v>74</v>
      </c>
      <c r="BB91" s="3" t="s">
        <v>1155</v>
      </c>
      <c r="BC91" s="3" t="s">
        <v>1156</v>
      </c>
      <c r="BD91" s="3" t="s">
        <v>1157</v>
      </c>
    </row>
    <row r="92" spans="1:56" ht="47.25" customHeight="1" x14ac:dyDescent="0.25">
      <c r="A92" s="7" t="s">
        <v>58</v>
      </c>
      <c r="B92" s="2" t="s">
        <v>1158</v>
      </c>
      <c r="C92" s="2" t="s">
        <v>1159</v>
      </c>
      <c r="D92" s="2" t="s">
        <v>1160</v>
      </c>
      <c r="F92" s="3" t="s">
        <v>58</v>
      </c>
      <c r="G92" s="3" t="s">
        <v>59</v>
      </c>
      <c r="H92" s="3" t="s">
        <v>58</v>
      </c>
      <c r="I92" s="3" t="s">
        <v>58</v>
      </c>
      <c r="J92" s="3" t="s">
        <v>60</v>
      </c>
      <c r="K92" s="2" t="s">
        <v>1161</v>
      </c>
      <c r="L92" s="2" t="s">
        <v>1162</v>
      </c>
      <c r="M92" s="3" t="s">
        <v>264</v>
      </c>
      <c r="O92" s="3" t="s">
        <v>65</v>
      </c>
      <c r="P92" s="3" t="s">
        <v>85</v>
      </c>
      <c r="R92" s="3" t="s">
        <v>67</v>
      </c>
      <c r="S92" s="4">
        <v>3</v>
      </c>
      <c r="T92" s="4">
        <v>3</v>
      </c>
      <c r="U92" s="5" t="s">
        <v>1163</v>
      </c>
      <c r="V92" s="5" t="s">
        <v>1163</v>
      </c>
      <c r="W92" s="5" t="s">
        <v>1164</v>
      </c>
      <c r="X92" s="5" t="s">
        <v>1164</v>
      </c>
      <c r="Y92" s="4">
        <v>918</v>
      </c>
      <c r="Z92" s="4">
        <v>835</v>
      </c>
      <c r="AA92" s="4">
        <v>929</v>
      </c>
      <c r="AB92" s="4">
        <v>3</v>
      </c>
      <c r="AC92" s="4">
        <v>3</v>
      </c>
      <c r="AD92" s="4">
        <v>29</v>
      </c>
      <c r="AE92" s="4">
        <v>30</v>
      </c>
      <c r="AF92" s="4">
        <v>14</v>
      </c>
      <c r="AG92" s="4">
        <v>14</v>
      </c>
      <c r="AH92" s="4">
        <v>4</v>
      </c>
      <c r="AI92" s="4">
        <v>4</v>
      </c>
      <c r="AJ92" s="4">
        <v>16</v>
      </c>
      <c r="AK92" s="4">
        <v>17</v>
      </c>
      <c r="AL92" s="4">
        <v>2</v>
      </c>
      <c r="AM92" s="4">
        <v>2</v>
      </c>
      <c r="AN92" s="4">
        <v>0</v>
      </c>
      <c r="AO92" s="4">
        <v>0</v>
      </c>
      <c r="AP92" s="3" t="s">
        <v>58</v>
      </c>
      <c r="AQ92" s="3" t="s">
        <v>58</v>
      </c>
      <c r="AS92" s="6" t="str">
        <f>HYPERLINK("https://creighton-primo.hosted.exlibrisgroup.com/primo-explore/search?tab=default_tab&amp;search_scope=EVERYTHING&amp;vid=01CRU&amp;lang=en_US&amp;offset=0&amp;query=any,contains,991003028419702656","Catalog Record")</f>
        <v>Catalog Record</v>
      </c>
      <c r="AT92" s="6" t="str">
        <f>HYPERLINK("http://www.worldcat.org/oclc/41431708","WorldCat Record")</f>
        <v>WorldCat Record</v>
      </c>
      <c r="AU92" s="3" t="s">
        <v>1165</v>
      </c>
      <c r="AV92" s="3" t="s">
        <v>1166</v>
      </c>
      <c r="AW92" s="3" t="s">
        <v>1167</v>
      </c>
      <c r="AX92" s="3" t="s">
        <v>1167</v>
      </c>
      <c r="AY92" s="3" t="s">
        <v>1168</v>
      </c>
      <c r="AZ92" s="3" t="s">
        <v>74</v>
      </c>
      <c r="BB92" s="3" t="s">
        <v>1169</v>
      </c>
      <c r="BC92" s="3" t="s">
        <v>1170</v>
      </c>
      <c r="BD92" s="3" t="s">
        <v>1171</v>
      </c>
    </row>
    <row r="93" spans="1:56" ht="47.25" customHeight="1" x14ac:dyDescent="0.25">
      <c r="A93" s="7" t="s">
        <v>58</v>
      </c>
      <c r="B93" s="2" t="s">
        <v>1172</v>
      </c>
      <c r="C93" s="2" t="s">
        <v>1173</v>
      </c>
      <c r="D93" s="2" t="s">
        <v>1174</v>
      </c>
      <c r="F93" s="3" t="s">
        <v>58</v>
      </c>
      <c r="G93" s="3" t="s">
        <v>59</v>
      </c>
      <c r="H93" s="3" t="s">
        <v>58</v>
      </c>
      <c r="I93" s="3" t="s">
        <v>58</v>
      </c>
      <c r="J93" s="3" t="s">
        <v>60</v>
      </c>
      <c r="K93" s="2" t="s">
        <v>1175</v>
      </c>
      <c r="L93" s="2" t="s">
        <v>1176</v>
      </c>
      <c r="M93" s="3" t="s">
        <v>1177</v>
      </c>
      <c r="O93" s="3" t="s">
        <v>65</v>
      </c>
      <c r="P93" s="3" t="s">
        <v>1178</v>
      </c>
      <c r="R93" s="3" t="s">
        <v>67</v>
      </c>
      <c r="S93" s="4">
        <v>1</v>
      </c>
      <c r="T93" s="4">
        <v>1</v>
      </c>
      <c r="U93" s="5" t="s">
        <v>1126</v>
      </c>
      <c r="V93" s="5" t="s">
        <v>1126</v>
      </c>
      <c r="W93" s="5" t="s">
        <v>87</v>
      </c>
      <c r="X93" s="5" t="s">
        <v>87</v>
      </c>
      <c r="Y93" s="4">
        <v>517</v>
      </c>
      <c r="Z93" s="4">
        <v>451</v>
      </c>
      <c r="AA93" s="4">
        <v>470</v>
      </c>
      <c r="AB93" s="4">
        <v>4</v>
      </c>
      <c r="AC93" s="4">
        <v>4</v>
      </c>
      <c r="AD93" s="4">
        <v>13</v>
      </c>
      <c r="AE93" s="4">
        <v>13</v>
      </c>
      <c r="AF93" s="4">
        <v>5</v>
      </c>
      <c r="AG93" s="4">
        <v>5</v>
      </c>
      <c r="AH93" s="4">
        <v>2</v>
      </c>
      <c r="AI93" s="4">
        <v>2</v>
      </c>
      <c r="AJ93" s="4">
        <v>5</v>
      </c>
      <c r="AK93" s="4">
        <v>5</v>
      </c>
      <c r="AL93" s="4">
        <v>3</v>
      </c>
      <c r="AM93" s="4">
        <v>3</v>
      </c>
      <c r="AN93" s="4">
        <v>0</v>
      </c>
      <c r="AO93" s="4">
        <v>0</v>
      </c>
      <c r="AP93" s="3" t="s">
        <v>58</v>
      </c>
      <c r="AQ93" s="3" t="s">
        <v>58</v>
      </c>
      <c r="AS93" s="6" t="str">
        <f>HYPERLINK("https://creighton-primo.hosted.exlibrisgroup.com/primo-explore/search?tab=default_tab&amp;search_scope=EVERYTHING&amp;vid=01CRU&amp;lang=en_US&amp;offset=0&amp;query=any,contains,991001972809702656","Catalog Record")</f>
        <v>Catalog Record</v>
      </c>
      <c r="AT93" s="6" t="str">
        <f>HYPERLINK("http://www.worldcat.org/oclc/254231","WorldCat Record")</f>
        <v>WorldCat Record</v>
      </c>
      <c r="AU93" s="3" t="s">
        <v>1179</v>
      </c>
      <c r="AV93" s="3" t="s">
        <v>1180</v>
      </c>
      <c r="AW93" s="3" t="s">
        <v>1181</v>
      </c>
      <c r="AX93" s="3" t="s">
        <v>1181</v>
      </c>
      <c r="AY93" s="3" t="s">
        <v>1182</v>
      </c>
      <c r="AZ93" s="3" t="s">
        <v>74</v>
      </c>
      <c r="BC93" s="3" t="s">
        <v>1183</v>
      </c>
      <c r="BD93" s="3" t="s">
        <v>1184</v>
      </c>
    </row>
    <row r="94" spans="1:56" ht="47.25" customHeight="1" x14ac:dyDescent="0.25">
      <c r="A94" s="7" t="s">
        <v>58</v>
      </c>
      <c r="B94" s="2" t="s">
        <v>1185</v>
      </c>
      <c r="C94" s="2" t="s">
        <v>1186</v>
      </c>
      <c r="D94" s="2" t="s">
        <v>1187</v>
      </c>
      <c r="F94" s="3" t="s">
        <v>58</v>
      </c>
      <c r="G94" s="3" t="s">
        <v>59</v>
      </c>
      <c r="H94" s="3" t="s">
        <v>58</v>
      </c>
      <c r="I94" s="3" t="s">
        <v>58</v>
      </c>
      <c r="J94" s="3" t="s">
        <v>60</v>
      </c>
      <c r="K94" s="2" t="s">
        <v>1188</v>
      </c>
      <c r="L94" s="2" t="s">
        <v>1189</v>
      </c>
      <c r="M94" s="3" t="s">
        <v>1190</v>
      </c>
      <c r="O94" s="3" t="s">
        <v>65</v>
      </c>
      <c r="P94" s="3" t="s">
        <v>675</v>
      </c>
      <c r="Q94" s="2" t="s">
        <v>1191</v>
      </c>
      <c r="R94" s="3" t="s">
        <v>67</v>
      </c>
      <c r="S94" s="4">
        <v>7</v>
      </c>
      <c r="T94" s="4">
        <v>7</v>
      </c>
      <c r="U94" s="5" t="s">
        <v>1192</v>
      </c>
      <c r="V94" s="5" t="s">
        <v>1192</v>
      </c>
      <c r="W94" s="5" t="s">
        <v>87</v>
      </c>
      <c r="X94" s="5" t="s">
        <v>87</v>
      </c>
      <c r="Y94" s="4">
        <v>706</v>
      </c>
      <c r="Z94" s="4">
        <v>599</v>
      </c>
      <c r="AA94" s="4">
        <v>765</v>
      </c>
      <c r="AB94" s="4">
        <v>7</v>
      </c>
      <c r="AC94" s="4">
        <v>8</v>
      </c>
      <c r="AD94" s="4">
        <v>23</v>
      </c>
      <c r="AE94" s="4">
        <v>36</v>
      </c>
      <c r="AF94" s="4">
        <v>8</v>
      </c>
      <c r="AG94" s="4">
        <v>16</v>
      </c>
      <c r="AH94" s="4">
        <v>3</v>
      </c>
      <c r="AI94" s="4">
        <v>7</v>
      </c>
      <c r="AJ94" s="4">
        <v>9</v>
      </c>
      <c r="AK94" s="4">
        <v>15</v>
      </c>
      <c r="AL94" s="4">
        <v>6</v>
      </c>
      <c r="AM94" s="4">
        <v>7</v>
      </c>
      <c r="AN94" s="4">
        <v>0</v>
      </c>
      <c r="AO94" s="4">
        <v>0</v>
      </c>
      <c r="AP94" s="3" t="s">
        <v>58</v>
      </c>
      <c r="AQ94" s="3" t="s">
        <v>69</v>
      </c>
      <c r="AR94" s="6" t="str">
        <f>HYPERLINK("http://catalog.hathitrust.org/Record/001497302","HathiTrust Record")</f>
        <v>HathiTrust Record</v>
      </c>
      <c r="AS94" s="6" t="str">
        <f>HYPERLINK("https://creighton-primo.hosted.exlibrisgroup.com/primo-explore/search?tab=default_tab&amp;search_scope=EVERYTHING&amp;vid=01CRU&amp;lang=en_US&amp;offset=0&amp;query=any,contains,991003365849702656","Catalog Record")</f>
        <v>Catalog Record</v>
      </c>
      <c r="AT94" s="6" t="str">
        <f>HYPERLINK("http://www.worldcat.org/oclc/901964","WorldCat Record")</f>
        <v>WorldCat Record</v>
      </c>
      <c r="AU94" s="3" t="s">
        <v>1193</v>
      </c>
      <c r="AV94" s="3" t="s">
        <v>1194</v>
      </c>
      <c r="AW94" s="3" t="s">
        <v>1195</v>
      </c>
      <c r="AX94" s="3" t="s">
        <v>1195</v>
      </c>
      <c r="AY94" s="3" t="s">
        <v>1196</v>
      </c>
      <c r="AZ94" s="3" t="s">
        <v>74</v>
      </c>
      <c r="BC94" s="3" t="s">
        <v>1197</v>
      </c>
      <c r="BD94" s="3" t="s">
        <v>1198</v>
      </c>
    </row>
    <row r="95" spans="1:56" ht="47.25" customHeight="1" x14ac:dyDescent="0.25">
      <c r="A95" s="7" t="s">
        <v>58</v>
      </c>
      <c r="B95" s="2" t="s">
        <v>1199</v>
      </c>
      <c r="C95" s="2" t="s">
        <v>1200</v>
      </c>
      <c r="D95" s="2" t="s">
        <v>1201</v>
      </c>
      <c r="F95" s="3" t="s">
        <v>58</v>
      </c>
      <c r="G95" s="3" t="s">
        <v>59</v>
      </c>
      <c r="H95" s="3" t="s">
        <v>58</v>
      </c>
      <c r="I95" s="3" t="s">
        <v>58</v>
      </c>
      <c r="J95" s="3" t="s">
        <v>60</v>
      </c>
      <c r="K95" s="2" t="s">
        <v>1202</v>
      </c>
      <c r="L95" s="2" t="s">
        <v>1203</v>
      </c>
      <c r="M95" s="3" t="s">
        <v>1190</v>
      </c>
      <c r="O95" s="3" t="s">
        <v>65</v>
      </c>
      <c r="P95" s="3" t="s">
        <v>127</v>
      </c>
      <c r="Q95" s="2" t="s">
        <v>1204</v>
      </c>
      <c r="R95" s="3" t="s">
        <v>67</v>
      </c>
      <c r="S95" s="4">
        <v>3</v>
      </c>
      <c r="T95" s="4">
        <v>3</v>
      </c>
      <c r="U95" s="5" t="s">
        <v>1192</v>
      </c>
      <c r="V95" s="5" t="s">
        <v>1192</v>
      </c>
      <c r="W95" s="5" t="s">
        <v>87</v>
      </c>
      <c r="X95" s="5" t="s">
        <v>87</v>
      </c>
      <c r="Y95" s="4">
        <v>534</v>
      </c>
      <c r="Z95" s="4">
        <v>397</v>
      </c>
      <c r="AA95" s="4">
        <v>922</v>
      </c>
      <c r="AB95" s="4">
        <v>5</v>
      </c>
      <c r="AC95" s="4">
        <v>7</v>
      </c>
      <c r="AD95" s="4">
        <v>17</v>
      </c>
      <c r="AE95" s="4">
        <v>35</v>
      </c>
      <c r="AF95" s="4">
        <v>6</v>
      </c>
      <c r="AG95" s="4">
        <v>18</v>
      </c>
      <c r="AH95" s="4">
        <v>3</v>
      </c>
      <c r="AI95" s="4">
        <v>5</v>
      </c>
      <c r="AJ95" s="4">
        <v>6</v>
      </c>
      <c r="AK95" s="4">
        <v>14</v>
      </c>
      <c r="AL95" s="4">
        <v>4</v>
      </c>
      <c r="AM95" s="4">
        <v>6</v>
      </c>
      <c r="AN95" s="4">
        <v>0</v>
      </c>
      <c r="AO95" s="4">
        <v>0</v>
      </c>
      <c r="AP95" s="3" t="s">
        <v>58</v>
      </c>
      <c r="AQ95" s="3" t="s">
        <v>69</v>
      </c>
      <c r="AR95" s="6" t="str">
        <f>HYPERLINK("http://catalog.hathitrust.org/Record/001497306","HathiTrust Record")</f>
        <v>HathiTrust Record</v>
      </c>
      <c r="AS95" s="6" t="str">
        <f>HYPERLINK("https://creighton-primo.hosted.exlibrisgroup.com/primo-explore/search?tab=default_tab&amp;search_scope=EVERYTHING&amp;vid=01CRU&amp;lang=en_US&amp;offset=0&amp;query=any,contains,991001408569702656","Catalog Record")</f>
        <v>Catalog Record</v>
      </c>
      <c r="AT95" s="6" t="str">
        <f>HYPERLINK("http://www.worldcat.org/oclc/230580","WorldCat Record")</f>
        <v>WorldCat Record</v>
      </c>
      <c r="AU95" s="3" t="s">
        <v>1205</v>
      </c>
      <c r="AV95" s="3" t="s">
        <v>1206</v>
      </c>
      <c r="AW95" s="3" t="s">
        <v>1207</v>
      </c>
      <c r="AX95" s="3" t="s">
        <v>1207</v>
      </c>
      <c r="AY95" s="3" t="s">
        <v>1208</v>
      </c>
      <c r="AZ95" s="3" t="s">
        <v>74</v>
      </c>
      <c r="BC95" s="3" t="s">
        <v>1209</v>
      </c>
      <c r="BD95" s="3" t="s">
        <v>1210</v>
      </c>
    </row>
    <row r="96" spans="1:56" ht="47.25" customHeight="1" x14ac:dyDescent="0.25">
      <c r="A96" s="7" t="s">
        <v>58</v>
      </c>
      <c r="B96" s="2" t="s">
        <v>1211</v>
      </c>
      <c r="C96" s="2" t="s">
        <v>1212</v>
      </c>
      <c r="D96" s="2" t="s">
        <v>1213</v>
      </c>
      <c r="F96" s="3" t="s">
        <v>58</v>
      </c>
      <c r="G96" s="3" t="s">
        <v>59</v>
      </c>
      <c r="H96" s="3" t="s">
        <v>58</v>
      </c>
      <c r="I96" s="3" t="s">
        <v>58</v>
      </c>
      <c r="J96" s="3" t="s">
        <v>60</v>
      </c>
      <c r="K96" s="2" t="s">
        <v>1214</v>
      </c>
      <c r="M96" s="3" t="s">
        <v>887</v>
      </c>
      <c r="O96" s="3" t="s">
        <v>65</v>
      </c>
      <c r="P96" s="3" t="s">
        <v>455</v>
      </c>
      <c r="R96" s="3" t="s">
        <v>67</v>
      </c>
      <c r="S96" s="4">
        <v>1</v>
      </c>
      <c r="T96" s="4">
        <v>1</v>
      </c>
      <c r="U96" s="5" t="s">
        <v>1192</v>
      </c>
      <c r="V96" s="5" t="s">
        <v>1192</v>
      </c>
      <c r="W96" s="5" t="s">
        <v>87</v>
      </c>
      <c r="X96" s="5" t="s">
        <v>87</v>
      </c>
      <c r="Y96" s="4">
        <v>2</v>
      </c>
      <c r="Z96" s="4">
        <v>2</v>
      </c>
      <c r="AA96" s="4">
        <v>4</v>
      </c>
      <c r="AB96" s="4">
        <v>1</v>
      </c>
      <c r="AC96" s="4">
        <v>1</v>
      </c>
      <c r="AD96" s="4">
        <v>0</v>
      </c>
      <c r="AE96" s="4">
        <v>0</v>
      </c>
      <c r="AF96" s="4">
        <v>0</v>
      </c>
      <c r="AG96" s="4">
        <v>0</v>
      </c>
      <c r="AH96" s="4">
        <v>0</v>
      </c>
      <c r="AI96" s="4">
        <v>0</v>
      </c>
      <c r="AJ96" s="4">
        <v>0</v>
      </c>
      <c r="AK96" s="4">
        <v>0</v>
      </c>
      <c r="AL96" s="4">
        <v>0</v>
      </c>
      <c r="AM96" s="4">
        <v>0</v>
      </c>
      <c r="AN96" s="4">
        <v>0</v>
      </c>
      <c r="AO96" s="4">
        <v>0</v>
      </c>
      <c r="AP96" s="3" t="s">
        <v>58</v>
      </c>
      <c r="AQ96" s="3" t="s">
        <v>58</v>
      </c>
      <c r="AS96" s="6" t="str">
        <f>HYPERLINK("https://creighton-primo.hosted.exlibrisgroup.com/primo-explore/search?tab=default_tab&amp;search_scope=EVERYTHING&amp;vid=01CRU&amp;lang=en_US&amp;offset=0&amp;query=any,contains,991002293169702656","Catalog Record")</f>
        <v>Catalog Record</v>
      </c>
      <c r="AT96" s="6" t="str">
        <f>HYPERLINK("http://www.worldcat.org/oclc/29715383","WorldCat Record")</f>
        <v>WorldCat Record</v>
      </c>
      <c r="AU96" s="3" t="s">
        <v>1215</v>
      </c>
      <c r="AV96" s="3" t="s">
        <v>1216</v>
      </c>
      <c r="AW96" s="3" t="s">
        <v>1217</v>
      </c>
      <c r="AX96" s="3" t="s">
        <v>1217</v>
      </c>
      <c r="AY96" s="3" t="s">
        <v>1218</v>
      </c>
      <c r="AZ96" s="3" t="s">
        <v>74</v>
      </c>
      <c r="BC96" s="3" t="s">
        <v>1219</v>
      </c>
      <c r="BD96" s="3" t="s">
        <v>1220</v>
      </c>
    </row>
    <row r="97" spans="1:56" ht="47.25" customHeight="1" x14ac:dyDescent="0.25">
      <c r="A97" s="7" t="s">
        <v>58</v>
      </c>
      <c r="B97" s="2" t="s">
        <v>1221</v>
      </c>
      <c r="C97" s="2" t="s">
        <v>1222</v>
      </c>
      <c r="D97" s="2" t="s">
        <v>1223</v>
      </c>
      <c r="F97" s="3" t="s">
        <v>58</v>
      </c>
      <c r="G97" s="3" t="s">
        <v>59</v>
      </c>
      <c r="H97" s="3" t="s">
        <v>58</v>
      </c>
      <c r="I97" s="3" t="s">
        <v>58</v>
      </c>
      <c r="J97" s="3" t="s">
        <v>60</v>
      </c>
      <c r="L97" s="2" t="s">
        <v>1224</v>
      </c>
      <c r="M97" s="3" t="s">
        <v>156</v>
      </c>
      <c r="O97" s="3" t="s">
        <v>65</v>
      </c>
      <c r="P97" s="3" t="s">
        <v>127</v>
      </c>
      <c r="Q97" s="2" t="s">
        <v>1225</v>
      </c>
      <c r="R97" s="3" t="s">
        <v>67</v>
      </c>
      <c r="S97" s="4">
        <v>7</v>
      </c>
      <c r="T97" s="4">
        <v>7</v>
      </c>
      <c r="U97" s="5" t="s">
        <v>1226</v>
      </c>
      <c r="V97" s="5" t="s">
        <v>1226</v>
      </c>
      <c r="W97" s="5" t="s">
        <v>129</v>
      </c>
      <c r="X97" s="5" t="s">
        <v>129</v>
      </c>
      <c r="Y97" s="4">
        <v>286</v>
      </c>
      <c r="Z97" s="4">
        <v>168</v>
      </c>
      <c r="AA97" s="4">
        <v>169</v>
      </c>
      <c r="AB97" s="4">
        <v>2</v>
      </c>
      <c r="AC97" s="4">
        <v>2</v>
      </c>
      <c r="AD97" s="4">
        <v>4</v>
      </c>
      <c r="AE97" s="4">
        <v>4</v>
      </c>
      <c r="AF97" s="4">
        <v>1</v>
      </c>
      <c r="AG97" s="4">
        <v>1</v>
      </c>
      <c r="AH97" s="4">
        <v>1</v>
      </c>
      <c r="AI97" s="4">
        <v>1</v>
      </c>
      <c r="AJ97" s="4">
        <v>1</v>
      </c>
      <c r="AK97" s="4">
        <v>1</v>
      </c>
      <c r="AL97" s="4">
        <v>1</v>
      </c>
      <c r="AM97" s="4">
        <v>1</v>
      </c>
      <c r="AN97" s="4">
        <v>0</v>
      </c>
      <c r="AO97" s="4">
        <v>0</v>
      </c>
      <c r="AP97" s="3" t="s">
        <v>58</v>
      </c>
      <c r="AQ97" s="3" t="s">
        <v>58</v>
      </c>
      <c r="AS97" s="6" t="str">
        <f>HYPERLINK("https://creighton-primo.hosted.exlibrisgroup.com/primo-explore/search?tab=default_tab&amp;search_scope=EVERYTHING&amp;vid=01CRU&amp;lang=en_US&amp;offset=0&amp;query=any,contains,991004681099702656","Catalog Record")</f>
        <v>Catalog Record</v>
      </c>
      <c r="AT97" s="6" t="str">
        <f>HYPERLINK("http://www.worldcat.org/oclc/4569845","WorldCat Record")</f>
        <v>WorldCat Record</v>
      </c>
      <c r="AU97" s="3" t="s">
        <v>1227</v>
      </c>
      <c r="AV97" s="3" t="s">
        <v>1228</v>
      </c>
      <c r="AW97" s="3" t="s">
        <v>1229</v>
      </c>
      <c r="AX97" s="3" t="s">
        <v>1229</v>
      </c>
      <c r="AY97" s="3" t="s">
        <v>1230</v>
      </c>
      <c r="AZ97" s="3" t="s">
        <v>74</v>
      </c>
      <c r="BB97" s="3" t="s">
        <v>1231</v>
      </c>
      <c r="BC97" s="3" t="s">
        <v>1232</v>
      </c>
      <c r="BD97" s="3" t="s">
        <v>1233</v>
      </c>
    </row>
    <row r="98" spans="1:56" ht="47.25" customHeight="1" x14ac:dyDescent="0.25">
      <c r="A98" s="7" t="s">
        <v>58</v>
      </c>
      <c r="B98" s="2" t="s">
        <v>1234</v>
      </c>
      <c r="C98" s="2" t="s">
        <v>1235</v>
      </c>
      <c r="D98" s="2" t="s">
        <v>1236</v>
      </c>
      <c r="F98" s="3" t="s">
        <v>58</v>
      </c>
      <c r="G98" s="3" t="s">
        <v>59</v>
      </c>
      <c r="H98" s="3" t="s">
        <v>58</v>
      </c>
      <c r="I98" s="3" t="s">
        <v>58</v>
      </c>
      <c r="J98" s="3" t="s">
        <v>60</v>
      </c>
      <c r="K98" s="2" t="s">
        <v>1237</v>
      </c>
      <c r="L98" s="2" t="s">
        <v>1238</v>
      </c>
      <c r="M98" s="3" t="s">
        <v>1239</v>
      </c>
      <c r="O98" s="3" t="s">
        <v>65</v>
      </c>
      <c r="P98" s="3" t="s">
        <v>100</v>
      </c>
      <c r="R98" s="3" t="s">
        <v>67</v>
      </c>
      <c r="S98" s="4">
        <v>8</v>
      </c>
      <c r="T98" s="4">
        <v>8</v>
      </c>
      <c r="U98" s="5" t="s">
        <v>1240</v>
      </c>
      <c r="V98" s="5" t="s">
        <v>1240</v>
      </c>
      <c r="W98" s="5" t="s">
        <v>1241</v>
      </c>
      <c r="X98" s="5" t="s">
        <v>1241</v>
      </c>
      <c r="Y98" s="4">
        <v>347</v>
      </c>
      <c r="Z98" s="4">
        <v>256</v>
      </c>
      <c r="AA98" s="4">
        <v>1160</v>
      </c>
      <c r="AB98" s="4">
        <v>3</v>
      </c>
      <c r="AC98" s="4">
        <v>12</v>
      </c>
      <c r="AD98" s="4">
        <v>6</v>
      </c>
      <c r="AE98" s="4">
        <v>41</v>
      </c>
      <c r="AF98" s="4">
        <v>1</v>
      </c>
      <c r="AG98" s="4">
        <v>15</v>
      </c>
      <c r="AH98" s="4">
        <v>2</v>
      </c>
      <c r="AI98" s="4">
        <v>7</v>
      </c>
      <c r="AJ98" s="4">
        <v>3</v>
      </c>
      <c r="AK98" s="4">
        <v>16</v>
      </c>
      <c r="AL98" s="4">
        <v>2</v>
      </c>
      <c r="AM98" s="4">
        <v>10</v>
      </c>
      <c r="AN98" s="4">
        <v>0</v>
      </c>
      <c r="AO98" s="4">
        <v>0</v>
      </c>
      <c r="AP98" s="3" t="s">
        <v>58</v>
      </c>
      <c r="AQ98" s="3" t="s">
        <v>69</v>
      </c>
      <c r="AR98" s="6" t="str">
        <f>HYPERLINK("http://catalog.hathitrust.org/Record/001497397","HathiTrust Record")</f>
        <v>HathiTrust Record</v>
      </c>
      <c r="AS98" s="6" t="str">
        <f>HYPERLINK("https://creighton-primo.hosted.exlibrisgroup.com/primo-explore/search?tab=default_tab&amp;search_scope=EVERYTHING&amp;vid=01CRU&amp;lang=en_US&amp;offset=0&amp;query=any,contains,991003548359702656","Catalog Record")</f>
        <v>Catalog Record</v>
      </c>
      <c r="AT98" s="6" t="str">
        <f>HYPERLINK("http://www.worldcat.org/oclc/1115687","WorldCat Record")</f>
        <v>WorldCat Record</v>
      </c>
      <c r="AU98" s="3" t="s">
        <v>1242</v>
      </c>
      <c r="AV98" s="3" t="s">
        <v>1243</v>
      </c>
      <c r="AW98" s="3" t="s">
        <v>1244</v>
      </c>
      <c r="AX98" s="3" t="s">
        <v>1244</v>
      </c>
      <c r="AY98" s="3" t="s">
        <v>1245</v>
      </c>
      <c r="AZ98" s="3" t="s">
        <v>74</v>
      </c>
      <c r="BC98" s="3" t="s">
        <v>1246</v>
      </c>
      <c r="BD98" s="3" t="s">
        <v>1247</v>
      </c>
    </row>
    <row r="99" spans="1:56" ht="47.25" customHeight="1" x14ac:dyDescent="0.25">
      <c r="A99" s="7" t="s">
        <v>58</v>
      </c>
      <c r="B99" s="2" t="s">
        <v>1248</v>
      </c>
      <c r="C99" s="2" t="s">
        <v>1249</v>
      </c>
      <c r="D99" s="2" t="s">
        <v>1250</v>
      </c>
      <c r="F99" s="3" t="s">
        <v>58</v>
      </c>
      <c r="G99" s="3" t="s">
        <v>59</v>
      </c>
      <c r="H99" s="3" t="s">
        <v>58</v>
      </c>
      <c r="I99" s="3" t="s">
        <v>58</v>
      </c>
      <c r="J99" s="3" t="s">
        <v>60</v>
      </c>
      <c r="L99" s="2" t="s">
        <v>1251</v>
      </c>
      <c r="M99" s="3" t="s">
        <v>1252</v>
      </c>
      <c r="N99" s="2" t="s">
        <v>1253</v>
      </c>
      <c r="O99" s="3" t="s">
        <v>65</v>
      </c>
      <c r="P99" s="3" t="s">
        <v>1254</v>
      </c>
      <c r="Q99" s="2" t="s">
        <v>1255</v>
      </c>
      <c r="R99" s="3" t="s">
        <v>67</v>
      </c>
      <c r="S99" s="4">
        <v>1</v>
      </c>
      <c r="T99" s="4">
        <v>1</v>
      </c>
      <c r="U99" s="5" t="s">
        <v>1256</v>
      </c>
      <c r="V99" s="5" t="s">
        <v>1256</v>
      </c>
      <c r="W99" s="5" t="s">
        <v>1257</v>
      </c>
      <c r="X99" s="5" t="s">
        <v>1257</v>
      </c>
      <c r="Y99" s="4">
        <v>334</v>
      </c>
      <c r="Z99" s="4">
        <v>239</v>
      </c>
      <c r="AA99" s="4">
        <v>258</v>
      </c>
      <c r="AB99" s="4">
        <v>4</v>
      </c>
      <c r="AC99" s="4">
        <v>4</v>
      </c>
      <c r="AD99" s="4">
        <v>14</v>
      </c>
      <c r="AE99" s="4">
        <v>14</v>
      </c>
      <c r="AF99" s="4">
        <v>5</v>
      </c>
      <c r="AG99" s="4">
        <v>5</v>
      </c>
      <c r="AH99" s="4">
        <v>3</v>
      </c>
      <c r="AI99" s="4">
        <v>3</v>
      </c>
      <c r="AJ99" s="4">
        <v>4</v>
      </c>
      <c r="AK99" s="4">
        <v>4</v>
      </c>
      <c r="AL99" s="4">
        <v>3</v>
      </c>
      <c r="AM99" s="4">
        <v>3</v>
      </c>
      <c r="AN99" s="4">
        <v>0</v>
      </c>
      <c r="AO99" s="4">
        <v>0</v>
      </c>
      <c r="AP99" s="3" t="s">
        <v>58</v>
      </c>
      <c r="AQ99" s="3" t="s">
        <v>58</v>
      </c>
      <c r="AS99" s="6" t="str">
        <f>HYPERLINK("https://creighton-primo.hosted.exlibrisgroup.com/primo-explore/search?tab=default_tab&amp;search_scope=EVERYTHING&amp;vid=01CRU&amp;lang=en_US&amp;offset=0&amp;query=any,contains,991004759789702656","Catalog Record")</f>
        <v>Catalog Record</v>
      </c>
      <c r="AT99" s="6" t="str">
        <f>HYPERLINK("http://www.worldcat.org/oclc/56894398","WorldCat Record")</f>
        <v>WorldCat Record</v>
      </c>
      <c r="AU99" s="3" t="s">
        <v>1258</v>
      </c>
      <c r="AV99" s="3" t="s">
        <v>1259</v>
      </c>
      <c r="AW99" s="3" t="s">
        <v>1260</v>
      </c>
      <c r="AX99" s="3" t="s">
        <v>1260</v>
      </c>
      <c r="AY99" s="3" t="s">
        <v>1261</v>
      </c>
      <c r="AZ99" s="3" t="s">
        <v>74</v>
      </c>
      <c r="BB99" s="3" t="s">
        <v>1262</v>
      </c>
      <c r="BC99" s="3" t="s">
        <v>1263</v>
      </c>
      <c r="BD99" s="3" t="s">
        <v>1264</v>
      </c>
    </row>
    <row r="100" spans="1:56" ht="47.25" customHeight="1" x14ac:dyDescent="0.25">
      <c r="A100" s="7" t="s">
        <v>58</v>
      </c>
      <c r="B100" s="2" t="s">
        <v>1265</v>
      </c>
      <c r="C100" s="2" t="s">
        <v>1266</v>
      </c>
      <c r="D100" s="2" t="s">
        <v>1267</v>
      </c>
      <c r="F100" s="3" t="s">
        <v>58</v>
      </c>
      <c r="G100" s="3" t="s">
        <v>59</v>
      </c>
      <c r="H100" s="3" t="s">
        <v>58</v>
      </c>
      <c r="I100" s="3" t="s">
        <v>58</v>
      </c>
      <c r="J100" s="3" t="s">
        <v>60</v>
      </c>
      <c r="K100" s="2" t="s">
        <v>1268</v>
      </c>
      <c r="L100" s="2" t="s">
        <v>1269</v>
      </c>
      <c r="M100" s="3" t="s">
        <v>1270</v>
      </c>
      <c r="O100" s="3" t="s">
        <v>65</v>
      </c>
      <c r="P100" s="3" t="s">
        <v>100</v>
      </c>
      <c r="R100" s="3" t="s">
        <v>67</v>
      </c>
      <c r="S100" s="4">
        <v>2</v>
      </c>
      <c r="T100" s="4">
        <v>2</v>
      </c>
      <c r="U100" s="5" t="s">
        <v>1271</v>
      </c>
      <c r="V100" s="5" t="s">
        <v>1271</v>
      </c>
      <c r="W100" s="5" t="s">
        <v>1272</v>
      </c>
      <c r="X100" s="5" t="s">
        <v>1272</v>
      </c>
      <c r="Y100" s="4">
        <v>300</v>
      </c>
      <c r="Z100" s="4">
        <v>278</v>
      </c>
      <c r="AA100" s="4">
        <v>1024</v>
      </c>
      <c r="AB100" s="4">
        <v>2</v>
      </c>
      <c r="AC100" s="4">
        <v>10</v>
      </c>
      <c r="AD100" s="4">
        <v>8</v>
      </c>
      <c r="AE100" s="4">
        <v>21</v>
      </c>
      <c r="AF100" s="4">
        <v>2</v>
      </c>
      <c r="AG100" s="4">
        <v>6</v>
      </c>
      <c r="AH100" s="4">
        <v>3</v>
      </c>
      <c r="AI100" s="4">
        <v>5</v>
      </c>
      <c r="AJ100" s="4">
        <v>3</v>
      </c>
      <c r="AK100" s="4">
        <v>8</v>
      </c>
      <c r="AL100" s="4">
        <v>1</v>
      </c>
      <c r="AM100" s="4">
        <v>6</v>
      </c>
      <c r="AN100" s="4">
        <v>0</v>
      </c>
      <c r="AO100" s="4">
        <v>0</v>
      </c>
      <c r="AP100" s="3" t="s">
        <v>58</v>
      </c>
      <c r="AQ100" s="3" t="s">
        <v>58</v>
      </c>
      <c r="AR100" s="6" t="str">
        <f>HYPERLINK("http://catalog.hathitrust.org/Record/009081063","HathiTrust Record")</f>
        <v>HathiTrust Record</v>
      </c>
      <c r="AS100" s="6" t="str">
        <f>HYPERLINK("https://creighton-primo.hosted.exlibrisgroup.com/primo-explore/search?tab=default_tab&amp;search_scope=EVERYTHING&amp;vid=01CRU&amp;lang=en_US&amp;offset=0&amp;query=any,contains,991003809379702656","Catalog Record")</f>
        <v>Catalog Record</v>
      </c>
      <c r="AT100" s="6" t="str">
        <f>HYPERLINK("http://www.worldcat.org/oclc/1533896","WorldCat Record")</f>
        <v>WorldCat Record</v>
      </c>
      <c r="AU100" s="3" t="s">
        <v>1273</v>
      </c>
      <c r="AV100" s="3" t="s">
        <v>1274</v>
      </c>
      <c r="AW100" s="3" t="s">
        <v>1275</v>
      </c>
      <c r="AX100" s="3" t="s">
        <v>1275</v>
      </c>
      <c r="AY100" s="3" t="s">
        <v>1276</v>
      </c>
      <c r="AZ100" s="3" t="s">
        <v>74</v>
      </c>
      <c r="BC100" s="3" t="s">
        <v>1277</v>
      </c>
      <c r="BD100" s="3" t="s">
        <v>1278</v>
      </c>
    </row>
    <row r="101" spans="1:56" ht="47.25" customHeight="1" x14ac:dyDescent="0.25">
      <c r="A101" s="7" t="s">
        <v>58</v>
      </c>
      <c r="B101" s="2" t="s">
        <v>1279</v>
      </c>
      <c r="C101" s="2" t="s">
        <v>1280</v>
      </c>
      <c r="D101" s="2" t="s">
        <v>1281</v>
      </c>
      <c r="E101" s="3" t="s">
        <v>1282</v>
      </c>
      <c r="F101" s="3" t="s">
        <v>69</v>
      </c>
      <c r="G101" s="3" t="s">
        <v>59</v>
      </c>
      <c r="H101" s="3" t="s">
        <v>58</v>
      </c>
      <c r="I101" s="3" t="s">
        <v>58</v>
      </c>
      <c r="J101" s="3" t="s">
        <v>60</v>
      </c>
      <c r="K101" s="2" t="s">
        <v>1283</v>
      </c>
      <c r="L101" s="2" t="s">
        <v>1284</v>
      </c>
      <c r="M101" s="3" t="s">
        <v>497</v>
      </c>
      <c r="O101" s="3" t="s">
        <v>65</v>
      </c>
      <c r="P101" s="3" t="s">
        <v>143</v>
      </c>
      <c r="R101" s="3" t="s">
        <v>67</v>
      </c>
      <c r="S101" s="4">
        <v>3</v>
      </c>
      <c r="T101" s="4">
        <v>10</v>
      </c>
      <c r="U101" s="5" t="s">
        <v>1285</v>
      </c>
      <c r="V101" s="5" t="s">
        <v>1285</v>
      </c>
      <c r="W101" s="5" t="s">
        <v>129</v>
      </c>
      <c r="X101" s="5" t="s">
        <v>129</v>
      </c>
      <c r="Y101" s="4">
        <v>56</v>
      </c>
      <c r="Z101" s="4">
        <v>49</v>
      </c>
      <c r="AA101" s="4">
        <v>145</v>
      </c>
      <c r="AB101" s="4">
        <v>1</v>
      </c>
      <c r="AC101" s="4">
        <v>1</v>
      </c>
      <c r="AD101" s="4">
        <v>2</v>
      </c>
      <c r="AE101" s="4">
        <v>2</v>
      </c>
      <c r="AF101" s="4">
        <v>2</v>
      </c>
      <c r="AG101" s="4">
        <v>2</v>
      </c>
      <c r="AH101" s="4">
        <v>0</v>
      </c>
      <c r="AI101" s="4">
        <v>0</v>
      </c>
      <c r="AJ101" s="4">
        <v>1</v>
      </c>
      <c r="AK101" s="4">
        <v>1</v>
      </c>
      <c r="AL101" s="4">
        <v>0</v>
      </c>
      <c r="AM101" s="4">
        <v>0</v>
      </c>
      <c r="AN101" s="4">
        <v>0</v>
      </c>
      <c r="AO101" s="4">
        <v>0</v>
      </c>
      <c r="AP101" s="3" t="s">
        <v>58</v>
      </c>
      <c r="AQ101" s="3" t="s">
        <v>69</v>
      </c>
      <c r="AR101" s="6" t="str">
        <f>HYPERLINK("http://catalog.hathitrust.org/Record/000700532","HathiTrust Record")</f>
        <v>HathiTrust Record</v>
      </c>
      <c r="AS101" s="6" t="str">
        <f>HYPERLINK("https://creighton-primo.hosted.exlibrisgroup.com/primo-explore/search?tab=default_tab&amp;search_scope=EVERYTHING&amp;vid=01CRU&amp;lang=en_US&amp;offset=0&amp;query=any,contains,991004479559702656","Catalog Record")</f>
        <v>Catalog Record</v>
      </c>
      <c r="AT101" s="6" t="str">
        <f>HYPERLINK("http://www.worldcat.org/oclc/3624312","WorldCat Record")</f>
        <v>WorldCat Record</v>
      </c>
      <c r="AU101" s="3" t="s">
        <v>1286</v>
      </c>
      <c r="AV101" s="3" t="s">
        <v>1287</v>
      </c>
      <c r="AW101" s="3" t="s">
        <v>1288</v>
      </c>
      <c r="AX101" s="3" t="s">
        <v>1288</v>
      </c>
      <c r="AY101" s="3" t="s">
        <v>1289</v>
      </c>
      <c r="AZ101" s="3" t="s">
        <v>74</v>
      </c>
      <c r="BC101" s="3" t="s">
        <v>1290</v>
      </c>
      <c r="BD101" s="3" t="s">
        <v>1291</v>
      </c>
    </row>
    <row r="102" spans="1:56" ht="47.25" customHeight="1" x14ac:dyDescent="0.25">
      <c r="A102" s="7" t="s">
        <v>58</v>
      </c>
      <c r="B102" s="2" t="s">
        <v>1279</v>
      </c>
      <c r="C102" s="2" t="s">
        <v>1280</v>
      </c>
      <c r="D102" s="2" t="s">
        <v>1281</v>
      </c>
      <c r="E102" s="3" t="s">
        <v>1292</v>
      </c>
      <c r="F102" s="3" t="s">
        <v>69</v>
      </c>
      <c r="G102" s="3" t="s">
        <v>59</v>
      </c>
      <c r="H102" s="3" t="s">
        <v>58</v>
      </c>
      <c r="I102" s="3" t="s">
        <v>58</v>
      </c>
      <c r="J102" s="3" t="s">
        <v>60</v>
      </c>
      <c r="K102" s="2" t="s">
        <v>1283</v>
      </c>
      <c r="L102" s="2" t="s">
        <v>1284</v>
      </c>
      <c r="M102" s="3" t="s">
        <v>497</v>
      </c>
      <c r="O102" s="3" t="s">
        <v>65</v>
      </c>
      <c r="P102" s="3" t="s">
        <v>143</v>
      </c>
      <c r="R102" s="3" t="s">
        <v>67</v>
      </c>
      <c r="S102" s="4">
        <v>1</v>
      </c>
      <c r="T102" s="4">
        <v>10</v>
      </c>
      <c r="V102" s="5" t="s">
        <v>1285</v>
      </c>
      <c r="W102" s="5" t="s">
        <v>129</v>
      </c>
      <c r="X102" s="5" t="s">
        <v>129</v>
      </c>
      <c r="Y102" s="4">
        <v>56</v>
      </c>
      <c r="Z102" s="4">
        <v>49</v>
      </c>
      <c r="AA102" s="4">
        <v>145</v>
      </c>
      <c r="AB102" s="4">
        <v>1</v>
      </c>
      <c r="AC102" s="4">
        <v>1</v>
      </c>
      <c r="AD102" s="4">
        <v>2</v>
      </c>
      <c r="AE102" s="4">
        <v>2</v>
      </c>
      <c r="AF102" s="4">
        <v>2</v>
      </c>
      <c r="AG102" s="4">
        <v>2</v>
      </c>
      <c r="AH102" s="4">
        <v>0</v>
      </c>
      <c r="AI102" s="4">
        <v>0</v>
      </c>
      <c r="AJ102" s="4">
        <v>1</v>
      </c>
      <c r="AK102" s="4">
        <v>1</v>
      </c>
      <c r="AL102" s="4">
        <v>0</v>
      </c>
      <c r="AM102" s="4">
        <v>0</v>
      </c>
      <c r="AN102" s="4">
        <v>0</v>
      </c>
      <c r="AO102" s="4">
        <v>0</v>
      </c>
      <c r="AP102" s="3" t="s">
        <v>58</v>
      </c>
      <c r="AQ102" s="3" t="s">
        <v>69</v>
      </c>
      <c r="AR102" s="6" t="str">
        <f>HYPERLINK("http://catalog.hathitrust.org/Record/000700532","HathiTrust Record")</f>
        <v>HathiTrust Record</v>
      </c>
      <c r="AS102" s="6" t="str">
        <f>HYPERLINK("https://creighton-primo.hosted.exlibrisgroup.com/primo-explore/search?tab=default_tab&amp;search_scope=EVERYTHING&amp;vid=01CRU&amp;lang=en_US&amp;offset=0&amp;query=any,contains,991004479559702656","Catalog Record")</f>
        <v>Catalog Record</v>
      </c>
      <c r="AT102" s="6" t="str">
        <f>HYPERLINK("http://www.worldcat.org/oclc/3624312","WorldCat Record")</f>
        <v>WorldCat Record</v>
      </c>
      <c r="AU102" s="3" t="s">
        <v>1286</v>
      </c>
      <c r="AV102" s="3" t="s">
        <v>1287</v>
      </c>
      <c r="AW102" s="3" t="s">
        <v>1288</v>
      </c>
      <c r="AX102" s="3" t="s">
        <v>1288</v>
      </c>
      <c r="AY102" s="3" t="s">
        <v>1289</v>
      </c>
      <c r="AZ102" s="3" t="s">
        <v>74</v>
      </c>
      <c r="BC102" s="3" t="s">
        <v>1293</v>
      </c>
      <c r="BD102" s="3" t="s">
        <v>1294</v>
      </c>
    </row>
    <row r="103" spans="1:56" ht="47.25" customHeight="1" x14ac:dyDescent="0.25">
      <c r="A103" s="7" t="s">
        <v>58</v>
      </c>
      <c r="B103" s="2" t="s">
        <v>1279</v>
      </c>
      <c r="C103" s="2" t="s">
        <v>1280</v>
      </c>
      <c r="D103" s="2" t="s">
        <v>1281</v>
      </c>
      <c r="E103" s="3" t="s">
        <v>277</v>
      </c>
      <c r="F103" s="3" t="s">
        <v>69</v>
      </c>
      <c r="G103" s="3" t="s">
        <v>59</v>
      </c>
      <c r="H103" s="3" t="s">
        <v>58</v>
      </c>
      <c r="I103" s="3" t="s">
        <v>58</v>
      </c>
      <c r="J103" s="3" t="s">
        <v>60</v>
      </c>
      <c r="K103" s="2" t="s">
        <v>1283</v>
      </c>
      <c r="L103" s="2" t="s">
        <v>1284</v>
      </c>
      <c r="M103" s="3" t="s">
        <v>497</v>
      </c>
      <c r="O103" s="3" t="s">
        <v>65</v>
      </c>
      <c r="P103" s="3" t="s">
        <v>143</v>
      </c>
      <c r="R103" s="3" t="s">
        <v>67</v>
      </c>
      <c r="S103" s="4">
        <v>1</v>
      </c>
      <c r="T103" s="4">
        <v>10</v>
      </c>
      <c r="V103" s="5" t="s">
        <v>1285</v>
      </c>
      <c r="W103" s="5" t="s">
        <v>129</v>
      </c>
      <c r="X103" s="5" t="s">
        <v>129</v>
      </c>
      <c r="Y103" s="4">
        <v>56</v>
      </c>
      <c r="Z103" s="4">
        <v>49</v>
      </c>
      <c r="AA103" s="4">
        <v>145</v>
      </c>
      <c r="AB103" s="4">
        <v>1</v>
      </c>
      <c r="AC103" s="4">
        <v>1</v>
      </c>
      <c r="AD103" s="4">
        <v>2</v>
      </c>
      <c r="AE103" s="4">
        <v>2</v>
      </c>
      <c r="AF103" s="4">
        <v>2</v>
      </c>
      <c r="AG103" s="4">
        <v>2</v>
      </c>
      <c r="AH103" s="4">
        <v>0</v>
      </c>
      <c r="AI103" s="4">
        <v>0</v>
      </c>
      <c r="AJ103" s="4">
        <v>1</v>
      </c>
      <c r="AK103" s="4">
        <v>1</v>
      </c>
      <c r="AL103" s="4">
        <v>0</v>
      </c>
      <c r="AM103" s="4">
        <v>0</v>
      </c>
      <c r="AN103" s="4">
        <v>0</v>
      </c>
      <c r="AO103" s="4">
        <v>0</v>
      </c>
      <c r="AP103" s="3" t="s">
        <v>58</v>
      </c>
      <c r="AQ103" s="3" t="s">
        <v>69</v>
      </c>
      <c r="AR103" s="6" t="str">
        <f>HYPERLINK("http://catalog.hathitrust.org/Record/000700532","HathiTrust Record")</f>
        <v>HathiTrust Record</v>
      </c>
      <c r="AS103" s="6" t="str">
        <f>HYPERLINK("https://creighton-primo.hosted.exlibrisgroup.com/primo-explore/search?tab=default_tab&amp;search_scope=EVERYTHING&amp;vid=01CRU&amp;lang=en_US&amp;offset=0&amp;query=any,contains,991004479559702656","Catalog Record")</f>
        <v>Catalog Record</v>
      </c>
      <c r="AT103" s="6" t="str">
        <f>HYPERLINK("http://www.worldcat.org/oclc/3624312","WorldCat Record")</f>
        <v>WorldCat Record</v>
      </c>
      <c r="AU103" s="3" t="s">
        <v>1286</v>
      </c>
      <c r="AV103" s="3" t="s">
        <v>1287</v>
      </c>
      <c r="AW103" s="3" t="s">
        <v>1288</v>
      </c>
      <c r="AX103" s="3" t="s">
        <v>1288</v>
      </c>
      <c r="AY103" s="3" t="s">
        <v>1289</v>
      </c>
      <c r="AZ103" s="3" t="s">
        <v>74</v>
      </c>
      <c r="BC103" s="3" t="s">
        <v>1295</v>
      </c>
      <c r="BD103" s="3" t="s">
        <v>1296</v>
      </c>
    </row>
    <row r="104" spans="1:56" ht="47.25" customHeight="1" x14ac:dyDescent="0.25">
      <c r="A104" s="7" t="s">
        <v>58</v>
      </c>
      <c r="B104" s="2" t="s">
        <v>1279</v>
      </c>
      <c r="C104" s="2" t="s">
        <v>1280</v>
      </c>
      <c r="D104" s="2" t="s">
        <v>1281</v>
      </c>
      <c r="E104" s="3" t="s">
        <v>293</v>
      </c>
      <c r="F104" s="3" t="s">
        <v>69</v>
      </c>
      <c r="G104" s="3" t="s">
        <v>59</v>
      </c>
      <c r="H104" s="3" t="s">
        <v>58</v>
      </c>
      <c r="I104" s="3" t="s">
        <v>58</v>
      </c>
      <c r="J104" s="3" t="s">
        <v>60</v>
      </c>
      <c r="K104" s="2" t="s">
        <v>1283</v>
      </c>
      <c r="L104" s="2" t="s">
        <v>1284</v>
      </c>
      <c r="M104" s="3" t="s">
        <v>497</v>
      </c>
      <c r="O104" s="3" t="s">
        <v>65</v>
      </c>
      <c r="P104" s="3" t="s">
        <v>143</v>
      </c>
      <c r="R104" s="3" t="s">
        <v>67</v>
      </c>
      <c r="S104" s="4">
        <v>2</v>
      </c>
      <c r="T104" s="4">
        <v>10</v>
      </c>
      <c r="V104" s="5" t="s">
        <v>1285</v>
      </c>
      <c r="W104" s="5" t="s">
        <v>129</v>
      </c>
      <c r="X104" s="5" t="s">
        <v>129</v>
      </c>
      <c r="Y104" s="4">
        <v>56</v>
      </c>
      <c r="Z104" s="4">
        <v>49</v>
      </c>
      <c r="AA104" s="4">
        <v>145</v>
      </c>
      <c r="AB104" s="4">
        <v>1</v>
      </c>
      <c r="AC104" s="4">
        <v>1</v>
      </c>
      <c r="AD104" s="4">
        <v>2</v>
      </c>
      <c r="AE104" s="4">
        <v>2</v>
      </c>
      <c r="AF104" s="4">
        <v>2</v>
      </c>
      <c r="AG104" s="4">
        <v>2</v>
      </c>
      <c r="AH104" s="4">
        <v>0</v>
      </c>
      <c r="AI104" s="4">
        <v>0</v>
      </c>
      <c r="AJ104" s="4">
        <v>1</v>
      </c>
      <c r="AK104" s="4">
        <v>1</v>
      </c>
      <c r="AL104" s="4">
        <v>0</v>
      </c>
      <c r="AM104" s="4">
        <v>0</v>
      </c>
      <c r="AN104" s="4">
        <v>0</v>
      </c>
      <c r="AO104" s="4">
        <v>0</v>
      </c>
      <c r="AP104" s="3" t="s">
        <v>58</v>
      </c>
      <c r="AQ104" s="3" t="s">
        <v>69</v>
      </c>
      <c r="AR104" s="6" t="str">
        <f>HYPERLINK("http://catalog.hathitrust.org/Record/000700532","HathiTrust Record")</f>
        <v>HathiTrust Record</v>
      </c>
      <c r="AS104" s="6" t="str">
        <f>HYPERLINK("https://creighton-primo.hosted.exlibrisgroup.com/primo-explore/search?tab=default_tab&amp;search_scope=EVERYTHING&amp;vid=01CRU&amp;lang=en_US&amp;offset=0&amp;query=any,contains,991004479559702656","Catalog Record")</f>
        <v>Catalog Record</v>
      </c>
      <c r="AT104" s="6" t="str">
        <f>HYPERLINK("http://www.worldcat.org/oclc/3624312","WorldCat Record")</f>
        <v>WorldCat Record</v>
      </c>
      <c r="AU104" s="3" t="s">
        <v>1286</v>
      </c>
      <c r="AV104" s="3" t="s">
        <v>1287</v>
      </c>
      <c r="AW104" s="3" t="s">
        <v>1288</v>
      </c>
      <c r="AX104" s="3" t="s">
        <v>1288</v>
      </c>
      <c r="AY104" s="3" t="s">
        <v>1289</v>
      </c>
      <c r="AZ104" s="3" t="s">
        <v>74</v>
      </c>
      <c r="BC104" s="3" t="s">
        <v>1297</v>
      </c>
      <c r="BD104" s="3" t="s">
        <v>1298</v>
      </c>
    </row>
    <row r="105" spans="1:56" ht="47.25" customHeight="1" x14ac:dyDescent="0.25">
      <c r="A105" s="7" t="s">
        <v>58</v>
      </c>
      <c r="B105" s="2" t="s">
        <v>1279</v>
      </c>
      <c r="C105" s="2" t="s">
        <v>1280</v>
      </c>
      <c r="D105" s="2" t="s">
        <v>1281</v>
      </c>
      <c r="E105" s="3" t="s">
        <v>290</v>
      </c>
      <c r="F105" s="3" t="s">
        <v>69</v>
      </c>
      <c r="G105" s="3" t="s">
        <v>59</v>
      </c>
      <c r="H105" s="3" t="s">
        <v>58</v>
      </c>
      <c r="I105" s="3" t="s">
        <v>58</v>
      </c>
      <c r="J105" s="3" t="s">
        <v>60</v>
      </c>
      <c r="K105" s="2" t="s">
        <v>1283</v>
      </c>
      <c r="L105" s="2" t="s">
        <v>1284</v>
      </c>
      <c r="M105" s="3" t="s">
        <v>497</v>
      </c>
      <c r="O105" s="3" t="s">
        <v>65</v>
      </c>
      <c r="P105" s="3" t="s">
        <v>143</v>
      </c>
      <c r="R105" s="3" t="s">
        <v>67</v>
      </c>
      <c r="S105" s="4">
        <v>3</v>
      </c>
      <c r="T105" s="4">
        <v>10</v>
      </c>
      <c r="U105" s="5" t="s">
        <v>1285</v>
      </c>
      <c r="V105" s="5" t="s">
        <v>1285</v>
      </c>
      <c r="W105" s="5" t="s">
        <v>129</v>
      </c>
      <c r="X105" s="5" t="s">
        <v>129</v>
      </c>
      <c r="Y105" s="4">
        <v>56</v>
      </c>
      <c r="Z105" s="4">
        <v>49</v>
      </c>
      <c r="AA105" s="4">
        <v>145</v>
      </c>
      <c r="AB105" s="4">
        <v>1</v>
      </c>
      <c r="AC105" s="4">
        <v>1</v>
      </c>
      <c r="AD105" s="4">
        <v>2</v>
      </c>
      <c r="AE105" s="4">
        <v>2</v>
      </c>
      <c r="AF105" s="4">
        <v>2</v>
      </c>
      <c r="AG105" s="4">
        <v>2</v>
      </c>
      <c r="AH105" s="4">
        <v>0</v>
      </c>
      <c r="AI105" s="4">
        <v>0</v>
      </c>
      <c r="AJ105" s="4">
        <v>1</v>
      </c>
      <c r="AK105" s="4">
        <v>1</v>
      </c>
      <c r="AL105" s="4">
        <v>0</v>
      </c>
      <c r="AM105" s="4">
        <v>0</v>
      </c>
      <c r="AN105" s="4">
        <v>0</v>
      </c>
      <c r="AO105" s="4">
        <v>0</v>
      </c>
      <c r="AP105" s="3" t="s">
        <v>58</v>
      </c>
      <c r="AQ105" s="3" t="s">
        <v>69</v>
      </c>
      <c r="AR105" s="6" t="str">
        <f>HYPERLINK("http://catalog.hathitrust.org/Record/000700532","HathiTrust Record")</f>
        <v>HathiTrust Record</v>
      </c>
      <c r="AS105" s="6" t="str">
        <f>HYPERLINK("https://creighton-primo.hosted.exlibrisgroup.com/primo-explore/search?tab=default_tab&amp;search_scope=EVERYTHING&amp;vid=01CRU&amp;lang=en_US&amp;offset=0&amp;query=any,contains,991004479559702656","Catalog Record")</f>
        <v>Catalog Record</v>
      </c>
      <c r="AT105" s="6" t="str">
        <f>HYPERLINK("http://www.worldcat.org/oclc/3624312","WorldCat Record")</f>
        <v>WorldCat Record</v>
      </c>
      <c r="AU105" s="3" t="s">
        <v>1286</v>
      </c>
      <c r="AV105" s="3" t="s">
        <v>1287</v>
      </c>
      <c r="AW105" s="3" t="s">
        <v>1288</v>
      </c>
      <c r="AX105" s="3" t="s">
        <v>1288</v>
      </c>
      <c r="AY105" s="3" t="s">
        <v>1289</v>
      </c>
      <c r="AZ105" s="3" t="s">
        <v>74</v>
      </c>
      <c r="BC105" s="3" t="s">
        <v>1299</v>
      </c>
      <c r="BD105" s="3" t="s">
        <v>1300</v>
      </c>
    </row>
    <row r="106" spans="1:56" ht="47.25" customHeight="1" x14ac:dyDescent="0.25">
      <c r="A106" s="7" t="s">
        <v>58</v>
      </c>
      <c r="B106" s="2" t="s">
        <v>1301</v>
      </c>
      <c r="C106" s="2" t="s">
        <v>1302</v>
      </c>
      <c r="D106" s="2" t="s">
        <v>1303</v>
      </c>
      <c r="F106" s="3" t="s">
        <v>58</v>
      </c>
      <c r="G106" s="3" t="s">
        <v>59</v>
      </c>
      <c r="H106" s="3" t="s">
        <v>58</v>
      </c>
      <c r="I106" s="3" t="s">
        <v>58</v>
      </c>
      <c r="J106" s="3" t="s">
        <v>60</v>
      </c>
      <c r="K106" s="2" t="s">
        <v>1304</v>
      </c>
      <c r="L106" s="2" t="s">
        <v>1305</v>
      </c>
      <c r="M106" s="3" t="s">
        <v>156</v>
      </c>
      <c r="O106" s="3" t="s">
        <v>65</v>
      </c>
      <c r="P106" s="3" t="s">
        <v>143</v>
      </c>
      <c r="Q106" s="2" t="s">
        <v>1306</v>
      </c>
      <c r="R106" s="3" t="s">
        <v>67</v>
      </c>
      <c r="S106" s="4">
        <v>5</v>
      </c>
      <c r="T106" s="4">
        <v>5</v>
      </c>
      <c r="U106" s="5" t="s">
        <v>1240</v>
      </c>
      <c r="V106" s="5" t="s">
        <v>1240</v>
      </c>
      <c r="W106" s="5" t="s">
        <v>129</v>
      </c>
      <c r="X106" s="5" t="s">
        <v>129</v>
      </c>
      <c r="Y106" s="4">
        <v>396</v>
      </c>
      <c r="Z106" s="4">
        <v>364</v>
      </c>
      <c r="AA106" s="4">
        <v>364</v>
      </c>
      <c r="AB106" s="4">
        <v>3</v>
      </c>
      <c r="AC106" s="4">
        <v>3</v>
      </c>
      <c r="AD106" s="4">
        <v>8</v>
      </c>
      <c r="AE106" s="4">
        <v>8</v>
      </c>
      <c r="AF106" s="4">
        <v>3</v>
      </c>
      <c r="AG106" s="4">
        <v>3</v>
      </c>
      <c r="AH106" s="4">
        <v>2</v>
      </c>
      <c r="AI106" s="4">
        <v>2</v>
      </c>
      <c r="AJ106" s="4">
        <v>2</v>
      </c>
      <c r="AK106" s="4">
        <v>2</v>
      </c>
      <c r="AL106" s="4">
        <v>2</v>
      </c>
      <c r="AM106" s="4">
        <v>2</v>
      </c>
      <c r="AN106" s="4">
        <v>0</v>
      </c>
      <c r="AO106" s="4">
        <v>0</v>
      </c>
      <c r="AP106" s="3" t="s">
        <v>58</v>
      </c>
      <c r="AQ106" s="3" t="s">
        <v>58</v>
      </c>
      <c r="AS106" s="6" t="str">
        <f>HYPERLINK("https://creighton-primo.hosted.exlibrisgroup.com/primo-explore/search?tab=default_tab&amp;search_scope=EVERYTHING&amp;vid=01CRU&amp;lang=en_US&amp;offset=0&amp;query=any,contains,991005000379702656","Catalog Record")</f>
        <v>Catalog Record</v>
      </c>
      <c r="AT106" s="6" t="str">
        <f>HYPERLINK("http://www.worldcat.org/oclc/6539034","WorldCat Record")</f>
        <v>WorldCat Record</v>
      </c>
      <c r="AU106" s="3" t="s">
        <v>1307</v>
      </c>
      <c r="AV106" s="3" t="s">
        <v>1308</v>
      </c>
      <c r="AW106" s="3" t="s">
        <v>1309</v>
      </c>
      <c r="AX106" s="3" t="s">
        <v>1309</v>
      </c>
      <c r="AY106" s="3" t="s">
        <v>1310</v>
      </c>
      <c r="AZ106" s="3" t="s">
        <v>74</v>
      </c>
      <c r="BB106" s="3" t="s">
        <v>1311</v>
      </c>
      <c r="BC106" s="3" t="s">
        <v>1312</v>
      </c>
      <c r="BD106" s="3" t="s">
        <v>1313</v>
      </c>
    </row>
    <row r="107" spans="1:56" ht="47.25" customHeight="1" x14ac:dyDescent="0.25">
      <c r="A107" s="7" t="s">
        <v>58</v>
      </c>
      <c r="B107" s="2" t="s">
        <v>1314</v>
      </c>
      <c r="C107" s="2" t="s">
        <v>1315</v>
      </c>
      <c r="D107" s="2" t="s">
        <v>1316</v>
      </c>
      <c r="F107" s="3" t="s">
        <v>58</v>
      </c>
      <c r="G107" s="3" t="s">
        <v>59</v>
      </c>
      <c r="H107" s="3" t="s">
        <v>58</v>
      </c>
      <c r="I107" s="3" t="s">
        <v>58</v>
      </c>
      <c r="J107" s="3" t="s">
        <v>60</v>
      </c>
      <c r="K107" s="2" t="s">
        <v>1317</v>
      </c>
      <c r="L107" s="2" t="s">
        <v>1318</v>
      </c>
      <c r="M107" s="3" t="s">
        <v>1319</v>
      </c>
      <c r="O107" s="3" t="s">
        <v>65</v>
      </c>
      <c r="P107" s="3" t="s">
        <v>127</v>
      </c>
      <c r="Q107" s="2" t="s">
        <v>1320</v>
      </c>
      <c r="R107" s="3" t="s">
        <v>67</v>
      </c>
      <c r="S107" s="4">
        <v>3</v>
      </c>
      <c r="T107" s="4">
        <v>3</v>
      </c>
      <c r="U107" s="5" t="s">
        <v>1321</v>
      </c>
      <c r="V107" s="5" t="s">
        <v>1321</v>
      </c>
      <c r="W107" s="5" t="s">
        <v>1272</v>
      </c>
      <c r="X107" s="5" t="s">
        <v>1272</v>
      </c>
      <c r="Y107" s="4">
        <v>417</v>
      </c>
      <c r="Z107" s="4">
        <v>306</v>
      </c>
      <c r="AA107" s="4">
        <v>364</v>
      </c>
      <c r="AB107" s="4">
        <v>7</v>
      </c>
      <c r="AC107" s="4">
        <v>7</v>
      </c>
      <c r="AD107" s="4">
        <v>16</v>
      </c>
      <c r="AE107" s="4">
        <v>16</v>
      </c>
      <c r="AF107" s="4">
        <v>3</v>
      </c>
      <c r="AG107" s="4">
        <v>3</v>
      </c>
      <c r="AH107" s="4">
        <v>3</v>
      </c>
      <c r="AI107" s="4">
        <v>3</v>
      </c>
      <c r="AJ107" s="4">
        <v>6</v>
      </c>
      <c r="AK107" s="4">
        <v>6</v>
      </c>
      <c r="AL107" s="4">
        <v>6</v>
      </c>
      <c r="AM107" s="4">
        <v>6</v>
      </c>
      <c r="AN107" s="4">
        <v>0</v>
      </c>
      <c r="AO107" s="4">
        <v>0</v>
      </c>
      <c r="AP107" s="3" t="s">
        <v>58</v>
      </c>
      <c r="AQ107" s="3" t="s">
        <v>69</v>
      </c>
      <c r="AR107" s="6" t="str">
        <f>HYPERLINK("http://catalog.hathitrust.org/Record/001497551","HathiTrust Record")</f>
        <v>HathiTrust Record</v>
      </c>
      <c r="AS107" s="6" t="str">
        <f>HYPERLINK("https://creighton-primo.hosted.exlibrisgroup.com/primo-explore/search?tab=default_tab&amp;search_scope=EVERYTHING&amp;vid=01CRU&amp;lang=en_US&amp;offset=0&amp;query=any,contains,991003112469702656","Catalog Record")</f>
        <v>Catalog Record</v>
      </c>
      <c r="AT107" s="6" t="str">
        <f>HYPERLINK("http://www.worldcat.org/oclc/657799","WorldCat Record")</f>
        <v>WorldCat Record</v>
      </c>
      <c r="AU107" s="3" t="s">
        <v>1322</v>
      </c>
      <c r="AV107" s="3" t="s">
        <v>1323</v>
      </c>
      <c r="AW107" s="3" t="s">
        <v>1324</v>
      </c>
      <c r="AX107" s="3" t="s">
        <v>1324</v>
      </c>
      <c r="AY107" s="3" t="s">
        <v>1325</v>
      </c>
      <c r="AZ107" s="3" t="s">
        <v>74</v>
      </c>
      <c r="BC107" s="3" t="s">
        <v>1326</v>
      </c>
      <c r="BD107" s="3" t="s">
        <v>1327</v>
      </c>
    </row>
    <row r="108" spans="1:56" ht="47.25" customHeight="1" x14ac:dyDescent="0.25">
      <c r="A108" s="7" t="s">
        <v>58</v>
      </c>
      <c r="B108" s="2" t="s">
        <v>1328</v>
      </c>
      <c r="C108" s="2" t="s">
        <v>1329</v>
      </c>
      <c r="D108" s="2" t="s">
        <v>1330</v>
      </c>
      <c r="F108" s="3" t="s">
        <v>58</v>
      </c>
      <c r="G108" s="3" t="s">
        <v>59</v>
      </c>
      <c r="H108" s="3" t="s">
        <v>58</v>
      </c>
      <c r="I108" s="3" t="s">
        <v>58</v>
      </c>
      <c r="J108" s="3" t="s">
        <v>60</v>
      </c>
      <c r="K108" s="2" t="s">
        <v>1331</v>
      </c>
      <c r="L108" s="2" t="s">
        <v>1332</v>
      </c>
      <c r="M108" s="3" t="s">
        <v>630</v>
      </c>
      <c r="N108" s="2" t="s">
        <v>1333</v>
      </c>
      <c r="O108" s="3" t="s">
        <v>65</v>
      </c>
      <c r="P108" s="3" t="s">
        <v>1334</v>
      </c>
      <c r="R108" s="3" t="s">
        <v>67</v>
      </c>
      <c r="S108" s="4">
        <v>12</v>
      </c>
      <c r="T108" s="4">
        <v>12</v>
      </c>
      <c r="U108" s="5" t="s">
        <v>1240</v>
      </c>
      <c r="V108" s="5" t="s">
        <v>1240</v>
      </c>
      <c r="W108" s="5" t="s">
        <v>1335</v>
      </c>
      <c r="X108" s="5" t="s">
        <v>1335</v>
      </c>
      <c r="Y108" s="4">
        <v>758</v>
      </c>
      <c r="Z108" s="4">
        <v>714</v>
      </c>
      <c r="AA108" s="4">
        <v>1750</v>
      </c>
      <c r="AB108" s="4">
        <v>8</v>
      </c>
      <c r="AC108" s="4">
        <v>18</v>
      </c>
      <c r="AD108" s="4">
        <v>9</v>
      </c>
      <c r="AE108" s="4">
        <v>34</v>
      </c>
      <c r="AF108" s="4">
        <v>2</v>
      </c>
      <c r="AG108" s="4">
        <v>13</v>
      </c>
      <c r="AH108" s="4">
        <v>2</v>
      </c>
      <c r="AI108" s="4">
        <v>5</v>
      </c>
      <c r="AJ108" s="4">
        <v>6</v>
      </c>
      <c r="AK108" s="4">
        <v>13</v>
      </c>
      <c r="AL108" s="4">
        <v>2</v>
      </c>
      <c r="AM108" s="4">
        <v>9</v>
      </c>
      <c r="AN108" s="4">
        <v>0</v>
      </c>
      <c r="AO108" s="4">
        <v>0</v>
      </c>
      <c r="AP108" s="3" t="s">
        <v>58</v>
      </c>
      <c r="AQ108" s="3" t="s">
        <v>58</v>
      </c>
      <c r="AS108" s="6" t="str">
        <f>HYPERLINK("https://creighton-primo.hosted.exlibrisgroup.com/primo-explore/search?tab=default_tab&amp;search_scope=EVERYTHING&amp;vid=01CRU&amp;lang=en_US&amp;offset=0&amp;query=any,contains,991004915349702656","Catalog Record")</f>
        <v>Catalog Record</v>
      </c>
      <c r="AT108" s="6" t="str">
        <f>HYPERLINK("http://www.worldcat.org/oclc/6016061","WorldCat Record")</f>
        <v>WorldCat Record</v>
      </c>
      <c r="AU108" s="3" t="s">
        <v>1336</v>
      </c>
      <c r="AV108" s="3" t="s">
        <v>1337</v>
      </c>
      <c r="AW108" s="3" t="s">
        <v>1338</v>
      </c>
      <c r="AX108" s="3" t="s">
        <v>1338</v>
      </c>
      <c r="AY108" s="3" t="s">
        <v>1339</v>
      </c>
      <c r="AZ108" s="3" t="s">
        <v>74</v>
      </c>
      <c r="BB108" s="3" t="s">
        <v>1340</v>
      </c>
      <c r="BC108" s="3" t="s">
        <v>1341</v>
      </c>
      <c r="BD108" s="3" t="s">
        <v>1342</v>
      </c>
    </row>
    <row r="109" spans="1:56" ht="47.25" customHeight="1" x14ac:dyDescent="0.25">
      <c r="A109" s="7" t="s">
        <v>58</v>
      </c>
      <c r="B109" s="2" t="s">
        <v>1343</v>
      </c>
      <c r="C109" s="2" t="s">
        <v>1344</v>
      </c>
      <c r="D109" s="2" t="s">
        <v>1345</v>
      </c>
      <c r="F109" s="3" t="s">
        <v>58</v>
      </c>
      <c r="G109" s="3" t="s">
        <v>59</v>
      </c>
      <c r="H109" s="3" t="s">
        <v>58</v>
      </c>
      <c r="I109" s="3" t="s">
        <v>58</v>
      </c>
      <c r="J109" s="3" t="s">
        <v>60</v>
      </c>
      <c r="L109" s="2" t="s">
        <v>1346</v>
      </c>
      <c r="M109" s="3" t="s">
        <v>1347</v>
      </c>
      <c r="O109" s="3" t="s">
        <v>65</v>
      </c>
      <c r="P109" s="3" t="s">
        <v>100</v>
      </c>
      <c r="Q109" s="2" t="s">
        <v>1348</v>
      </c>
      <c r="R109" s="3" t="s">
        <v>67</v>
      </c>
      <c r="S109" s="4">
        <v>6</v>
      </c>
      <c r="T109" s="4">
        <v>6</v>
      </c>
      <c r="U109" s="5" t="s">
        <v>1349</v>
      </c>
      <c r="V109" s="5" t="s">
        <v>1349</v>
      </c>
      <c r="W109" s="5" t="s">
        <v>129</v>
      </c>
      <c r="X109" s="5" t="s">
        <v>129</v>
      </c>
      <c r="Y109" s="4">
        <v>386</v>
      </c>
      <c r="Z109" s="4">
        <v>264</v>
      </c>
      <c r="AA109" s="4">
        <v>280</v>
      </c>
      <c r="AB109" s="4">
        <v>2</v>
      </c>
      <c r="AC109" s="4">
        <v>2</v>
      </c>
      <c r="AD109" s="4">
        <v>9</v>
      </c>
      <c r="AE109" s="4">
        <v>10</v>
      </c>
      <c r="AF109" s="4">
        <v>2</v>
      </c>
      <c r="AG109" s="4">
        <v>3</v>
      </c>
      <c r="AH109" s="4">
        <v>4</v>
      </c>
      <c r="AI109" s="4">
        <v>4</v>
      </c>
      <c r="AJ109" s="4">
        <v>5</v>
      </c>
      <c r="AK109" s="4">
        <v>6</v>
      </c>
      <c r="AL109" s="4">
        <v>1</v>
      </c>
      <c r="AM109" s="4">
        <v>1</v>
      </c>
      <c r="AN109" s="4">
        <v>0</v>
      </c>
      <c r="AO109" s="4">
        <v>0</v>
      </c>
      <c r="AP109" s="3" t="s">
        <v>58</v>
      </c>
      <c r="AQ109" s="3" t="s">
        <v>69</v>
      </c>
      <c r="AR109" s="6" t="str">
        <f>HYPERLINK("http://catalog.hathitrust.org/Record/000153165","HathiTrust Record")</f>
        <v>HathiTrust Record</v>
      </c>
      <c r="AS109" s="6" t="str">
        <f>HYPERLINK("https://creighton-primo.hosted.exlibrisgroup.com/primo-explore/search?tab=default_tab&amp;search_scope=EVERYTHING&amp;vid=01CRU&amp;lang=en_US&amp;offset=0&amp;query=any,contains,991000299509702656","Catalog Record")</f>
        <v>Catalog Record</v>
      </c>
      <c r="AT109" s="6" t="str">
        <f>HYPERLINK("http://www.worldcat.org/oclc/9488663","WorldCat Record")</f>
        <v>WorldCat Record</v>
      </c>
      <c r="AU109" s="3" t="s">
        <v>1350</v>
      </c>
      <c r="AV109" s="3" t="s">
        <v>1351</v>
      </c>
      <c r="AW109" s="3" t="s">
        <v>1352</v>
      </c>
      <c r="AX109" s="3" t="s">
        <v>1352</v>
      </c>
      <c r="AY109" s="3" t="s">
        <v>1353</v>
      </c>
      <c r="AZ109" s="3" t="s">
        <v>74</v>
      </c>
      <c r="BB109" s="3" t="s">
        <v>1354</v>
      </c>
      <c r="BC109" s="3" t="s">
        <v>1355</v>
      </c>
      <c r="BD109" s="3" t="s">
        <v>1356</v>
      </c>
    </row>
    <row r="110" spans="1:56" ht="47.25" customHeight="1" x14ac:dyDescent="0.25">
      <c r="A110" s="7" t="s">
        <v>58</v>
      </c>
      <c r="B110" s="2" t="s">
        <v>1357</v>
      </c>
      <c r="C110" s="2" t="s">
        <v>1358</v>
      </c>
      <c r="D110" s="2" t="s">
        <v>1359</v>
      </c>
      <c r="E110" s="3" t="s">
        <v>1292</v>
      </c>
      <c r="F110" s="3" t="s">
        <v>58</v>
      </c>
      <c r="G110" s="3" t="s">
        <v>59</v>
      </c>
      <c r="H110" s="3" t="s">
        <v>58</v>
      </c>
      <c r="I110" s="3" t="s">
        <v>58</v>
      </c>
      <c r="J110" s="3" t="s">
        <v>60</v>
      </c>
      <c r="L110" s="2" t="s">
        <v>1360</v>
      </c>
      <c r="M110" s="3" t="s">
        <v>1361</v>
      </c>
      <c r="N110" s="2" t="s">
        <v>1362</v>
      </c>
      <c r="O110" s="3" t="s">
        <v>65</v>
      </c>
      <c r="P110" s="3" t="s">
        <v>127</v>
      </c>
      <c r="Q110" s="2" t="s">
        <v>1363</v>
      </c>
      <c r="R110" s="3" t="s">
        <v>67</v>
      </c>
      <c r="S110" s="4">
        <v>4</v>
      </c>
      <c r="T110" s="4">
        <v>4</v>
      </c>
      <c r="U110" s="5" t="s">
        <v>1349</v>
      </c>
      <c r="V110" s="5" t="s">
        <v>1349</v>
      </c>
      <c r="W110" s="5" t="s">
        <v>752</v>
      </c>
      <c r="X110" s="5" t="s">
        <v>752</v>
      </c>
      <c r="Y110" s="4">
        <v>30</v>
      </c>
      <c r="Z110" s="4">
        <v>16</v>
      </c>
      <c r="AA110" s="4">
        <v>16</v>
      </c>
      <c r="AB110" s="4">
        <v>1</v>
      </c>
      <c r="AC110" s="4">
        <v>1</v>
      </c>
      <c r="AD110" s="4">
        <v>0</v>
      </c>
      <c r="AE110" s="4">
        <v>0</v>
      </c>
      <c r="AF110" s="4">
        <v>0</v>
      </c>
      <c r="AG110" s="4">
        <v>0</v>
      </c>
      <c r="AH110" s="4">
        <v>0</v>
      </c>
      <c r="AI110" s="4">
        <v>0</v>
      </c>
      <c r="AJ110" s="4">
        <v>0</v>
      </c>
      <c r="AK110" s="4">
        <v>0</v>
      </c>
      <c r="AL110" s="4">
        <v>0</v>
      </c>
      <c r="AM110" s="4">
        <v>0</v>
      </c>
      <c r="AN110" s="4">
        <v>0</v>
      </c>
      <c r="AO110" s="4">
        <v>0</v>
      </c>
      <c r="AP110" s="3" t="s">
        <v>58</v>
      </c>
      <c r="AQ110" s="3" t="s">
        <v>58</v>
      </c>
      <c r="AS110" s="6" t="str">
        <f>HYPERLINK("https://creighton-primo.hosted.exlibrisgroup.com/primo-explore/search?tab=default_tab&amp;search_scope=EVERYTHING&amp;vid=01CRU&amp;lang=en_US&amp;offset=0&amp;query=any,contains,991001912749702656","Catalog Record")</f>
        <v>Catalog Record</v>
      </c>
      <c r="AT110" s="6" t="str">
        <f>HYPERLINK("http://www.worldcat.org/oclc/24146412","WorldCat Record")</f>
        <v>WorldCat Record</v>
      </c>
      <c r="AU110" s="3" t="s">
        <v>1364</v>
      </c>
      <c r="AV110" s="3" t="s">
        <v>1365</v>
      </c>
      <c r="AW110" s="3" t="s">
        <v>1366</v>
      </c>
      <c r="AX110" s="3" t="s">
        <v>1366</v>
      </c>
      <c r="AY110" s="3" t="s">
        <v>1367</v>
      </c>
      <c r="AZ110" s="3" t="s">
        <v>74</v>
      </c>
      <c r="BB110" s="3" t="s">
        <v>1368</v>
      </c>
      <c r="BC110" s="3" t="s">
        <v>1369</v>
      </c>
      <c r="BD110" s="3" t="s">
        <v>1370</v>
      </c>
    </row>
    <row r="111" spans="1:56" ht="47.25" customHeight="1" x14ac:dyDescent="0.25">
      <c r="A111" s="7" t="s">
        <v>58</v>
      </c>
      <c r="B111" s="2" t="s">
        <v>1371</v>
      </c>
      <c r="C111" s="2" t="s">
        <v>1372</v>
      </c>
      <c r="D111" s="2" t="s">
        <v>1373</v>
      </c>
      <c r="E111" s="3" t="s">
        <v>277</v>
      </c>
      <c r="F111" s="3" t="s">
        <v>69</v>
      </c>
      <c r="G111" s="3" t="s">
        <v>59</v>
      </c>
      <c r="H111" s="3" t="s">
        <v>58</v>
      </c>
      <c r="I111" s="3" t="s">
        <v>69</v>
      </c>
      <c r="J111" s="3" t="s">
        <v>60</v>
      </c>
      <c r="L111" s="2" t="s">
        <v>1374</v>
      </c>
      <c r="M111" s="3" t="s">
        <v>1361</v>
      </c>
      <c r="O111" s="3" t="s">
        <v>65</v>
      </c>
      <c r="P111" s="3" t="s">
        <v>100</v>
      </c>
      <c r="Q111" s="2" t="s">
        <v>1375</v>
      </c>
      <c r="R111" s="3" t="s">
        <v>67</v>
      </c>
      <c r="S111" s="4">
        <v>3</v>
      </c>
      <c r="T111" s="4">
        <v>8</v>
      </c>
      <c r="U111" s="5" t="s">
        <v>1376</v>
      </c>
      <c r="V111" s="5" t="s">
        <v>1376</v>
      </c>
      <c r="W111" s="5" t="s">
        <v>1377</v>
      </c>
      <c r="X111" s="5" t="s">
        <v>1377</v>
      </c>
      <c r="Y111" s="4">
        <v>332</v>
      </c>
      <c r="Z111" s="4">
        <v>255</v>
      </c>
      <c r="AA111" s="4">
        <v>372</v>
      </c>
      <c r="AB111" s="4">
        <v>2</v>
      </c>
      <c r="AC111" s="4">
        <v>2</v>
      </c>
      <c r="AD111" s="4">
        <v>14</v>
      </c>
      <c r="AE111" s="4">
        <v>16</v>
      </c>
      <c r="AF111" s="4">
        <v>3</v>
      </c>
      <c r="AG111" s="4">
        <v>4</v>
      </c>
      <c r="AH111" s="4">
        <v>4</v>
      </c>
      <c r="AI111" s="4">
        <v>4</v>
      </c>
      <c r="AJ111" s="4">
        <v>8</v>
      </c>
      <c r="AK111" s="4">
        <v>9</v>
      </c>
      <c r="AL111" s="4">
        <v>1</v>
      </c>
      <c r="AM111" s="4">
        <v>1</v>
      </c>
      <c r="AN111" s="4">
        <v>0</v>
      </c>
      <c r="AO111" s="4">
        <v>0</v>
      </c>
      <c r="AP111" s="3" t="s">
        <v>58</v>
      </c>
      <c r="AQ111" s="3" t="s">
        <v>69</v>
      </c>
      <c r="AR111" s="6" t="str">
        <f>HYPERLINK("http://catalog.hathitrust.org/Record/002574646","HathiTrust Record")</f>
        <v>HathiTrust Record</v>
      </c>
      <c r="AS111" s="6" t="str">
        <f>HYPERLINK("https://creighton-primo.hosted.exlibrisgroup.com/primo-explore/search?tab=default_tab&amp;search_scope=EVERYTHING&amp;vid=01CRU&amp;lang=en_US&amp;offset=0&amp;query=any,contains,991001754719702656","Catalog Record")</f>
        <v>Catalog Record</v>
      </c>
      <c r="AT111" s="6" t="str">
        <f>HYPERLINK("http://www.worldcat.org/oclc/22207415","WorldCat Record")</f>
        <v>WorldCat Record</v>
      </c>
      <c r="AU111" s="3" t="s">
        <v>1378</v>
      </c>
      <c r="AV111" s="3" t="s">
        <v>1379</v>
      </c>
      <c r="AW111" s="3" t="s">
        <v>1380</v>
      </c>
      <c r="AX111" s="3" t="s">
        <v>1380</v>
      </c>
      <c r="AY111" s="3" t="s">
        <v>1381</v>
      </c>
      <c r="AZ111" s="3" t="s">
        <v>74</v>
      </c>
      <c r="BB111" s="3" t="s">
        <v>1382</v>
      </c>
      <c r="BC111" s="3" t="s">
        <v>1383</v>
      </c>
      <c r="BD111" s="3" t="s">
        <v>1384</v>
      </c>
    </row>
    <row r="112" spans="1:56" ht="47.25" customHeight="1" x14ac:dyDescent="0.25">
      <c r="A112" s="7" t="s">
        <v>58</v>
      </c>
      <c r="B112" s="2" t="s">
        <v>1371</v>
      </c>
      <c r="C112" s="2" t="s">
        <v>1372</v>
      </c>
      <c r="D112" s="2" t="s">
        <v>1373</v>
      </c>
      <c r="E112" s="3" t="s">
        <v>293</v>
      </c>
      <c r="F112" s="3" t="s">
        <v>69</v>
      </c>
      <c r="G112" s="3" t="s">
        <v>59</v>
      </c>
      <c r="H112" s="3" t="s">
        <v>58</v>
      </c>
      <c r="I112" s="3" t="s">
        <v>69</v>
      </c>
      <c r="J112" s="3" t="s">
        <v>60</v>
      </c>
      <c r="L112" s="2" t="s">
        <v>1374</v>
      </c>
      <c r="M112" s="3" t="s">
        <v>1361</v>
      </c>
      <c r="O112" s="3" t="s">
        <v>65</v>
      </c>
      <c r="P112" s="3" t="s">
        <v>100</v>
      </c>
      <c r="Q112" s="2" t="s">
        <v>1375</v>
      </c>
      <c r="R112" s="3" t="s">
        <v>67</v>
      </c>
      <c r="S112" s="4">
        <v>5</v>
      </c>
      <c r="T112" s="4">
        <v>8</v>
      </c>
      <c r="U112" s="5" t="s">
        <v>1376</v>
      </c>
      <c r="V112" s="5" t="s">
        <v>1376</v>
      </c>
      <c r="W112" s="5" t="s">
        <v>1385</v>
      </c>
      <c r="X112" s="5" t="s">
        <v>1377</v>
      </c>
      <c r="Y112" s="4">
        <v>332</v>
      </c>
      <c r="Z112" s="4">
        <v>255</v>
      </c>
      <c r="AA112" s="4">
        <v>372</v>
      </c>
      <c r="AB112" s="4">
        <v>2</v>
      </c>
      <c r="AC112" s="4">
        <v>2</v>
      </c>
      <c r="AD112" s="4">
        <v>14</v>
      </c>
      <c r="AE112" s="4">
        <v>16</v>
      </c>
      <c r="AF112" s="4">
        <v>3</v>
      </c>
      <c r="AG112" s="4">
        <v>4</v>
      </c>
      <c r="AH112" s="4">
        <v>4</v>
      </c>
      <c r="AI112" s="4">
        <v>4</v>
      </c>
      <c r="AJ112" s="4">
        <v>8</v>
      </c>
      <c r="AK112" s="4">
        <v>9</v>
      </c>
      <c r="AL112" s="4">
        <v>1</v>
      </c>
      <c r="AM112" s="4">
        <v>1</v>
      </c>
      <c r="AN112" s="4">
        <v>0</v>
      </c>
      <c r="AO112" s="4">
        <v>0</v>
      </c>
      <c r="AP112" s="3" t="s">
        <v>58</v>
      </c>
      <c r="AQ112" s="3" t="s">
        <v>69</v>
      </c>
      <c r="AR112" s="6" t="str">
        <f>HYPERLINK("http://catalog.hathitrust.org/Record/002574646","HathiTrust Record")</f>
        <v>HathiTrust Record</v>
      </c>
      <c r="AS112" s="6" t="str">
        <f>HYPERLINK("https://creighton-primo.hosted.exlibrisgroup.com/primo-explore/search?tab=default_tab&amp;search_scope=EVERYTHING&amp;vid=01CRU&amp;lang=en_US&amp;offset=0&amp;query=any,contains,991001754719702656","Catalog Record")</f>
        <v>Catalog Record</v>
      </c>
      <c r="AT112" s="6" t="str">
        <f>HYPERLINK("http://www.worldcat.org/oclc/22207415","WorldCat Record")</f>
        <v>WorldCat Record</v>
      </c>
      <c r="AU112" s="3" t="s">
        <v>1378</v>
      </c>
      <c r="AV112" s="3" t="s">
        <v>1379</v>
      </c>
      <c r="AW112" s="3" t="s">
        <v>1380</v>
      </c>
      <c r="AX112" s="3" t="s">
        <v>1380</v>
      </c>
      <c r="AY112" s="3" t="s">
        <v>1381</v>
      </c>
      <c r="AZ112" s="3" t="s">
        <v>74</v>
      </c>
      <c r="BB112" s="3" t="s">
        <v>1382</v>
      </c>
      <c r="BC112" s="3" t="s">
        <v>1386</v>
      </c>
      <c r="BD112" s="3" t="s">
        <v>1387</v>
      </c>
    </row>
    <row r="113" spans="1:56" ht="47.25" customHeight="1" x14ac:dyDescent="0.25">
      <c r="A113" s="7" t="s">
        <v>58</v>
      </c>
      <c r="B113" s="2" t="s">
        <v>1388</v>
      </c>
      <c r="C113" s="2" t="s">
        <v>1389</v>
      </c>
      <c r="D113" s="2" t="s">
        <v>1390</v>
      </c>
      <c r="F113" s="3" t="s">
        <v>58</v>
      </c>
      <c r="G113" s="3" t="s">
        <v>59</v>
      </c>
      <c r="H113" s="3" t="s">
        <v>58</v>
      </c>
      <c r="I113" s="3" t="s">
        <v>58</v>
      </c>
      <c r="J113" s="3" t="s">
        <v>60</v>
      </c>
      <c r="L113" s="2" t="s">
        <v>1391</v>
      </c>
      <c r="M113" s="3" t="s">
        <v>438</v>
      </c>
      <c r="O113" s="3" t="s">
        <v>65</v>
      </c>
      <c r="P113" s="3" t="s">
        <v>100</v>
      </c>
      <c r="Q113" s="2" t="s">
        <v>1392</v>
      </c>
      <c r="R113" s="3" t="s">
        <v>67</v>
      </c>
      <c r="S113" s="4">
        <v>7</v>
      </c>
      <c r="T113" s="4">
        <v>7</v>
      </c>
      <c r="U113" s="5" t="s">
        <v>1376</v>
      </c>
      <c r="V113" s="5" t="s">
        <v>1376</v>
      </c>
      <c r="W113" s="5" t="s">
        <v>1393</v>
      </c>
      <c r="X113" s="5" t="s">
        <v>1393</v>
      </c>
      <c r="Y113" s="4">
        <v>349</v>
      </c>
      <c r="Z113" s="4">
        <v>261</v>
      </c>
      <c r="AA113" s="4">
        <v>273</v>
      </c>
      <c r="AB113" s="4">
        <v>2</v>
      </c>
      <c r="AC113" s="4">
        <v>2</v>
      </c>
      <c r="AD113" s="4">
        <v>11</v>
      </c>
      <c r="AE113" s="4">
        <v>11</v>
      </c>
      <c r="AF113" s="4">
        <v>2</v>
      </c>
      <c r="AG113" s="4">
        <v>2</v>
      </c>
      <c r="AH113" s="4">
        <v>3</v>
      </c>
      <c r="AI113" s="4">
        <v>3</v>
      </c>
      <c r="AJ113" s="4">
        <v>8</v>
      </c>
      <c r="AK113" s="4">
        <v>8</v>
      </c>
      <c r="AL113" s="4">
        <v>1</v>
      </c>
      <c r="AM113" s="4">
        <v>1</v>
      </c>
      <c r="AN113" s="4">
        <v>0</v>
      </c>
      <c r="AO113" s="4">
        <v>0</v>
      </c>
      <c r="AP113" s="3" t="s">
        <v>58</v>
      </c>
      <c r="AQ113" s="3" t="s">
        <v>69</v>
      </c>
      <c r="AR113" s="6" t="str">
        <f>HYPERLINK("http://catalog.hathitrust.org/Record/010597923","HathiTrust Record")</f>
        <v>HathiTrust Record</v>
      </c>
      <c r="AS113" s="6" t="str">
        <f>HYPERLINK("https://creighton-primo.hosted.exlibrisgroup.com/primo-explore/search?tab=default_tab&amp;search_scope=EVERYTHING&amp;vid=01CRU&amp;lang=en_US&amp;offset=0&amp;query=any,contains,991005195269702656","Catalog Record")</f>
        <v>Catalog Record</v>
      </c>
      <c r="AT113" s="6" t="str">
        <f>HYPERLINK("http://www.worldcat.org/oclc/8034740","WorldCat Record")</f>
        <v>WorldCat Record</v>
      </c>
      <c r="AU113" s="3" t="s">
        <v>1394</v>
      </c>
      <c r="AV113" s="3" t="s">
        <v>1395</v>
      </c>
      <c r="AW113" s="3" t="s">
        <v>1396</v>
      </c>
      <c r="AX113" s="3" t="s">
        <v>1396</v>
      </c>
      <c r="AY113" s="3" t="s">
        <v>1397</v>
      </c>
      <c r="AZ113" s="3" t="s">
        <v>74</v>
      </c>
      <c r="BB113" s="3" t="s">
        <v>1398</v>
      </c>
      <c r="BC113" s="3" t="s">
        <v>1399</v>
      </c>
      <c r="BD113" s="3" t="s">
        <v>1400</v>
      </c>
    </row>
    <row r="114" spans="1:56" ht="47.25" customHeight="1" x14ac:dyDescent="0.25">
      <c r="A114" s="7" t="s">
        <v>58</v>
      </c>
      <c r="B114" s="2" t="s">
        <v>1401</v>
      </c>
      <c r="C114" s="2" t="s">
        <v>1402</v>
      </c>
      <c r="D114" s="2" t="s">
        <v>1403</v>
      </c>
      <c r="F114" s="3" t="s">
        <v>58</v>
      </c>
      <c r="G114" s="3" t="s">
        <v>59</v>
      </c>
      <c r="H114" s="3" t="s">
        <v>58</v>
      </c>
      <c r="I114" s="3" t="s">
        <v>58</v>
      </c>
      <c r="J114" s="3" t="s">
        <v>60</v>
      </c>
      <c r="K114" s="2" t="s">
        <v>1404</v>
      </c>
      <c r="L114" s="2" t="s">
        <v>1405</v>
      </c>
      <c r="M114" s="3" t="s">
        <v>1190</v>
      </c>
      <c r="N114" s="2" t="s">
        <v>1406</v>
      </c>
      <c r="O114" s="3" t="s">
        <v>65</v>
      </c>
      <c r="P114" s="3" t="s">
        <v>1011</v>
      </c>
      <c r="R114" s="3" t="s">
        <v>67</v>
      </c>
      <c r="S114" s="4">
        <v>3</v>
      </c>
      <c r="T114" s="4">
        <v>3</v>
      </c>
      <c r="U114" s="5" t="s">
        <v>1407</v>
      </c>
      <c r="V114" s="5" t="s">
        <v>1407</v>
      </c>
      <c r="W114" s="5" t="s">
        <v>1272</v>
      </c>
      <c r="X114" s="5" t="s">
        <v>1272</v>
      </c>
      <c r="Y114" s="4">
        <v>754</v>
      </c>
      <c r="Z114" s="4">
        <v>654</v>
      </c>
      <c r="AA114" s="4">
        <v>943</v>
      </c>
      <c r="AB114" s="4">
        <v>6</v>
      </c>
      <c r="AC114" s="4">
        <v>7</v>
      </c>
      <c r="AD114" s="4">
        <v>24</v>
      </c>
      <c r="AE114" s="4">
        <v>40</v>
      </c>
      <c r="AF114" s="4">
        <v>9</v>
      </c>
      <c r="AG114" s="4">
        <v>16</v>
      </c>
      <c r="AH114" s="4">
        <v>5</v>
      </c>
      <c r="AI114" s="4">
        <v>8</v>
      </c>
      <c r="AJ114" s="4">
        <v>13</v>
      </c>
      <c r="AK114" s="4">
        <v>20</v>
      </c>
      <c r="AL114" s="4">
        <v>5</v>
      </c>
      <c r="AM114" s="4">
        <v>6</v>
      </c>
      <c r="AN114" s="4">
        <v>0</v>
      </c>
      <c r="AO114" s="4">
        <v>0</v>
      </c>
      <c r="AP114" s="3" t="s">
        <v>58</v>
      </c>
      <c r="AQ114" s="3" t="s">
        <v>58</v>
      </c>
      <c r="AS114" s="6" t="str">
        <f>HYPERLINK("https://creighton-primo.hosted.exlibrisgroup.com/primo-explore/search?tab=default_tab&amp;search_scope=EVERYTHING&amp;vid=01CRU&amp;lang=en_US&amp;offset=0&amp;query=any,contains,991002289399702656","Catalog Record")</f>
        <v>Catalog Record</v>
      </c>
      <c r="AT114" s="6" t="str">
        <f>HYPERLINK("http://www.worldcat.org/oclc/312535","WorldCat Record")</f>
        <v>WorldCat Record</v>
      </c>
      <c r="AU114" s="3" t="s">
        <v>1408</v>
      </c>
      <c r="AV114" s="3" t="s">
        <v>1409</v>
      </c>
      <c r="AW114" s="3" t="s">
        <v>1410</v>
      </c>
      <c r="AX114" s="3" t="s">
        <v>1410</v>
      </c>
      <c r="AY114" s="3" t="s">
        <v>1411</v>
      </c>
      <c r="AZ114" s="3" t="s">
        <v>74</v>
      </c>
      <c r="BC114" s="3" t="s">
        <v>1412</v>
      </c>
      <c r="BD114" s="3" t="s">
        <v>1413</v>
      </c>
    </row>
    <row r="115" spans="1:56" ht="47.25" customHeight="1" x14ac:dyDescent="0.25">
      <c r="A115" s="7" t="s">
        <v>58</v>
      </c>
      <c r="B115" s="2" t="s">
        <v>1414</v>
      </c>
      <c r="C115" s="2" t="s">
        <v>1415</v>
      </c>
      <c r="D115" s="2" t="s">
        <v>1416</v>
      </c>
      <c r="F115" s="3" t="s">
        <v>58</v>
      </c>
      <c r="G115" s="3" t="s">
        <v>59</v>
      </c>
      <c r="H115" s="3" t="s">
        <v>58</v>
      </c>
      <c r="I115" s="3" t="s">
        <v>58</v>
      </c>
      <c r="J115" s="3" t="s">
        <v>60</v>
      </c>
      <c r="K115" s="2" t="s">
        <v>1417</v>
      </c>
      <c r="L115" s="2" t="s">
        <v>1418</v>
      </c>
      <c r="M115" s="3" t="s">
        <v>83</v>
      </c>
      <c r="O115" s="3" t="s">
        <v>65</v>
      </c>
      <c r="P115" s="3" t="s">
        <v>100</v>
      </c>
      <c r="R115" s="3" t="s">
        <v>67</v>
      </c>
      <c r="S115" s="4">
        <v>1</v>
      </c>
      <c r="T115" s="4">
        <v>1</v>
      </c>
      <c r="U115" s="5" t="s">
        <v>1419</v>
      </c>
      <c r="V115" s="5" t="s">
        <v>1419</v>
      </c>
      <c r="W115" s="5" t="s">
        <v>1272</v>
      </c>
      <c r="X115" s="5" t="s">
        <v>1272</v>
      </c>
      <c r="Y115" s="4">
        <v>430</v>
      </c>
      <c r="Z115" s="4">
        <v>350</v>
      </c>
      <c r="AA115" s="4">
        <v>356</v>
      </c>
      <c r="AB115" s="4">
        <v>3</v>
      </c>
      <c r="AC115" s="4">
        <v>3</v>
      </c>
      <c r="AD115" s="4">
        <v>10</v>
      </c>
      <c r="AE115" s="4">
        <v>10</v>
      </c>
      <c r="AF115" s="4">
        <v>3</v>
      </c>
      <c r="AG115" s="4">
        <v>3</v>
      </c>
      <c r="AH115" s="4">
        <v>2</v>
      </c>
      <c r="AI115" s="4">
        <v>2</v>
      </c>
      <c r="AJ115" s="4">
        <v>4</v>
      </c>
      <c r="AK115" s="4">
        <v>4</v>
      </c>
      <c r="AL115" s="4">
        <v>2</v>
      </c>
      <c r="AM115" s="4">
        <v>2</v>
      </c>
      <c r="AN115" s="4">
        <v>0</v>
      </c>
      <c r="AO115" s="4">
        <v>0</v>
      </c>
      <c r="AP115" s="3" t="s">
        <v>58</v>
      </c>
      <c r="AQ115" s="3" t="s">
        <v>58</v>
      </c>
      <c r="AS115" s="6" t="str">
        <f>HYPERLINK("https://creighton-primo.hosted.exlibrisgroup.com/primo-explore/search?tab=default_tab&amp;search_scope=EVERYTHING&amp;vid=01CRU&amp;lang=en_US&amp;offset=0&amp;query=any,contains,991002561599702656","Catalog Record")</f>
        <v>Catalog Record</v>
      </c>
      <c r="AT115" s="6" t="str">
        <f>HYPERLINK("http://www.worldcat.org/oclc/371824","WorldCat Record")</f>
        <v>WorldCat Record</v>
      </c>
      <c r="AU115" s="3" t="s">
        <v>1420</v>
      </c>
      <c r="AV115" s="3" t="s">
        <v>1421</v>
      </c>
      <c r="AW115" s="3" t="s">
        <v>1422</v>
      </c>
      <c r="AX115" s="3" t="s">
        <v>1422</v>
      </c>
      <c r="AY115" s="3" t="s">
        <v>1423</v>
      </c>
      <c r="AZ115" s="3" t="s">
        <v>74</v>
      </c>
      <c r="BC115" s="3" t="s">
        <v>1424</v>
      </c>
      <c r="BD115" s="3" t="s">
        <v>1425</v>
      </c>
    </row>
    <row r="116" spans="1:56" ht="47.25" customHeight="1" x14ac:dyDescent="0.25">
      <c r="A116" s="7" t="s">
        <v>58</v>
      </c>
      <c r="B116" s="2" t="s">
        <v>1426</v>
      </c>
      <c r="C116" s="2" t="s">
        <v>1427</v>
      </c>
      <c r="D116" s="2" t="s">
        <v>1428</v>
      </c>
      <c r="F116" s="3" t="s">
        <v>58</v>
      </c>
      <c r="G116" s="3" t="s">
        <v>59</v>
      </c>
      <c r="H116" s="3" t="s">
        <v>58</v>
      </c>
      <c r="I116" s="3" t="s">
        <v>58</v>
      </c>
      <c r="J116" s="3" t="s">
        <v>60</v>
      </c>
      <c r="K116" s="2" t="s">
        <v>1429</v>
      </c>
      <c r="L116" s="2" t="s">
        <v>1430</v>
      </c>
      <c r="M116" s="3" t="s">
        <v>1431</v>
      </c>
      <c r="O116" s="3" t="s">
        <v>65</v>
      </c>
      <c r="P116" s="3" t="s">
        <v>100</v>
      </c>
      <c r="R116" s="3" t="s">
        <v>67</v>
      </c>
      <c r="S116" s="4">
        <v>2</v>
      </c>
      <c r="T116" s="4">
        <v>2</v>
      </c>
      <c r="U116" s="5" t="s">
        <v>1419</v>
      </c>
      <c r="V116" s="5" t="s">
        <v>1419</v>
      </c>
      <c r="W116" s="5" t="s">
        <v>1272</v>
      </c>
      <c r="X116" s="5" t="s">
        <v>1272</v>
      </c>
      <c r="Y116" s="4">
        <v>298</v>
      </c>
      <c r="Z116" s="4">
        <v>266</v>
      </c>
      <c r="AA116" s="4">
        <v>295</v>
      </c>
      <c r="AB116" s="4">
        <v>4</v>
      </c>
      <c r="AC116" s="4">
        <v>4</v>
      </c>
      <c r="AD116" s="4">
        <v>10</v>
      </c>
      <c r="AE116" s="4">
        <v>10</v>
      </c>
      <c r="AF116" s="4">
        <v>1</v>
      </c>
      <c r="AG116" s="4">
        <v>1</v>
      </c>
      <c r="AH116" s="4">
        <v>3</v>
      </c>
      <c r="AI116" s="4">
        <v>3</v>
      </c>
      <c r="AJ116" s="4">
        <v>4</v>
      </c>
      <c r="AK116" s="4">
        <v>4</v>
      </c>
      <c r="AL116" s="4">
        <v>3</v>
      </c>
      <c r="AM116" s="4">
        <v>3</v>
      </c>
      <c r="AN116" s="4">
        <v>0</v>
      </c>
      <c r="AO116" s="4">
        <v>0</v>
      </c>
      <c r="AP116" s="3" t="s">
        <v>69</v>
      </c>
      <c r="AQ116" s="3" t="s">
        <v>58</v>
      </c>
      <c r="AR116" s="6" t="str">
        <f>HYPERLINK("http://catalog.hathitrust.org/Record/001497710","HathiTrust Record")</f>
        <v>HathiTrust Record</v>
      </c>
      <c r="AS116" s="6" t="str">
        <f>HYPERLINK("https://creighton-primo.hosted.exlibrisgroup.com/primo-explore/search?tab=default_tab&amp;search_scope=EVERYTHING&amp;vid=01CRU&amp;lang=en_US&amp;offset=0&amp;query=any,contains,991003520509702656","Catalog Record")</f>
        <v>Catalog Record</v>
      </c>
      <c r="AT116" s="6" t="str">
        <f>HYPERLINK("http://www.worldcat.org/oclc/1080651","WorldCat Record")</f>
        <v>WorldCat Record</v>
      </c>
      <c r="AU116" s="3" t="s">
        <v>1432</v>
      </c>
      <c r="AV116" s="3" t="s">
        <v>1433</v>
      </c>
      <c r="AW116" s="3" t="s">
        <v>1434</v>
      </c>
      <c r="AX116" s="3" t="s">
        <v>1434</v>
      </c>
      <c r="AY116" s="3" t="s">
        <v>1435</v>
      </c>
      <c r="AZ116" s="3" t="s">
        <v>74</v>
      </c>
      <c r="BC116" s="3" t="s">
        <v>1436</v>
      </c>
      <c r="BD116" s="3" t="s">
        <v>1437</v>
      </c>
    </row>
    <row r="117" spans="1:56" ht="47.25" customHeight="1" x14ac:dyDescent="0.25">
      <c r="A117" s="7" t="s">
        <v>58</v>
      </c>
      <c r="B117" s="2" t="s">
        <v>1438</v>
      </c>
      <c r="C117" s="2" t="s">
        <v>1439</v>
      </c>
      <c r="D117" s="2" t="s">
        <v>1440</v>
      </c>
      <c r="F117" s="3" t="s">
        <v>58</v>
      </c>
      <c r="G117" s="3" t="s">
        <v>59</v>
      </c>
      <c r="H117" s="3" t="s">
        <v>58</v>
      </c>
      <c r="I117" s="3" t="s">
        <v>58</v>
      </c>
      <c r="J117" s="3" t="s">
        <v>60</v>
      </c>
      <c r="K117" s="2" t="s">
        <v>1441</v>
      </c>
      <c r="L117" s="2" t="s">
        <v>1442</v>
      </c>
      <c r="M117" s="3" t="s">
        <v>1443</v>
      </c>
      <c r="O117" s="3" t="s">
        <v>65</v>
      </c>
      <c r="P117" s="3" t="s">
        <v>100</v>
      </c>
      <c r="R117" s="3" t="s">
        <v>67</v>
      </c>
      <c r="S117" s="4">
        <v>1</v>
      </c>
      <c r="T117" s="4">
        <v>1</v>
      </c>
      <c r="U117" s="5" t="s">
        <v>1444</v>
      </c>
      <c r="V117" s="5" t="s">
        <v>1444</v>
      </c>
      <c r="W117" s="5" t="s">
        <v>1272</v>
      </c>
      <c r="X117" s="5" t="s">
        <v>1272</v>
      </c>
      <c r="Y117" s="4">
        <v>459</v>
      </c>
      <c r="Z117" s="4">
        <v>377</v>
      </c>
      <c r="AA117" s="4">
        <v>791</v>
      </c>
      <c r="AB117" s="4">
        <v>2</v>
      </c>
      <c r="AC117" s="4">
        <v>5</v>
      </c>
      <c r="AD117" s="4">
        <v>11</v>
      </c>
      <c r="AE117" s="4">
        <v>24</v>
      </c>
      <c r="AF117" s="4">
        <v>4</v>
      </c>
      <c r="AG117" s="4">
        <v>9</v>
      </c>
      <c r="AH117" s="4">
        <v>2</v>
      </c>
      <c r="AI117" s="4">
        <v>3</v>
      </c>
      <c r="AJ117" s="4">
        <v>6</v>
      </c>
      <c r="AK117" s="4">
        <v>10</v>
      </c>
      <c r="AL117" s="4">
        <v>1</v>
      </c>
      <c r="AM117" s="4">
        <v>4</v>
      </c>
      <c r="AN117" s="4">
        <v>0</v>
      </c>
      <c r="AO117" s="4">
        <v>0</v>
      </c>
      <c r="AP117" s="3" t="s">
        <v>58</v>
      </c>
      <c r="AQ117" s="3" t="s">
        <v>69</v>
      </c>
      <c r="AR117" s="6" t="str">
        <f>HYPERLINK("http://catalog.hathitrust.org/Record/001992723","HathiTrust Record")</f>
        <v>HathiTrust Record</v>
      </c>
      <c r="AS117" s="6" t="str">
        <f>HYPERLINK("https://creighton-primo.hosted.exlibrisgroup.com/primo-explore/search?tab=default_tab&amp;search_scope=EVERYTHING&amp;vid=01CRU&amp;lang=en_US&amp;offset=0&amp;query=any,contains,991003461149702656","Catalog Record")</f>
        <v>Catalog Record</v>
      </c>
      <c r="AT117" s="6" t="str">
        <f>HYPERLINK("http://www.worldcat.org/oclc/1002853","WorldCat Record")</f>
        <v>WorldCat Record</v>
      </c>
      <c r="AU117" s="3" t="s">
        <v>1445</v>
      </c>
      <c r="AV117" s="3" t="s">
        <v>1446</v>
      </c>
      <c r="AW117" s="3" t="s">
        <v>1447</v>
      </c>
      <c r="AX117" s="3" t="s">
        <v>1447</v>
      </c>
      <c r="AY117" s="3" t="s">
        <v>1448</v>
      </c>
      <c r="AZ117" s="3" t="s">
        <v>74</v>
      </c>
      <c r="BC117" s="3" t="s">
        <v>1449</v>
      </c>
      <c r="BD117" s="3" t="s">
        <v>1450</v>
      </c>
    </row>
    <row r="118" spans="1:56" ht="47.25" customHeight="1" x14ac:dyDescent="0.25">
      <c r="A118" s="7" t="s">
        <v>58</v>
      </c>
      <c r="B118" s="2" t="s">
        <v>1451</v>
      </c>
      <c r="C118" s="2" t="s">
        <v>1452</v>
      </c>
      <c r="D118" s="2" t="s">
        <v>1453</v>
      </c>
      <c r="F118" s="3" t="s">
        <v>58</v>
      </c>
      <c r="G118" s="3" t="s">
        <v>59</v>
      </c>
      <c r="H118" s="3" t="s">
        <v>58</v>
      </c>
      <c r="I118" s="3" t="s">
        <v>58</v>
      </c>
      <c r="J118" s="3" t="s">
        <v>60</v>
      </c>
      <c r="K118" s="2" t="s">
        <v>1454</v>
      </c>
      <c r="M118" s="3" t="s">
        <v>1455</v>
      </c>
      <c r="N118" s="2" t="s">
        <v>84</v>
      </c>
      <c r="O118" s="3" t="s">
        <v>65</v>
      </c>
      <c r="P118" s="3" t="s">
        <v>100</v>
      </c>
      <c r="Q118" s="2" t="s">
        <v>1456</v>
      </c>
      <c r="R118" s="3" t="s">
        <v>67</v>
      </c>
      <c r="S118" s="4">
        <v>1</v>
      </c>
      <c r="T118" s="4">
        <v>1</v>
      </c>
      <c r="U118" s="5" t="s">
        <v>157</v>
      </c>
      <c r="V118" s="5" t="s">
        <v>157</v>
      </c>
      <c r="W118" s="5" t="s">
        <v>1241</v>
      </c>
      <c r="X118" s="5" t="s">
        <v>1241</v>
      </c>
      <c r="Y118" s="4">
        <v>593</v>
      </c>
      <c r="Z118" s="4">
        <v>469</v>
      </c>
      <c r="AA118" s="4">
        <v>675</v>
      </c>
      <c r="AB118" s="4">
        <v>8</v>
      </c>
      <c r="AC118" s="4">
        <v>8</v>
      </c>
      <c r="AD118" s="4">
        <v>20</v>
      </c>
      <c r="AE118" s="4">
        <v>25</v>
      </c>
      <c r="AF118" s="4">
        <v>5</v>
      </c>
      <c r="AG118" s="4">
        <v>7</v>
      </c>
      <c r="AH118" s="4">
        <v>5</v>
      </c>
      <c r="AI118" s="4">
        <v>7</v>
      </c>
      <c r="AJ118" s="4">
        <v>8</v>
      </c>
      <c r="AK118" s="4">
        <v>11</v>
      </c>
      <c r="AL118" s="4">
        <v>6</v>
      </c>
      <c r="AM118" s="4">
        <v>6</v>
      </c>
      <c r="AN118" s="4">
        <v>0</v>
      </c>
      <c r="AO118" s="4">
        <v>0</v>
      </c>
      <c r="AP118" s="3" t="s">
        <v>58</v>
      </c>
      <c r="AQ118" s="3" t="s">
        <v>69</v>
      </c>
      <c r="AR118" s="6" t="str">
        <f>HYPERLINK("http://catalog.hathitrust.org/Record/001959220","HathiTrust Record")</f>
        <v>HathiTrust Record</v>
      </c>
      <c r="AS118" s="6" t="str">
        <f>HYPERLINK("https://creighton-primo.hosted.exlibrisgroup.com/primo-explore/search?tab=default_tab&amp;search_scope=EVERYTHING&amp;vid=01CRU&amp;lang=en_US&amp;offset=0&amp;query=any,contains,991002443289702656","Catalog Record")</f>
        <v>Catalog Record</v>
      </c>
      <c r="AT118" s="6" t="str">
        <f>HYPERLINK("http://www.worldcat.org/oclc/350779","WorldCat Record")</f>
        <v>WorldCat Record</v>
      </c>
      <c r="AU118" s="3" t="s">
        <v>1457</v>
      </c>
      <c r="AV118" s="3" t="s">
        <v>1458</v>
      </c>
      <c r="AW118" s="3" t="s">
        <v>1459</v>
      </c>
      <c r="AX118" s="3" t="s">
        <v>1459</v>
      </c>
      <c r="AY118" s="3" t="s">
        <v>1460</v>
      </c>
      <c r="AZ118" s="3" t="s">
        <v>74</v>
      </c>
      <c r="BC118" s="3" t="s">
        <v>1461</v>
      </c>
      <c r="BD118" s="3" t="s">
        <v>1462</v>
      </c>
    </row>
    <row r="119" spans="1:56" ht="47.25" customHeight="1" x14ac:dyDescent="0.25">
      <c r="A119" s="7" t="s">
        <v>58</v>
      </c>
      <c r="B119" s="2" t="s">
        <v>1463</v>
      </c>
      <c r="C119" s="2" t="s">
        <v>1464</v>
      </c>
      <c r="D119" s="2" t="s">
        <v>1465</v>
      </c>
      <c r="F119" s="3" t="s">
        <v>58</v>
      </c>
      <c r="G119" s="3" t="s">
        <v>59</v>
      </c>
      <c r="H119" s="3" t="s">
        <v>58</v>
      </c>
      <c r="I119" s="3" t="s">
        <v>58</v>
      </c>
      <c r="J119" s="3" t="s">
        <v>60</v>
      </c>
      <c r="K119" s="2" t="s">
        <v>1454</v>
      </c>
      <c r="L119" s="2" t="s">
        <v>1466</v>
      </c>
      <c r="M119" s="3" t="s">
        <v>1270</v>
      </c>
      <c r="N119" s="2" t="s">
        <v>470</v>
      </c>
      <c r="O119" s="3" t="s">
        <v>65</v>
      </c>
      <c r="P119" s="3" t="s">
        <v>100</v>
      </c>
      <c r="Q119" s="2" t="s">
        <v>1467</v>
      </c>
      <c r="R119" s="3" t="s">
        <v>67</v>
      </c>
      <c r="S119" s="4">
        <v>1</v>
      </c>
      <c r="T119" s="4">
        <v>1</v>
      </c>
      <c r="U119" s="5" t="s">
        <v>128</v>
      </c>
      <c r="V119" s="5" t="s">
        <v>128</v>
      </c>
      <c r="W119" s="5" t="s">
        <v>1468</v>
      </c>
      <c r="X119" s="5" t="s">
        <v>1468</v>
      </c>
      <c r="Y119" s="4">
        <v>627</v>
      </c>
      <c r="Z119" s="4">
        <v>514</v>
      </c>
      <c r="AA119" s="4">
        <v>570</v>
      </c>
      <c r="AB119" s="4">
        <v>4</v>
      </c>
      <c r="AC119" s="4">
        <v>5</v>
      </c>
      <c r="AD119" s="4">
        <v>17</v>
      </c>
      <c r="AE119" s="4">
        <v>19</v>
      </c>
      <c r="AF119" s="4">
        <v>4</v>
      </c>
      <c r="AG119" s="4">
        <v>5</v>
      </c>
      <c r="AH119" s="4">
        <v>3</v>
      </c>
      <c r="AI119" s="4">
        <v>4</v>
      </c>
      <c r="AJ119" s="4">
        <v>11</v>
      </c>
      <c r="AK119" s="4">
        <v>11</v>
      </c>
      <c r="AL119" s="4">
        <v>3</v>
      </c>
      <c r="AM119" s="4">
        <v>4</v>
      </c>
      <c r="AN119" s="4">
        <v>1</v>
      </c>
      <c r="AO119" s="4">
        <v>1</v>
      </c>
      <c r="AP119" s="3" t="s">
        <v>58</v>
      </c>
      <c r="AQ119" s="3" t="s">
        <v>69</v>
      </c>
      <c r="AR119" s="6" t="str">
        <f>HYPERLINK("http://catalog.hathitrust.org/Record/001497724","HathiTrust Record")</f>
        <v>HathiTrust Record</v>
      </c>
      <c r="AS119" s="6" t="str">
        <f>HYPERLINK("https://creighton-primo.hosted.exlibrisgroup.com/primo-explore/search?tab=default_tab&amp;search_scope=EVERYTHING&amp;vid=01CRU&amp;lang=en_US&amp;offset=0&amp;query=any,contains,991003341689702656","Catalog Record")</f>
        <v>Catalog Record</v>
      </c>
      <c r="AT119" s="6" t="str">
        <f>HYPERLINK("http://www.worldcat.org/oclc/873247","WorldCat Record")</f>
        <v>WorldCat Record</v>
      </c>
      <c r="AU119" s="3" t="s">
        <v>1469</v>
      </c>
      <c r="AV119" s="3" t="s">
        <v>1470</v>
      </c>
      <c r="AW119" s="3" t="s">
        <v>1471</v>
      </c>
      <c r="AX119" s="3" t="s">
        <v>1471</v>
      </c>
      <c r="AY119" s="3" t="s">
        <v>1472</v>
      </c>
      <c r="AZ119" s="3" t="s">
        <v>74</v>
      </c>
      <c r="BC119" s="3" t="s">
        <v>1473</v>
      </c>
      <c r="BD119" s="3" t="s">
        <v>1474</v>
      </c>
    </row>
    <row r="120" spans="1:56" ht="47.25" customHeight="1" x14ac:dyDescent="0.25">
      <c r="A120" s="7" t="s">
        <v>58</v>
      </c>
      <c r="B120" s="2" t="s">
        <v>1475</v>
      </c>
      <c r="C120" s="2" t="s">
        <v>1476</v>
      </c>
      <c r="D120" s="2" t="s">
        <v>1477</v>
      </c>
      <c r="F120" s="3" t="s">
        <v>58</v>
      </c>
      <c r="G120" s="3" t="s">
        <v>59</v>
      </c>
      <c r="H120" s="3" t="s">
        <v>58</v>
      </c>
      <c r="I120" s="3" t="s">
        <v>58</v>
      </c>
      <c r="J120" s="3" t="s">
        <v>60</v>
      </c>
      <c r="K120" s="2" t="s">
        <v>1478</v>
      </c>
      <c r="L120" s="2" t="s">
        <v>1479</v>
      </c>
      <c r="M120" s="3" t="s">
        <v>1480</v>
      </c>
      <c r="O120" s="3" t="s">
        <v>65</v>
      </c>
      <c r="P120" s="3" t="s">
        <v>143</v>
      </c>
      <c r="Q120" s="2" t="s">
        <v>1481</v>
      </c>
      <c r="R120" s="3" t="s">
        <v>67</v>
      </c>
      <c r="S120" s="4">
        <v>2</v>
      </c>
      <c r="T120" s="4">
        <v>2</v>
      </c>
      <c r="U120" s="5" t="s">
        <v>128</v>
      </c>
      <c r="V120" s="5" t="s">
        <v>128</v>
      </c>
      <c r="W120" s="5" t="s">
        <v>1272</v>
      </c>
      <c r="X120" s="5" t="s">
        <v>1272</v>
      </c>
      <c r="Y120" s="4">
        <v>826</v>
      </c>
      <c r="Z120" s="4">
        <v>646</v>
      </c>
      <c r="AA120" s="4">
        <v>906</v>
      </c>
      <c r="AB120" s="4">
        <v>8</v>
      </c>
      <c r="AC120" s="4">
        <v>9</v>
      </c>
      <c r="AD120" s="4">
        <v>22</v>
      </c>
      <c r="AE120" s="4">
        <v>30</v>
      </c>
      <c r="AF120" s="4">
        <v>8</v>
      </c>
      <c r="AG120" s="4">
        <v>13</v>
      </c>
      <c r="AH120" s="4">
        <v>4</v>
      </c>
      <c r="AI120" s="4">
        <v>4</v>
      </c>
      <c r="AJ120" s="4">
        <v>8</v>
      </c>
      <c r="AK120" s="4">
        <v>11</v>
      </c>
      <c r="AL120" s="4">
        <v>6</v>
      </c>
      <c r="AM120" s="4">
        <v>7</v>
      </c>
      <c r="AN120" s="4">
        <v>0</v>
      </c>
      <c r="AO120" s="4">
        <v>0</v>
      </c>
      <c r="AP120" s="3" t="s">
        <v>58</v>
      </c>
      <c r="AQ120" s="3" t="s">
        <v>69</v>
      </c>
      <c r="AR120" s="6" t="str">
        <f>HYPERLINK("http://catalog.hathitrust.org/Record/001497726","HathiTrust Record")</f>
        <v>HathiTrust Record</v>
      </c>
      <c r="AS120" s="6" t="str">
        <f>HYPERLINK("https://creighton-primo.hosted.exlibrisgroup.com/primo-explore/search?tab=default_tab&amp;search_scope=EVERYTHING&amp;vid=01CRU&amp;lang=en_US&amp;offset=0&amp;query=any,contains,991001953329702656","Catalog Record")</f>
        <v>Catalog Record</v>
      </c>
      <c r="AT120" s="6" t="str">
        <f>HYPERLINK("http://www.worldcat.org/oclc/252848","WorldCat Record")</f>
        <v>WorldCat Record</v>
      </c>
      <c r="AU120" s="3" t="s">
        <v>1482</v>
      </c>
      <c r="AV120" s="3" t="s">
        <v>1483</v>
      </c>
      <c r="AW120" s="3" t="s">
        <v>1484</v>
      </c>
      <c r="AX120" s="3" t="s">
        <v>1484</v>
      </c>
      <c r="AY120" s="3" t="s">
        <v>1485</v>
      </c>
      <c r="AZ120" s="3" t="s">
        <v>74</v>
      </c>
      <c r="BC120" s="3" t="s">
        <v>1486</v>
      </c>
      <c r="BD120" s="3" t="s">
        <v>1487</v>
      </c>
    </row>
    <row r="121" spans="1:56" ht="47.25" customHeight="1" x14ac:dyDescent="0.25">
      <c r="A121" s="7" t="s">
        <v>58</v>
      </c>
      <c r="B121" s="2" t="s">
        <v>1488</v>
      </c>
      <c r="C121" s="2" t="s">
        <v>1489</v>
      </c>
      <c r="D121" s="2" t="s">
        <v>1490</v>
      </c>
      <c r="F121" s="3" t="s">
        <v>58</v>
      </c>
      <c r="G121" s="3" t="s">
        <v>59</v>
      </c>
      <c r="H121" s="3" t="s">
        <v>58</v>
      </c>
      <c r="I121" s="3" t="s">
        <v>58</v>
      </c>
      <c r="J121" s="3" t="s">
        <v>60</v>
      </c>
      <c r="K121" s="2" t="s">
        <v>1491</v>
      </c>
      <c r="L121" s="2" t="s">
        <v>1492</v>
      </c>
      <c r="M121" s="3" t="s">
        <v>1319</v>
      </c>
      <c r="O121" s="3" t="s">
        <v>65</v>
      </c>
      <c r="P121" s="3" t="s">
        <v>100</v>
      </c>
      <c r="Q121" s="2" t="s">
        <v>1456</v>
      </c>
      <c r="R121" s="3" t="s">
        <v>67</v>
      </c>
      <c r="S121" s="4">
        <v>2</v>
      </c>
      <c r="T121" s="4">
        <v>2</v>
      </c>
      <c r="U121" s="5" t="s">
        <v>1493</v>
      </c>
      <c r="V121" s="5" t="s">
        <v>1493</v>
      </c>
      <c r="W121" s="5" t="s">
        <v>1272</v>
      </c>
      <c r="X121" s="5" t="s">
        <v>1272</v>
      </c>
      <c r="Y121" s="4">
        <v>517</v>
      </c>
      <c r="Z121" s="4">
        <v>397</v>
      </c>
      <c r="AA121" s="4">
        <v>427</v>
      </c>
      <c r="AB121" s="4">
        <v>3</v>
      </c>
      <c r="AC121" s="4">
        <v>3</v>
      </c>
      <c r="AD121" s="4">
        <v>13</v>
      </c>
      <c r="AE121" s="4">
        <v>13</v>
      </c>
      <c r="AF121" s="4">
        <v>4</v>
      </c>
      <c r="AG121" s="4">
        <v>4</v>
      </c>
      <c r="AH121" s="4">
        <v>2</v>
      </c>
      <c r="AI121" s="4">
        <v>2</v>
      </c>
      <c r="AJ121" s="4">
        <v>7</v>
      </c>
      <c r="AK121" s="4">
        <v>7</v>
      </c>
      <c r="AL121" s="4">
        <v>2</v>
      </c>
      <c r="AM121" s="4">
        <v>2</v>
      </c>
      <c r="AN121" s="4">
        <v>0</v>
      </c>
      <c r="AO121" s="4">
        <v>0</v>
      </c>
      <c r="AP121" s="3" t="s">
        <v>69</v>
      </c>
      <c r="AQ121" s="3" t="s">
        <v>58</v>
      </c>
      <c r="AR121" s="6" t="str">
        <f>HYPERLINK("http://catalog.hathitrust.org/Record/001497729","HathiTrust Record")</f>
        <v>HathiTrust Record</v>
      </c>
      <c r="AS121" s="6" t="str">
        <f>HYPERLINK("https://creighton-primo.hosted.exlibrisgroup.com/primo-explore/search?tab=default_tab&amp;search_scope=EVERYTHING&amp;vid=01CRU&amp;lang=en_US&amp;offset=0&amp;query=any,contains,991002981979702656","Catalog Record")</f>
        <v>Catalog Record</v>
      </c>
      <c r="AT121" s="6" t="str">
        <f>HYPERLINK("http://www.worldcat.org/oclc/555426","WorldCat Record")</f>
        <v>WorldCat Record</v>
      </c>
      <c r="AU121" s="3" t="s">
        <v>1494</v>
      </c>
      <c r="AV121" s="3" t="s">
        <v>1495</v>
      </c>
      <c r="AW121" s="3" t="s">
        <v>1496</v>
      </c>
      <c r="AX121" s="3" t="s">
        <v>1496</v>
      </c>
      <c r="AY121" s="3" t="s">
        <v>1497</v>
      </c>
      <c r="AZ121" s="3" t="s">
        <v>74</v>
      </c>
      <c r="BC121" s="3" t="s">
        <v>1498</v>
      </c>
      <c r="BD121" s="3" t="s">
        <v>1499</v>
      </c>
    </row>
    <row r="122" spans="1:56" ht="47.25" customHeight="1" x14ac:dyDescent="0.25">
      <c r="A122" s="7" t="s">
        <v>58</v>
      </c>
      <c r="B122" s="2" t="s">
        <v>1500</v>
      </c>
      <c r="C122" s="2" t="s">
        <v>1501</v>
      </c>
      <c r="D122" s="2" t="s">
        <v>1502</v>
      </c>
      <c r="F122" s="3" t="s">
        <v>58</v>
      </c>
      <c r="G122" s="3" t="s">
        <v>59</v>
      </c>
      <c r="H122" s="3" t="s">
        <v>58</v>
      </c>
      <c r="I122" s="3" t="s">
        <v>58</v>
      </c>
      <c r="J122" s="3" t="s">
        <v>60</v>
      </c>
      <c r="K122" s="2" t="s">
        <v>1503</v>
      </c>
      <c r="L122" s="2" t="s">
        <v>98</v>
      </c>
      <c r="M122" s="3" t="s">
        <v>99</v>
      </c>
      <c r="O122" s="3" t="s">
        <v>65</v>
      </c>
      <c r="P122" s="3" t="s">
        <v>100</v>
      </c>
      <c r="Q122" s="2" t="s">
        <v>1456</v>
      </c>
      <c r="R122" s="3" t="s">
        <v>67</v>
      </c>
      <c r="S122" s="4">
        <v>1</v>
      </c>
      <c r="T122" s="4">
        <v>1</v>
      </c>
      <c r="U122" s="5" t="s">
        <v>128</v>
      </c>
      <c r="V122" s="5" t="s">
        <v>128</v>
      </c>
      <c r="W122" s="5" t="s">
        <v>1272</v>
      </c>
      <c r="X122" s="5" t="s">
        <v>1272</v>
      </c>
      <c r="Y122" s="4">
        <v>721</v>
      </c>
      <c r="Z122" s="4">
        <v>564</v>
      </c>
      <c r="AA122" s="4">
        <v>598</v>
      </c>
      <c r="AB122" s="4">
        <v>4</v>
      </c>
      <c r="AC122" s="4">
        <v>4</v>
      </c>
      <c r="AD122" s="4">
        <v>20</v>
      </c>
      <c r="AE122" s="4">
        <v>20</v>
      </c>
      <c r="AF122" s="4">
        <v>7</v>
      </c>
      <c r="AG122" s="4">
        <v>7</v>
      </c>
      <c r="AH122" s="4">
        <v>3</v>
      </c>
      <c r="AI122" s="4">
        <v>3</v>
      </c>
      <c r="AJ122" s="4">
        <v>11</v>
      </c>
      <c r="AK122" s="4">
        <v>11</v>
      </c>
      <c r="AL122" s="4">
        <v>3</v>
      </c>
      <c r="AM122" s="4">
        <v>3</v>
      </c>
      <c r="AN122" s="4">
        <v>0</v>
      </c>
      <c r="AO122" s="4">
        <v>0</v>
      </c>
      <c r="AP122" s="3" t="s">
        <v>69</v>
      </c>
      <c r="AQ122" s="3" t="s">
        <v>58</v>
      </c>
      <c r="AR122" s="6" t="str">
        <f>HYPERLINK("http://catalog.hathitrust.org/Record/001496460","HathiTrust Record")</f>
        <v>HathiTrust Record</v>
      </c>
      <c r="AS122" s="6" t="str">
        <f>HYPERLINK("https://creighton-primo.hosted.exlibrisgroup.com/primo-explore/search?tab=default_tab&amp;search_scope=EVERYTHING&amp;vid=01CRU&amp;lang=en_US&amp;offset=0&amp;query=any,contains,991002349939702656","Catalog Record")</f>
        <v>Catalog Record</v>
      </c>
      <c r="AT122" s="6" t="str">
        <f>HYPERLINK("http://www.worldcat.org/oclc/325141","WorldCat Record")</f>
        <v>WorldCat Record</v>
      </c>
      <c r="AU122" s="3" t="s">
        <v>1504</v>
      </c>
      <c r="AV122" s="3" t="s">
        <v>1505</v>
      </c>
      <c r="AW122" s="3" t="s">
        <v>1506</v>
      </c>
      <c r="AX122" s="3" t="s">
        <v>1506</v>
      </c>
      <c r="AY122" s="3" t="s">
        <v>1507</v>
      </c>
      <c r="AZ122" s="3" t="s">
        <v>74</v>
      </c>
      <c r="BC122" s="3" t="s">
        <v>1508</v>
      </c>
      <c r="BD122" s="3" t="s">
        <v>1509</v>
      </c>
    </row>
    <row r="123" spans="1:56" ht="47.25" customHeight="1" x14ac:dyDescent="0.25">
      <c r="A123" s="7" t="s">
        <v>58</v>
      </c>
      <c r="B123" s="2" t="s">
        <v>1510</v>
      </c>
      <c r="C123" s="2" t="s">
        <v>1511</v>
      </c>
      <c r="D123" s="2" t="s">
        <v>1512</v>
      </c>
      <c r="F123" s="3" t="s">
        <v>58</v>
      </c>
      <c r="G123" s="3" t="s">
        <v>59</v>
      </c>
      <c r="H123" s="3" t="s">
        <v>58</v>
      </c>
      <c r="I123" s="3" t="s">
        <v>58</v>
      </c>
      <c r="J123" s="3" t="s">
        <v>60</v>
      </c>
      <c r="K123" s="2" t="s">
        <v>1454</v>
      </c>
      <c r="L123" s="2" t="s">
        <v>1513</v>
      </c>
      <c r="M123" s="3" t="s">
        <v>727</v>
      </c>
      <c r="O123" s="3" t="s">
        <v>65</v>
      </c>
      <c r="P123" s="3" t="s">
        <v>100</v>
      </c>
      <c r="Q123" s="2" t="s">
        <v>1456</v>
      </c>
      <c r="R123" s="3" t="s">
        <v>67</v>
      </c>
      <c r="S123" s="4">
        <v>3</v>
      </c>
      <c r="T123" s="4">
        <v>3</v>
      </c>
      <c r="U123" s="5" t="s">
        <v>1514</v>
      </c>
      <c r="V123" s="5" t="s">
        <v>1514</v>
      </c>
      <c r="W123" s="5" t="s">
        <v>1272</v>
      </c>
      <c r="X123" s="5" t="s">
        <v>1272</v>
      </c>
      <c r="Y123" s="4">
        <v>839</v>
      </c>
      <c r="Z123" s="4">
        <v>673</v>
      </c>
      <c r="AA123" s="4">
        <v>726</v>
      </c>
      <c r="AB123" s="4">
        <v>5</v>
      </c>
      <c r="AC123" s="4">
        <v>5</v>
      </c>
      <c r="AD123" s="4">
        <v>22</v>
      </c>
      <c r="AE123" s="4">
        <v>24</v>
      </c>
      <c r="AF123" s="4">
        <v>8</v>
      </c>
      <c r="AG123" s="4">
        <v>9</v>
      </c>
      <c r="AH123" s="4">
        <v>7</v>
      </c>
      <c r="AI123" s="4">
        <v>7</v>
      </c>
      <c r="AJ123" s="4">
        <v>11</v>
      </c>
      <c r="AK123" s="4">
        <v>13</v>
      </c>
      <c r="AL123" s="4">
        <v>4</v>
      </c>
      <c r="AM123" s="4">
        <v>4</v>
      </c>
      <c r="AN123" s="4">
        <v>0</v>
      </c>
      <c r="AO123" s="4">
        <v>0</v>
      </c>
      <c r="AP123" s="3" t="s">
        <v>69</v>
      </c>
      <c r="AQ123" s="3" t="s">
        <v>58</v>
      </c>
      <c r="AR123" s="6" t="str">
        <f>HYPERLINK("http://catalog.hathitrust.org/Record/001497723","HathiTrust Record")</f>
        <v>HathiTrust Record</v>
      </c>
      <c r="AS123" s="6" t="str">
        <f>HYPERLINK("https://creighton-primo.hosted.exlibrisgroup.com/primo-explore/search?tab=default_tab&amp;search_scope=EVERYTHING&amp;vid=01CRU&amp;lang=en_US&amp;offset=0&amp;query=any,contains,991002377559702656","Catalog Record")</f>
        <v>Catalog Record</v>
      </c>
      <c r="AT123" s="6" t="str">
        <f>HYPERLINK("http://www.worldcat.org/oclc/327546","WorldCat Record")</f>
        <v>WorldCat Record</v>
      </c>
      <c r="AU123" s="3" t="s">
        <v>1515</v>
      </c>
      <c r="AV123" s="3" t="s">
        <v>1516</v>
      </c>
      <c r="AW123" s="3" t="s">
        <v>1517</v>
      </c>
      <c r="AX123" s="3" t="s">
        <v>1517</v>
      </c>
      <c r="AY123" s="3" t="s">
        <v>1518</v>
      </c>
      <c r="AZ123" s="3" t="s">
        <v>74</v>
      </c>
      <c r="BC123" s="3" t="s">
        <v>1519</v>
      </c>
      <c r="BD123" s="3" t="s">
        <v>1520</v>
      </c>
    </row>
    <row r="124" spans="1:56" ht="47.25" customHeight="1" x14ac:dyDescent="0.25">
      <c r="A124" s="7" t="s">
        <v>58</v>
      </c>
      <c r="B124" s="2" t="s">
        <v>1521</v>
      </c>
      <c r="C124" s="2" t="s">
        <v>1522</v>
      </c>
      <c r="D124" s="2" t="s">
        <v>1523</v>
      </c>
      <c r="F124" s="3" t="s">
        <v>58</v>
      </c>
      <c r="G124" s="3" t="s">
        <v>59</v>
      </c>
      <c r="H124" s="3" t="s">
        <v>58</v>
      </c>
      <c r="I124" s="3" t="s">
        <v>58</v>
      </c>
      <c r="J124" s="3" t="s">
        <v>60</v>
      </c>
      <c r="K124" s="2" t="s">
        <v>1524</v>
      </c>
      <c r="L124" s="2" t="s">
        <v>1525</v>
      </c>
      <c r="M124" s="3" t="s">
        <v>858</v>
      </c>
      <c r="O124" s="3" t="s">
        <v>65</v>
      </c>
      <c r="P124" s="3" t="s">
        <v>127</v>
      </c>
      <c r="R124" s="3" t="s">
        <v>67</v>
      </c>
      <c r="S124" s="4">
        <v>2</v>
      </c>
      <c r="T124" s="4">
        <v>2</v>
      </c>
      <c r="U124" s="5" t="s">
        <v>157</v>
      </c>
      <c r="V124" s="5" t="s">
        <v>157</v>
      </c>
      <c r="W124" s="5" t="s">
        <v>1272</v>
      </c>
      <c r="X124" s="5" t="s">
        <v>1272</v>
      </c>
      <c r="Y124" s="4">
        <v>601</v>
      </c>
      <c r="Z124" s="4">
        <v>445</v>
      </c>
      <c r="AA124" s="4">
        <v>463</v>
      </c>
      <c r="AB124" s="4">
        <v>7</v>
      </c>
      <c r="AC124" s="4">
        <v>7</v>
      </c>
      <c r="AD124" s="4">
        <v>17</v>
      </c>
      <c r="AE124" s="4">
        <v>18</v>
      </c>
      <c r="AF124" s="4">
        <v>5</v>
      </c>
      <c r="AG124" s="4">
        <v>6</v>
      </c>
      <c r="AH124" s="4">
        <v>3</v>
      </c>
      <c r="AI124" s="4">
        <v>3</v>
      </c>
      <c r="AJ124" s="4">
        <v>6</v>
      </c>
      <c r="AK124" s="4">
        <v>7</v>
      </c>
      <c r="AL124" s="4">
        <v>6</v>
      </c>
      <c r="AM124" s="4">
        <v>6</v>
      </c>
      <c r="AN124" s="4">
        <v>0</v>
      </c>
      <c r="AO124" s="4">
        <v>0</v>
      </c>
      <c r="AP124" s="3" t="s">
        <v>58</v>
      </c>
      <c r="AQ124" s="3" t="s">
        <v>69</v>
      </c>
      <c r="AR124" s="6" t="str">
        <f>HYPERLINK("http://catalog.hathitrust.org/Record/000825905","HathiTrust Record")</f>
        <v>HathiTrust Record</v>
      </c>
      <c r="AS124" s="6" t="str">
        <f>HYPERLINK("https://creighton-primo.hosted.exlibrisgroup.com/primo-explore/search?tab=default_tab&amp;search_scope=EVERYTHING&amp;vid=01CRU&amp;lang=en_US&amp;offset=0&amp;query=any,contains,991002267019702656","Catalog Record")</f>
        <v>Catalog Record</v>
      </c>
      <c r="AT124" s="6" t="str">
        <f>HYPERLINK("http://www.worldcat.org/oclc/307390","WorldCat Record")</f>
        <v>WorldCat Record</v>
      </c>
      <c r="AU124" s="3" t="s">
        <v>1526</v>
      </c>
      <c r="AV124" s="3" t="s">
        <v>1527</v>
      </c>
      <c r="AW124" s="3" t="s">
        <v>1528</v>
      </c>
      <c r="AX124" s="3" t="s">
        <v>1528</v>
      </c>
      <c r="AY124" s="3" t="s">
        <v>1529</v>
      </c>
      <c r="AZ124" s="3" t="s">
        <v>74</v>
      </c>
      <c r="BC124" s="3" t="s">
        <v>1530</v>
      </c>
      <c r="BD124" s="3" t="s">
        <v>1531</v>
      </c>
    </row>
    <row r="125" spans="1:56" ht="47.25" customHeight="1" x14ac:dyDescent="0.25">
      <c r="A125" s="7" t="s">
        <v>58</v>
      </c>
      <c r="B125" s="2" t="s">
        <v>1532</v>
      </c>
      <c r="C125" s="2" t="s">
        <v>1533</v>
      </c>
      <c r="D125" s="2" t="s">
        <v>1534</v>
      </c>
      <c r="F125" s="3" t="s">
        <v>58</v>
      </c>
      <c r="G125" s="3" t="s">
        <v>59</v>
      </c>
      <c r="H125" s="3" t="s">
        <v>58</v>
      </c>
      <c r="I125" s="3" t="s">
        <v>58</v>
      </c>
      <c r="J125" s="3" t="s">
        <v>60</v>
      </c>
      <c r="K125" s="2" t="s">
        <v>1535</v>
      </c>
      <c r="L125" s="2" t="s">
        <v>1536</v>
      </c>
      <c r="M125" s="3" t="s">
        <v>83</v>
      </c>
      <c r="N125" s="2" t="s">
        <v>645</v>
      </c>
      <c r="O125" s="3" t="s">
        <v>65</v>
      </c>
      <c r="P125" s="3" t="s">
        <v>100</v>
      </c>
      <c r="R125" s="3" t="s">
        <v>67</v>
      </c>
      <c r="S125" s="4">
        <v>2</v>
      </c>
      <c r="T125" s="4">
        <v>2</v>
      </c>
      <c r="U125" s="5" t="s">
        <v>1537</v>
      </c>
      <c r="V125" s="5" t="s">
        <v>1537</v>
      </c>
      <c r="W125" s="5" t="s">
        <v>1538</v>
      </c>
      <c r="X125" s="5" t="s">
        <v>1538</v>
      </c>
      <c r="Y125" s="4">
        <v>544</v>
      </c>
      <c r="Z125" s="4">
        <v>511</v>
      </c>
      <c r="AA125" s="4">
        <v>513</v>
      </c>
      <c r="AB125" s="4">
        <v>4</v>
      </c>
      <c r="AC125" s="4">
        <v>4</v>
      </c>
      <c r="AD125" s="4">
        <v>11</v>
      </c>
      <c r="AE125" s="4">
        <v>11</v>
      </c>
      <c r="AF125" s="4">
        <v>2</v>
      </c>
      <c r="AG125" s="4">
        <v>2</v>
      </c>
      <c r="AH125" s="4">
        <v>2</v>
      </c>
      <c r="AI125" s="4">
        <v>2</v>
      </c>
      <c r="AJ125" s="4">
        <v>6</v>
      </c>
      <c r="AK125" s="4">
        <v>6</v>
      </c>
      <c r="AL125" s="4">
        <v>3</v>
      </c>
      <c r="AM125" s="4">
        <v>3</v>
      </c>
      <c r="AN125" s="4">
        <v>0</v>
      </c>
      <c r="AO125" s="4">
        <v>0</v>
      </c>
      <c r="AP125" s="3" t="s">
        <v>58</v>
      </c>
      <c r="AQ125" s="3" t="s">
        <v>69</v>
      </c>
      <c r="AR125" s="6" t="str">
        <f>HYPERLINK("http://catalog.hathitrust.org/Record/001497774","HathiTrust Record")</f>
        <v>HathiTrust Record</v>
      </c>
      <c r="AS125" s="6" t="str">
        <f>HYPERLINK("https://creighton-primo.hosted.exlibrisgroup.com/primo-explore/search?tab=default_tab&amp;search_scope=EVERYTHING&amp;vid=01CRU&amp;lang=en_US&amp;offset=0&amp;query=any,contains,991002780789702656","Catalog Record")</f>
        <v>Catalog Record</v>
      </c>
      <c r="AT125" s="6" t="str">
        <f>HYPERLINK("http://www.worldcat.org/oclc/440154","WorldCat Record")</f>
        <v>WorldCat Record</v>
      </c>
      <c r="AU125" s="3" t="s">
        <v>1539</v>
      </c>
      <c r="AV125" s="3" t="s">
        <v>1540</v>
      </c>
      <c r="AW125" s="3" t="s">
        <v>1541</v>
      </c>
      <c r="AX125" s="3" t="s">
        <v>1541</v>
      </c>
      <c r="AY125" s="3" t="s">
        <v>1542</v>
      </c>
      <c r="AZ125" s="3" t="s">
        <v>74</v>
      </c>
      <c r="BC125" s="3" t="s">
        <v>1543</v>
      </c>
      <c r="BD125" s="3" t="s">
        <v>1544</v>
      </c>
    </row>
    <row r="126" spans="1:56" ht="47.25" customHeight="1" x14ac:dyDescent="0.25">
      <c r="A126" s="7" t="s">
        <v>58</v>
      </c>
      <c r="B126" s="2" t="s">
        <v>1545</v>
      </c>
      <c r="C126" s="2" t="s">
        <v>1546</v>
      </c>
      <c r="D126" s="2" t="s">
        <v>1547</v>
      </c>
      <c r="F126" s="3" t="s">
        <v>58</v>
      </c>
      <c r="G126" s="3" t="s">
        <v>59</v>
      </c>
      <c r="H126" s="3" t="s">
        <v>58</v>
      </c>
      <c r="I126" s="3" t="s">
        <v>58</v>
      </c>
      <c r="J126" s="3" t="s">
        <v>60</v>
      </c>
      <c r="K126" s="2" t="s">
        <v>1548</v>
      </c>
      <c r="L126" s="2" t="s">
        <v>1549</v>
      </c>
      <c r="M126" s="3" t="s">
        <v>1177</v>
      </c>
      <c r="O126" s="3" t="s">
        <v>65</v>
      </c>
      <c r="P126" s="3" t="s">
        <v>127</v>
      </c>
      <c r="R126" s="3" t="s">
        <v>67</v>
      </c>
      <c r="S126" s="4">
        <v>2</v>
      </c>
      <c r="T126" s="4">
        <v>2</v>
      </c>
      <c r="U126" s="5" t="s">
        <v>1550</v>
      </c>
      <c r="V126" s="5" t="s">
        <v>1550</v>
      </c>
      <c r="W126" s="5" t="s">
        <v>1551</v>
      </c>
      <c r="X126" s="5" t="s">
        <v>1551</v>
      </c>
      <c r="Y126" s="4">
        <v>189</v>
      </c>
      <c r="Z126" s="4">
        <v>112</v>
      </c>
      <c r="AA126" s="4">
        <v>304</v>
      </c>
      <c r="AB126" s="4">
        <v>4</v>
      </c>
      <c r="AC126" s="4">
        <v>4</v>
      </c>
      <c r="AD126" s="4">
        <v>7</v>
      </c>
      <c r="AE126" s="4">
        <v>9</v>
      </c>
      <c r="AF126" s="4">
        <v>1</v>
      </c>
      <c r="AG126" s="4">
        <v>1</v>
      </c>
      <c r="AH126" s="4">
        <v>2</v>
      </c>
      <c r="AI126" s="4">
        <v>3</v>
      </c>
      <c r="AJ126" s="4">
        <v>3</v>
      </c>
      <c r="AK126" s="4">
        <v>5</v>
      </c>
      <c r="AL126" s="4">
        <v>3</v>
      </c>
      <c r="AM126" s="4">
        <v>3</v>
      </c>
      <c r="AN126" s="4">
        <v>0</v>
      </c>
      <c r="AO126" s="4">
        <v>0</v>
      </c>
      <c r="AP126" s="3" t="s">
        <v>58</v>
      </c>
      <c r="AQ126" s="3" t="s">
        <v>69</v>
      </c>
      <c r="AR126" s="6" t="str">
        <f>HYPERLINK("http://catalog.hathitrust.org/Record/008364616","HathiTrust Record")</f>
        <v>HathiTrust Record</v>
      </c>
      <c r="AS126" s="6" t="str">
        <f>HYPERLINK("https://creighton-primo.hosted.exlibrisgroup.com/primo-explore/search?tab=default_tab&amp;search_scope=EVERYTHING&amp;vid=01CRU&amp;lang=en_US&amp;offset=0&amp;query=any,contains,991004422629702656","Catalog Record")</f>
        <v>Catalog Record</v>
      </c>
      <c r="AT126" s="6" t="str">
        <f>HYPERLINK("http://www.worldcat.org/oclc/3389245","WorldCat Record")</f>
        <v>WorldCat Record</v>
      </c>
      <c r="AU126" s="3" t="s">
        <v>1552</v>
      </c>
      <c r="AV126" s="3" t="s">
        <v>1553</v>
      </c>
      <c r="AW126" s="3" t="s">
        <v>1554</v>
      </c>
      <c r="AX126" s="3" t="s">
        <v>1554</v>
      </c>
      <c r="AY126" s="3" t="s">
        <v>1555</v>
      </c>
      <c r="AZ126" s="3" t="s">
        <v>74</v>
      </c>
      <c r="BC126" s="3" t="s">
        <v>1556</v>
      </c>
      <c r="BD126" s="3" t="s">
        <v>1557</v>
      </c>
    </row>
    <row r="127" spans="1:56" ht="47.25" customHeight="1" x14ac:dyDescent="0.25">
      <c r="A127" s="7" t="s">
        <v>58</v>
      </c>
      <c r="B127" s="2" t="s">
        <v>1558</v>
      </c>
      <c r="C127" s="2" t="s">
        <v>1559</v>
      </c>
      <c r="D127" s="2" t="s">
        <v>1560</v>
      </c>
      <c r="F127" s="3" t="s">
        <v>58</v>
      </c>
      <c r="G127" s="3" t="s">
        <v>59</v>
      </c>
      <c r="H127" s="3" t="s">
        <v>58</v>
      </c>
      <c r="I127" s="3" t="s">
        <v>58</v>
      </c>
      <c r="J127" s="3" t="s">
        <v>60</v>
      </c>
      <c r="L127" s="2" t="s">
        <v>1561</v>
      </c>
      <c r="M127" s="3" t="s">
        <v>1562</v>
      </c>
      <c r="O127" s="3" t="s">
        <v>65</v>
      </c>
      <c r="P127" s="3" t="s">
        <v>127</v>
      </c>
      <c r="Q127" s="2" t="s">
        <v>1563</v>
      </c>
      <c r="R127" s="3" t="s">
        <v>67</v>
      </c>
      <c r="S127" s="4">
        <v>6</v>
      </c>
      <c r="T127" s="4">
        <v>6</v>
      </c>
      <c r="U127" s="5" t="s">
        <v>1564</v>
      </c>
      <c r="V127" s="5" t="s">
        <v>1564</v>
      </c>
      <c r="W127" s="5" t="s">
        <v>1565</v>
      </c>
      <c r="X127" s="5" t="s">
        <v>1565</v>
      </c>
      <c r="Y127" s="4">
        <v>262</v>
      </c>
      <c r="Z127" s="4">
        <v>174</v>
      </c>
      <c r="AA127" s="4">
        <v>179</v>
      </c>
      <c r="AB127" s="4">
        <v>2</v>
      </c>
      <c r="AC127" s="4">
        <v>2</v>
      </c>
      <c r="AD127" s="4">
        <v>9</v>
      </c>
      <c r="AE127" s="4">
        <v>9</v>
      </c>
      <c r="AF127" s="4">
        <v>3</v>
      </c>
      <c r="AG127" s="4">
        <v>3</v>
      </c>
      <c r="AH127" s="4">
        <v>2</v>
      </c>
      <c r="AI127" s="4">
        <v>2</v>
      </c>
      <c r="AJ127" s="4">
        <v>5</v>
      </c>
      <c r="AK127" s="4">
        <v>5</v>
      </c>
      <c r="AL127" s="4">
        <v>1</v>
      </c>
      <c r="AM127" s="4">
        <v>1</v>
      </c>
      <c r="AN127" s="4">
        <v>0</v>
      </c>
      <c r="AO127" s="4">
        <v>0</v>
      </c>
      <c r="AP127" s="3" t="s">
        <v>58</v>
      </c>
      <c r="AQ127" s="3" t="s">
        <v>58</v>
      </c>
      <c r="AS127" s="6" t="str">
        <f>HYPERLINK("https://creighton-primo.hosted.exlibrisgroup.com/primo-explore/search?tab=default_tab&amp;search_scope=EVERYTHING&amp;vid=01CRU&amp;lang=en_US&amp;offset=0&amp;query=any,contains,991002354119702656","Catalog Record")</f>
        <v>Catalog Record</v>
      </c>
      <c r="AT127" s="6" t="str">
        <f>HYPERLINK("http://www.worldcat.org/oclc/30625777","WorldCat Record")</f>
        <v>WorldCat Record</v>
      </c>
      <c r="AU127" s="3" t="s">
        <v>1566</v>
      </c>
      <c r="AV127" s="3" t="s">
        <v>1567</v>
      </c>
      <c r="AW127" s="3" t="s">
        <v>1568</v>
      </c>
      <c r="AX127" s="3" t="s">
        <v>1568</v>
      </c>
      <c r="AY127" s="3" t="s">
        <v>1569</v>
      </c>
      <c r="AZ127" s="3" t="s">
        <v>74</v>
      </c>
      <c r="BB127" s="3" t="s">
        <v>1570</v>
      </c>
      <c r="BC127" s="3" t="s">
        <v>1571</v>
      </c>
      <c r="BD127" s="3" t="s">
        <v>1572</v>
      </c>
    </row>
    <row r="128" spans="1:56" ht="47.25" customHeight="1" x14ac:dyDescent="0.25">
      <c r="A128" s="7" t="s">
        <v>58</v>
      </c>
      <c r="B128" s="2" t="s">
        <v>1573</v>
      </c>
      <c r="C128" s="2" t="s">
        <v>1574</v>
      </c>
      <c r="D128" s="2" t="s">
        <v>1575</v>
      </c>
      <c r="F128" s="3" t="s">
        <v>58</v>
      </c>
      <c r="G128" s="3" t="s">
        <v>59</v>
      </c>
      <c r="H128" s="3" t="s">
        <v>58</v>
      </c>
      <c r="I128" s="3" t="s">
        <v>58</v>
      </c>
      <c r="J128" s="3" t="s">
        <v>60</v>
      </c>
      <c r="K128" s="2" t="s">
        <v>1576</v>
      </c>
      <c r="L128" s="2" t="s">
        <v>1577</v>
      </c>
      <c r="M128" s="3" t="s">
        <v>1578</v>
      </c>
      <c r="O128" s="3" t="s">
        <v>65</v>
      </c>
      <c r="P128" s="3" t="s">
        <v>1579</v>
      </c>
      <c r="R128" s="3" t="s">
        <v>67</v>
      </c>
      <c r="S128" s="4">
        <v>1</v>
      </c>
      <c r="T128" s="4">
        <v>1</v>
      </c>
      <c r="U128" s="5" t="s">
        <v>128</v>
      </c>
      <c r="V128" s="5" t="s">
        <v>128</v>
      </c>
      <c r="W128" s="5" t="s">
        <v>1272</v>
      </c>
      <c r="X128" s="5" t="s">
        <v>1272</v>
      </c>
      <c r="Y128" s="4">
        <v>73</v>
      </c>
      <c r="Z128" s="4">
        <v>72</v>
      </c>
      <c r="AA128" s="4">
        <v>75</v>
      </c>
      <c r="AB128" s="4">
        <v>2</v>
      </c>
      <c r="AC128" s="4">
        <v>2</v>
      </c>
      <c r="AD128" s="4">
        <v>4</v>
      </c>
      <c r="AE128" s="4">
        <v>4</v>
      </c>
      <c r="AF128" s="4">
        <v>0</v>
      </c>
      <c r="AG128" s="4">
        <v>0</v>
      </c>
      <c r="AH128" s="4">
        <v>2</v>
      </c>
      <c r="AI128" s="4">
        <v>2</v>
      </c>
      <c r="AJ128" s="4">
        <v>1</v>
      </c>
      <c r="AK128" s="4">
        <v>1</v>
      </c>
      <c r="AL128" s="4">
        <v>1</v>
      </c>
      <c r="AM128" s="4">
        <v>1</v>
      </c>
      <c r="AN128" s="4">
        <v>0</v>
      </c>
      <c r="AO128" s="4">
        <v>0</v>
      </c>
      <c r="AP128" s="3" t="s">
        <v>58</v>
      </c>
      <c r="AQ128" s="3" t="s">
        <v>69</v>
      </c>
      <c r="AR128" s="6" t="str">
        <f>HYPERLINK("http://catalog.hathitrust.org/Record/101712030","HathiTrust Record")</f>
        <v>HathiTrust Record</v>
      </c>
      <c r="AS128" s="6" t="str">
        <f>HYPERLINK("https://creighton-primo.hosted.exlibrisgroup.com/primo-explore/search?tab=default_tab&amp;search_scope=EVERYTHING&amp;vid=01CRU&amp;lang=en_US&amp;offset=0&amp;query=any,contains,991000775809702656","Catalog Record")</f>
        <v>Catalog Record</v>
      </c>
      <c r="AT128" s="6" t="str">
        <f>HYPERLINK("http://www.worldcat.org/oclc/13064264","WorldCat Record")</f>
        <v>WorldCat Record</v>
      </c>
      <c r="AU128" s="3" t="s">
        <v>1580</v>
      </c>
      <c r="AV128" s="3" t="s">
        <v>1581</v>
      </c>
      <c r="AW128" s="3" t="s">
        <v>1582</v>
      </c>
      <c r="AX128" s="3" t="s">
        <v>1582</v>
      </c>
      <c r="AY128" s="3" t="s">
        <v>1583</v>
      </c>
      <c r="AZ128" s="3" t="s">
        <v>74</v>
      </c>
      <c r="BC128" s="3" t="s">
        <v>1584</v>
      </c>
      <c r="BD128" s="3" t="s">
        <v>1585</v>
      </c>
    </row>
    <row r="129" spans="1:56" ht="47.25" customHeight="1" x14ac:dyDescent="0.25">
      <c r="A129" s="7" t="s">
        <v>58</v>
      </c>
      <c r="B129" s="2" t="s">
        <v>1586</v>
      </c>
      <c r="C129" s="2" t="s">
        <v>1587</v>
      </c>
      <c r="D129" s="2" t="s">
        <v>1588</v>
      </c>
      <c r="F129" s="3" t="s">
        <v>58</v>
      </c>
      <c r="G129" s="3" t="s">
        <v>59</v>
      </c>
      <c r="H129" s="3" t="s">
        <v>58</v>
      </c>
      <c r="I129" s="3" t="s">
        <v>58</v>
      </c>
      <c r="J129" s="3" t="s">
        <v>60</v>
      </c>
      <c r="K129" s="2" t="s">
        <v>1589</v>
      </c>
      <c r="L129" s="2" t="s">
        <v>1590</v>
      </c>
      <c r="M129" s="3" t="s">
        <v>185</v>
      </c>
      <c r="O129" s="3" t="s">
        <v>65</v>
      </c>
      <c r="P129" s="3" t="s">
        <v>100</v>
      </c>
      <c r="R129" s="3" t="s">
        <v>67</v>
      </c>
      <c r="S129" s="4">
        <v>3</v>
      </c>
      <c r="T129" s="4">
        <v>3</v>
      </c>
      <c r="U129" s="5" t="s">
        <v>1550</v>
      </c>
      <c r="V129" s="5" t="s">
        <v>1550</v>
      </c>
      <c r="W129" s="5" t="s">
        <v>1272</v>
      </c>
      <c r="X129" s="5" t="s">
        <v>1272</v>
      </c>
      <c r="Y129" s="4">
        <v>711</v>
      </c>
      <c r="Z129" s="4">
        <v>662</v>
      </c>
      <c r="AA129" s="4">
        <v>729</v>
      </c>
      <c r="AB129" s="4">
        <v>9</v>
      </c>
      <c r="AC129" s="4">
        <v>10</v>
      </c>
      <c r="AD129" s="4">
        <v>16</v>
      </c>
      <c r="AE129" s="4">
        <v>18</v>
      </c>
      <c r="AF129" s="4">
        <v>5</v>
      </c>
      <c r="AG129" s="4">
        <v>6</v>
      </c>
      <c r="AH129" s="4">
        <v>2</v>
      </c>
      <c r="AI129" s="4">
        <v>3</v>
      </c>
      <c r="AJ129" s="4">
        <v>4</v>
      </c>
      <c r="AK129" s="4">
        <v>4</v>
      </c>
      <c r="AL129" s="4">
        <v>7</v>
      </c>
      <c r="AM129" s="4">
        <v>8</v>
      </c>
      <c r="AN129" s="4">
        <v>0</v>
      </c>
      <c r="AO129" s="4">
        <v>0</v>
      </c>
      <c r="AP129" s="3" t="s">
        <v>58</v>
      </c>
      <c r="AQ129" s="3" t="s">
        <v>69</v>
      </c>
      <c r="AR129" s="6" t="str">
        <f>HYPERLINK("http://catalog.hathitrust.org/Record/001497821","HathiTrust Record")</f>
        <v>HathiTrust Record</v>
      </c>
      <c r="AS129" s="6" t="str">
        <f>HYPERLINK("https://creighton-primo.hosted.exlibrisgroup.com/primo-explore/search?tab=default_tab&amp;search_scope=EVERYTHING&amp;vid=01CRU&amp;lang=en_US&amp;offset=0&amp;query=any,contains,991000954829702656","Catalog Record")</f>
        <v>Catalog Record</v>
      </c>
      <c r="AT129" s="6" t="str">
        <f>HYPERLINK("http://www.worldcat.org/oclc/167720","WorldCat Record")</f>
        <v>WorldCat Record</v>
      </c>
      <c r="AU129" s="3" t="s">
        <v>1591</v>
      </c>
      <c r="AV129" s="3" t="s">
        <v>1592</v>
      </c>
      <c r="AW129" s="3" t="s">
        <v>1593</v>
      </c>
      <c r="AX129" s="3" t="s">
        <v>1593</v>
      </c>
      <c r="AY129" s="3" t="s">
        <v>1594</v>
      </c>
      <c r="AZ129" s="3" t="s">
        <v>74</v>
      </c>
      <c r="BC129" s="3" t="s">
        <v>1595</v>
      </c>
      <c r="BD129" s="3" t="s">
        <v>1596</v>
      </c>
    </row>
    <row r="130" spans="1:56" ht="47.25" customHeight="1" x14ac:dyDescent="0.25">
      <c r="A130" s="7" t="s">
        <v>58</v>
      </c>
      <c r="B130" s="2" t="s">
        <v>1597</v>
      </c>
      <c r="C130" s="2" t="s">
        <v>1598</v>
      </c>
      <c r="D130" s="2" t="s">
        <v>1599</v>
      </c>
      <c r="F130" s="3" t="s">
        <v>58</v>
      </c>
      <c r="G130" s="3" t="s">
        <v>59</v>
      </c>
      <c r="H130" s="3" t="s">
        <v>58</v>
      </c>
      <c r="I130" s="3" t="s">
        <v>58</v>
      </c>
      <c r="J130" s="3" t="s">
        <v>60</v>
      </c>
      <c r="K130" s="2" t="s">
        <v>1600</v>
      </c>
      <c r="L130" s="2" t="s">
        <v>1601</v>
      </c>
      <c r="M130" s="3" t="s">
        <v>185</v>
      </c>
      <c r="O130" s="3" t="s">
        <v>65</v>
      </c>
      <c r="P130" s="3" t="s">
        <v>100</v>
      </c>
      <c r="R130" s="3" t="s">
        <v>67</v>
      </c>
      <c r="S130" s="4">
        <v>3</v>
      </c>
      <c r="T130" s="4">
        <v>3</v>
      </c>
      <c r="U130" s="5" t="s">
        <v>157</v>
      </c>
      <c r="V130" s="5" t="s">
        <v>157</v>
      </c>
      <c r="W130" s="5" t="s">
        <v>1272</v>
      </c>
      <c r="X130" s="5" t="s">
        <v>1272</v>
      </c>
      <c r="Y130" s="4">
        <v>673</v>
      </c>
      <c r="Z130" s="4">
        <v>543</v>
      </c>
      <c r="AA130" s="4">
        <v>549</v>
      </c>
      <c r="AB130" s="4">
        <v>4</v>
      </c>
      <c r="AC130" s="4">
        <v>4</v>
      </c>
      <c r="AD130" s="4">
        <v>21</v>
      </c>
      <c r="AE130" s="4">
        <v>21</v>
      </c>
      <c r="AF130" s="4">
        <v>8</v>
      </c>
      <c r="AG130" s="4">
        <v>8</v>
      </c>
      <c r="AH130" s="4">
        <v>4</v>
      </c>
      <c r="AI130" s="4">
        <v>4</v>
      </c>
      <c r="AJ130" s="4">
        <v>11</v>
      </c>
      <c r="AK130" s="4">
        <v>11</v>
      </c>
      <c r="AL130" s="4">
        <v>2</v>
      </c>
      <c r="AM130" s="4">
        <v>2</v>
      </c>
      <c r="AN130" s="4">
        <v>0</v>
      </c>
      <c r="AO130" s="4">
        <v>0</v>
      </c>
      <c r="AP130" s="3" t="s">
        <v>58</v>
      </c>
      <c r="AQ130" s="3" t="s">
        <v>69</v>
      </c>
      <c r="AR130" s="6" t="str">
        <f>HYPERLINK("http://catalog.hathitrust.org/Record/001497838","HathiTrust Record")</f>
        <v>HathiTrust Record</v>
      </c>
      <c r="AS130" s="6" t="str">
        <f>HYPERLINK("https://creighton-primo.hosted.exlibrisgroup.com/primo-explore/search?tab=default_tab&amp;search_scope=EVERYTHING&amp;vid=01CRU&amp;lang=en_US&amp;offset=0&amp;query=any,contains,991003595209702656","Catalog Record")</f>
        <v>Catalog Record</v>
      </c>
      <c r="AT130" s="6" t="str">
        <f>HYPERLINK("http://www.worldcat.org/oclc/1175581","WorldCat Record")</f>
        <v>WorldCat Record</v>
      </c>
      <c r="AU130" s="3" t="s">
        <v>1602</v>
      </c>
      <c r="AV130" s="3" t="s">
        <v>1603</v>
      </c>
      <c r="AW130" s="3" t="s">
        <v>1604</v>
      </c>
      <c r="AX130" s="3" t="s">
        <v>1604</v>
      </c>
      <c r="AY130" s="3" t="s">
        <v>1605</v>
      </c>
      <c r="AZ130" s="3" t="s">
        <v>74</v>
      </c>
      <c r="BC130" s="3" t="s">
        <v>1606</v>
      </c>
      <c r="BD130" s="3" t="s">
        <v>1607</v>
      </c>
    </row>
    <row r="131" spans="1:56" ht="47.25" customHeight="1" x14ac:dyDescent="0.25">
      <c r="A131" s="7" t="s">
        <v>58</v>
      </c>
      <c r="B131" s="2" t="s">
        <v>1608</v>
      </c>
      <c r="C131" s="2" t="s">
        <v>1609</v>
      </c>
      <c r="D131" s="2" t="s">
        <v>1610</v>
      </c>
      <c r="F131" s="3" t="s">
        <v>58</v>
      </c>
      <c r="G131" s="3" t="s">
        <v>59</v>
      </c>
      <c r="H131" s="3" t="s">
        <v>58</v>
      </c>
      <c r="I131" s="3" t="s">
        <v>58</v>
      </c>
      <c r="J131" s="3" t="s">
        <v>60</v>
      </c>
      <c r="K131" s="2" t="s">
        <v>1611</v>
      </c>
      <c r="L131" s="2" t="s">
        <v>1612</v>
      </c>
      <c r="M131" s="3" t="s">
        <v>301</v>
      </c>
      <c r="N131" s="2" t="s">
        <v>470</v>
      </c>
      <c r="O131" s="3" t="s">
        <v>65</v>
      </c>
      <c r="P131" s="3" t="s">
        <v>100</v>
      </c>
      <c r="Q131" s="2" t="s">
        <v>1456</v>
      </c>
      <c r="R131" s="3" t="s">
        <v>67</v>
      </c>
      <c r="S131" s="4">
        <v>2</v>
      </c>
      <c r="T131" s="4">
        <v>2</v>
      </c>
      <c r="U131" s="5" t="s">
        <v>1613</v>
      </c>
      <c r="V131" s="5" t="s">
        <v>1613</v>
      </c>
      <c r="W131" s="5" t="s">
        <v>1614</v>
      </c>
      <c r="X131" s="5" t="s">
        <v>1614</v>
      </c>
      <c r="Y131" s="4">
        <v>615</v>
      </c>
      <c r="Z131" s="4">
        <v>465</v>
      </c>
      <c r="AA131" s="4">
        <v>490</v>
      </c>
      <c r="AB131" s="4">
        <v>4</v>
      </c>
      <c r="AC131" s="4">
        <v>4</v>
      </c>
      <c r="AD131" s="4">
        <v>21</v>
      </c>
      <c r="AE131" s="4">
        <v>21</v>
      </c>
      <c r="AF131" s="4">
        <v>8</v>
      </c>
      <c r="AG131" s="4">
        <v>8</v>
      </c>
      <c r="AH131" s="4">
        <v>4</v>
      </c>
      <c r="AI131" s="4">
        <v>4</v>
      </c>
      <c r="AJ131" s="4">
        <v>9</v>
      </c>
      <c r="AK131" s="4">
        <v>9</v>
      </c>
      <c r="AL131" s="4">
        <v>3</v>
      </c>
      <c r="AM131" s="4">
        <v>3</v>
      </c>
      <c r="AN131" s="4">
        <v>0</v>
      </c>
      <c r="AO131" s="4">
        <v>0</v>
      </c>
      <c r="AP131" s="3" t="s">
        <v>58</v>
      </c>
      <c r="AQ131" s="3" t="s">
        <v>69</v>
      </c>
      <c r="AR131" s="6" t="str">
        <f>HYPERLINK("http://catalog.hathitrust.org/Record/001497847","HathiTrust Record")</f>
        <v>HathiTrust Record</v>
      </c>
      <c r="AS131" s="6" t="str">
        <f>HYPERLINK("https://creighton-primo.hosted.exlibrisgroup.com/primo-explore/search?tab=default_tab&amp;search_scope=EVERYTHING&amp;vid=01CRU&amp;lang=en_US&amp;offset=0&amp;query=any,contains,991002981939702656","Catalog Record")</f>
        <v>Catalog Record</v>
      </c>
      <c r="AT131" s="6" t="str">
        <f>HYPERLINK("http://www.worldcat.org/oclc/555419","WorldCat Record")</f>
        <v>WorldCat Record</v>
      </c>
      <c r="AU131" s="3" t="s">
        <v>1615</v>
      </c>
      <c r="AV131" s="3" t="s">
        <v>1616</v>
      </c>
      <c r="AW131" s="3" t="s">
        <v>1617</v>
      </c>
      <c r="AX131" s="3" t="s">
        <v>1617</v>
      </c>
      <c r="AY131" s="3" t="s">
        <v>1618</v>
      </c>
      <c r="AZ131" s="3" t="s">
        <v>74</v>
      </c>
      <c r="BC131" s="3" t="s">
        <v>1619</v>
      </c>
      <c r="BD131" s="3" t="s">
        <v>1620</v>
      </c>
    </row>
    <row r="132" spans="1:56" ht="47.25" customHeight="1" x14ac:dyDescent="0.25">
      <c r="A132" s="7" t="s">
        <v>58</v>
      </c>
      <c r="B132" s="2" t="s">
        <v>1621</v>
      </c>
      <c r="C132" s="2" t="s">
        <v>1622</v>
      </c>
      <c r="D132" s="2" t="s">
        <v>1623</v>
      </c>
      <c r="F132" s="3" t="s">
        <v>58</v>
      </c>
      <c r="G132" s="3" t="s">
        <v>59</v>
      </c>
      <c r="H132" s="3" t="s">
        <v>58</v>
      </c>
      <c r="I132" s="3" t="s">
        <v>58</v>
      </c>
      <c r="J132" s="3" t="s">
        <v>60</v>
      </c>
      <c r="K132" s="2" t="s">
        <v>1624</v>
      </c>
      <c r="L132" s="2" t="s">
        <v>1625</v>
      </c>
      <c r="M132" s="3" t="s">
        <v>1626</v>
      </c>
      <c r="N132" s="2" t="s">
        <v>1362</v>
      </c>
      <c r="O132" s="3" t="s">
        <v>65</v>
      </c>
      <c r="P132" s="3" t="s">
        <v>127</v>
      </c>
      <c r="R132" s="3" t="s">
        <v>67</v>
      </c>
      <c r="S132" s="4">
        <v>2</v>
      </c>
      <c r="T132" s="4">
        <v>2</v>
      </c>
      <c r="U132" s="5" t="s">
        <v>1627</v>
      </c>
      <c r="V132" s="5" t="s">
        <v>1627</v>
      </c>
      <c r="W132" s="5" t="s">
        <v>1628</v>
      </c>
      <c r="X132" s="5" t="s">
        <v>1628</v>
      </c>
      <c r="Y132" s="4">
        <v>430</v>
      </c>
      <c r="Z132" s="4">
        <v>288</v>
      </c>
      <c r="AA132" s="4">
        <v>850</v>
      </c>
      <c r="AB132" s="4">
        <v>3</v>
      </c>
      <c r="AC132" s="4">
        <v>7</v>
      </c>
      <c r="AD132" s="4">
        <v>10</v>
      </c>
      <c r="AE132" s="4">
        <v>30</v>
      </c>
      <c r="AF132" s="4">
        <v>1</v>
      </c>
      <c r="AG132" s="4">
        <v>9</v>
      </c>
      <c r="AH132" s="4">
        <v>2</v>
      </c>
      <c r="AI132" s="4">
        <v>6</v>
      </c>
      <c r="AJ132" s="4">
        <v>7</v>
      </c>
      <c r="AK132" s="4">
        <v>15</v>
      </c>
      <c r="AL132" s="4">
        <v>2</v>
      </c>
      <c r="AM132" s="4">
        <v>6</v>
      </c>
      <c r="AN132" s="4">
        <v>0</v>
      </c>
      <c r="AO132" s="4">
        <v>0</v>
      </c>
      <c r="AP132" s="3" t="s">
        <v>58</v>
      </c>
      <c r="AQ132" s="3" t="s">
        <v>58</v>
      </c>
      <c r="AS132" s="6" t="str">
        <f>HYPERLINK("https://creighton-primo.hosted.exlibrisgroup.com/primo-explore/search?tab=default_tab&amp;search_scope=EVERYTHING&amp;vid=01CRU&amp;lang=en_US&amp;offset=0&amp;query=any,contains,991001221779702656","Catalog Record")</f>
        <v>Catalog Record</v>
      </c>
      <c r="AT132" s="6" t="str">
        <f>HYPERLINK("http://www.worldcat.org/oclc/17478773","WorldCat Record")</f>
        <v>WorldCat Record</v>
      </c>
      <c r="AU132" s="3" t="s">
        <v>1629</v>
      </c>
      <c r="AV132" s="3" t="s">
        <v>1630</v>
      </c>
      <c r="AW132" s="3" t="s">
        <v>1631</v>
      </c>
      <c r="AX132" s="3" t="s">
        <v>1631</v>
      </c>
      <c r="AY132" s="3" t="s">
        <v>1632</v>
      </c>
      <c r="AZ132" s="3" t="s">
        <v>74</v>
      </c>
      <c r="BB132" s="3" t="s">
        <v>1633</v>
      </c>
      <c r="BC132" s="3" t="s">
        <v>1634</v>
      </c>
      <c r="BD132" s="3" t="s">
        <v>1635</v>
      </c>
    </row>
    <row r="133" spans="1:56" ht="47.25" customHeight="1" x14ac:dyDescent="0.25">
      <c r="A133" s="7" t="s">
        <v>58</v>
      </c>
      <c r="B133" s="2" t="s">
        <v>1636</v>
      </c>
      <c r="C133" s="2" t="s">
        <v>1637</v>
      </c>
      <c r="D133" s="2" t="s">
        <v>1638</v>
      </c>
      <c r="F133" s="3" t="s">
        <v>58</v>
      </c>
      <c r="G133" s="3" t="s">
        <v>59</v>
      </c>
      <c r="H133" s="3" t="s">
        <v>58</v>
      </c>
      <c r="I133" s="3" t="s">
        <v>58</v>
      </c>
      <c r="J133" s="3" t="s">
        <v>60</v>
      </c>
      <c r="K133" s="2" t="s">
        <v>1639</v>
      </c>
      <c r="L133" s="2" t="s">
        <v>1640</v>
      </c>
      <c r="M133" s="3" t="s">
        <v>858</v>
      </c>
      <c r="N133" s="2" t="s">
        <v>84</v>
      </c>
      <c r="O133" s="3" t="s">
        <v>65</v>
      </c>
      <c r="P133" s="3" t="s">
        <v>100</v>
      </c>
      <c r="R133" s="3" t="s">
        <v>67</v>
      </c>
      <c r="S133" s="4">
        <v>2</v>
      </c>
      <c r="T133" s="4">
        <v>2</v>
      </c>
      <c r="U133" s="5" t="s">
        <v>1493</v>
      </c>
      <c r="V133" s="5" t="s">
        <v>1493</v>
      </c>
      <c r="W133" s="5" t="s">
        <v>1641</v>
      </c>
      <c r="X133" s="5" t="s">
        <v>1641</v>
      </c>
      <c r="Y133" s="4">
        <v>1072</v>
      </c>
      <c r="Z133" s="4">
        <v>837</v>
      </c>
      <c r="AA133" s="4">
        <v>1064</v>
      </c>
      <c r="AB133" s="4">
        <v>9</v>
      </c>
      <c r="AC133" s="4">
        <v>12</v>
      </c>
      <c r="AD133" s="4">
        <v>30</v>
      </c>
      <c r="AE133" s="4">
        <v>42</v>
      </c>
      <c r="AF133" s="4">
        <v>12</v>
      </c>
      <c r="AG133" s="4">
        <v>16</v>
      </c>
      <c r="AH133" s="4">
        <v>6</v>
      </c>
      <c r="AI133" s="4">
        <v>8</v>
      </c>
      <c r="AJ133" s="4">
        <v>11</v>
      </c>
      <c r="AK133" s="4">
        <v>17</v>
      </c>
      <c r="AL133" s="4">
        <v>8</v>
      </c>
      <c r="AM133" s="4">
        <v>11</v>
      </c>
      <c r="AN133" s="4">
        <v>0</v>
      </c>
      <c r="AO133" s="4">
        <v>0</v>
      </c>
      <c r="AP133" s="3" t="s">
        <v>58</v>
      </c>
      <c r="AQ133" s="3" t="s">
        <v>69</v>
      </c>
      <c r="AR133" s="6" t="str">
        <f>HYPERLINK("http://catalog.hathitrust.org/Record/004421122","HathiTrust Record")</f>
        <v>HathiTrust Record</v>
      </c>
      <c r="AS133" s="6" t="str">
        <f>HYPERLINK("https://creighton-primo.hosted.exlibrisgroup.com/primo-explore/search?tab=default_tab&amp;search_scope=EVERYTHING&amp;vid=01CRU&amp;lang=en_US&amp;offset=0&amp;query=any,contains,991002378819702656","Catalog Record")</f>
        <v>Catalog Record</v>
      </c>
      <c r="AT133" s="6" t="str">
        <f>HYPERLINK("http://www.worldcat.org/oclc/327933","WorldCat Record")</f>
        <v>WorldCat Record</v>
      </c>
      <c r="AU133" s="3" t="s">
        <v>1642</v>
      </c>
      <c r="AV133" s="3" t="s">
        <v>1643</v>
      </c>
      <c r="AW133" s="3" t="s">
        <v>1644</v>
      </c>
      <c r="AX133" s="3" t="s">
        <v>1644</v>
      </c>
      <c r="AY133" s="3" t="s">
        <v>1645</v>
      </c>
      <c r="AZ133" s="3" t="s">
        <v>74</v>
      </c>
      <c r="BC133" s="3" t="s">
        <v>1646</v>
      </c>
      <c r="BD133" s="3" t="s">
        <v>1647</v>
      </c>
    </row>
    <row r="134" spans="1:56" ht="47.25" customHeight="1" x14ac:dyDescent="0.25">
      <c r="A134" s="7" t="s">
        <v>58</v>
      </c>
      <c r="B134" s="2" t="s">
        <v>1648</v>
      </c>
      <c r="C134" s="2" t="s">
        <v>1649</v>
      </c>
      <c r="D134" s="2" t="s">
        <v>1650</v>
      </c>
      <c r="F134" s="3" t="s">
        <v>58</v>
      </c>
      <c r="G134" s="3" t="s">
        <v>59</v>
      </c>
      <c r="H134" s="3" t="s">
        <v>58</v>
      </c>
      <c r="I134" s="3" t="s">
        <v>58</v>
      </c>
      <c r="J134" s="3" t="s">
        <v>60</v>
      </c>
      <c r="K134" s="2" t="s">
        <v>1651</v>
      </c>
      <c r="L134" s="2" t="s">
        <v>1652</v>
      </c>
      <c r="M134" s="3" t="s">
        <v>1653</v>
      </c>
      <c r="N134" s="2" t="s">
        <v>1654</v>
      </c>
      <c r="O134" s="3" t="s">
        <v>65</v>
      </c>
      <c r="P134" s="3" t="s">
        <v>85</v>
      </c>
      <c r="R134" s="3" t="s">
        <v>67</v>
      </c>
      <c r="S134" s="4">
        <v>1</v>
      </c>
      <c r="T134" s="4">
        <v>1</v>
      </c>
      <c r="U134" s="5" t="s">
        <v>157</v>
      </c>
      <c r="V134" s="5" t="s">
        <v>157</v>
      </c>
      <c r="W134" s="5" t="s">
        <v>1272</v>
      </c>
      <c r="X134" s="5" t="s">
        <v>1272</v>
      </c>
      <c r="Y134" s="4">
        <v>94</v>
      </c>
      <c r="Z134" s="4">
        <v>58</v>
      </c>
      <c r="AA134" s="4">
        <v>409</v>
      </c>
      <c r="AB134" s="4">
        <v>1</v>
      </c>
      <c r="AC134" s="4">
        <v>5</v>
      </c>
      <c r="AD134" s="4">
        <v>1</v>
      </c>
      <c r="AE134" s="4">
        <v>16</v>
      </c>
      <c r="AF134" s="4">
        <v>1</v>
      </c>
      <c r="AG134" s="4">
        <v>6</v>
      </c>
      <c r="AH134" s="4">
        <v>0</v>
      </c>
      <c r="AI134" s="4">
        <v>3</v>
      </c>
      <c r="AJ134" s="4">
        <v>0</v>
      </c>
      <c r="AK134" s="4">
        <v>8</v>
      </c>
      <c r="AL134" s="4">
        <v>0</v>
      </c>
      <c r="AM134" s="4">
        <v>4</v>
      </c>
      <c r="AN134" s="4">
        <v>0</v>
      </c>
      <c r="AO134" s="4">
        <v>0</v>
      </c>
      <c r="AP134" s="3" t="s">
        <v>58</v>
      </c>
      <c r="AQ134" s="3" t="s">
        <v>58</v>
      </c>
      <c r="AS134" s="6" t="str">
        <f>HYPERLINK("https://creighton-primo.hosted.exlibrisgroup.com/primo-explore/search?tab=default_tab&amp;search_scope=EVERYTHING&amp;vid=01CRU&amp;lang=en_US&amp;offset=0&amp;query=any,contains,991001371119702656","Catalog Record")</f>
        <v>Catalog Record</v>
      </c>
      <c r="AT134" s="6" t="str">
        <f>HYPERLINK("http://www.worldcat.org/oclc/18572370","WorldCat Record")</f>
        <v>WorldCat Record</v>
      </c>
      <c r="AU134" s="3" t="s">
        <v>1655</v>
      </c>
      <c r="AV134" s="3" t="s">
        <v>1656</v>
      </c>
      <c r="AW134" s="3" t="s">
        <v>1657</v>
      </c>
      <c r="AX134" s="3" t="s">
        <v>1657</v>
      </c>
      <c r="AY134" s="3" t="s">
        <v>1658</v>
      </c>
      <c r="AZ134" s="3" t="s">
        <v>74</v>
      </c>
      <c r="BC134" s="3" t="s">
        <v>1659</v>
      </c>
      <c r="BD134" s="3" t="s">
        <v>1660</v>
      </c>
    </row>
    <row r="135" spans="1:56" ht="47.25" customHeight="1" x14ac:dyDescent="0.25">
      <c r="A135" s="7" t="s">
        <v>58</v>
      </c>
      <c r="B135" s="2" t="s">
        <v>1661</v>
      </c>
      <c r="C135" s="2" t="s">
        <v>1662</v>
      </c>
      <c r="D135" s="2" t="s">
        <v>1663</v>
      </c>
      <c r="E135" s="3" t="s">
        <v>1664</v>
      </c>
      <c r="F135" s="3" t="s">
        <v>69</v>
      </c>
      <c r="G135" s="3" t="s">
        <v>59</v>
      </c>
      <c r="H135" s="3" t="s">
        <v>58</v>
      </c>
      <c r="I135" s="3" t="s">
        <v>58</v>
      </c>
      <c r="J135" s="3" t="s">
        <v>60</v>
      </c>
      <c r="L135" s="2" t="s">
        <v>1665</v>
      </c>
      <c r="M135" s="3" t="s">
        <v>126</v>
      </c>
      <c r="O135" s="3" t="s">
        <v>65</v>
      </c>
      <c r="P135" s="3" t="s">
        <v>100</v>
      </c>
      <c r="R135" s="3" t="s">
        <v>67</v>
      </c>
      <c r="S135" s="4">
        <v>4</v>
      </c>
      <c r="T135" s="4">
        <v>29</v>
      </c>
      <c r="U135" s="5" t="s">
        <v>1666</v>
      </c>
      <c r="V135" s="5" t="s">
        <v>676</v>
      </c>
      <c r="W135" s="5" t="s">
        <v>1667</v>
      </c>
      <c r="X135" s="5" t="s">
        <v>1667</v>
      </c>
      <c r="Y135" s="4">
        <v>510</v>
      </c>
      <c r="Z135" s="4">
        <v>470</v>
      </c>
      <c r="AA135" s="4">
        <v>553</v>
      </c>
      <c r="AB135" s="4">
        <v>2</v>
      </c>
      <c r="AC135" s="4">
        <v>2</v>
      </c>
      <c r="AD135" s="4">
        <v>6</v>
      </c>
      <c r="AE135" s="4">
        <v>6</v>
      </c>
      <c r="AF135" s="4">
        <v>3</v>
      </c>
      <c r="AG135" s="4">
        <v>3</v>
      </c>
      <c r="AH135" s="4">
        <v>2</v>
      </c>
      <c r="AI135" s="4">
        <v>2</v>
      </c>
      <c r="AJ135" s="4">
        <v>2</v>
      </c>
      <c r="AK135" s="4">
        <v>2</v>
      </c>
      <c r="AL135" s="4">
        <v>0</v>
      </c>
      <c r="AM135" s="4">
        <v>0</v>
      </c>
      <c r="AN135" s="4">
        <v>0</v>
      </c>
      <c r="AO135" s="4">
        <v>0</v>
      </c>
      <c r="AP135" s="3" t="s">
        <v>58</v>
      </c>
      <c r="AQ135" s="3" t="s">
        <v>69</v>
      </c>
      <c r="AR135" s="6" t="str">
        <f t="shared" ref="AR135:AR144" si="3">HYPERLINK("http://catalog.hathitrust.org/Record/007051395","HathiTrust Record")</f>
        <v>HathiTrust Record</v>
      </c>
      <c r="AS135" s="6" t="str">
        <f t="shared" ref="AS135:AS144" si="4">HYPERLINK("https://creighton-primo.hosted.exlibrisgroup.com/primo-explore/search?tab=default_tab&amp;search_scope=EVERYTHING&amp;vid=01CRU&amp;lang=en_US&amp;offset=0&amp;query=any,contains,991001120959702656","Catalog Record")</f>
        <v>Catalog Record</v>
      </c>
      <c r="AT135" s="6" t="str">
        <f t="shared" ref="AT135:AT144" si="5">HYPERLINK("http://www.worldcat.org/oclc/16580750","WorldCat Record")</f>
        <v>WorldCat Record</v>
      </c>
      <c r="AU135" s="3" t="s">
        <v>1668</v>
      </c>
      <c r="AV135" s="3" t="s">
        <v>1669</v>
      </c>
      <c r="AW135" s="3" t="s">
        <v>1670</v>
      </c>
      <c r="AX135" s="3" t="s">
        <v>1670</v>
      </c>
      <c r="AY135" s="3" t="s">
        <v>1671</v>
      </c>
      <c r="AZ135" s="3" t="s">
        <v>74</v>
      </c>
      <c r="BB135" s="3" t="s">
        <v>1672</v>
      </c>
      <c r="BC135" s="3" t="s">
        <v>1673</v>
      </c>
      <c r="BD135" s="3" t="s">
        <v>1674</v>
      </c>
    </row>
    <row r="136" spans="1:56" ht="47.25" customHeight="1" x14ac:dyDescent="0.25">
      <c r="A136" s="7" t="s">
        <v>58</v>
      </c>
      <c r="B136" s="2" t="s">
        <v>1661</v>
      </c>
      <c r="C136" s="2" t="s">
        <v>1662</v>
      </c>
      <c r="D136" s="2" t="s">
        <v>1663</v>
      </c>
      <c r="E136" s="3" t="s">
        <v>1282</v>
      </c>
      <c r="F136" s="3" t="s">
        <v>69</v>
      </c>
      <c r="G136" s="3" t="s">
        <v>59</v>
      </c>
      <c r="H136" s="3" t="s">
        <v>58</v>
      </c>
      <c r="I136" s="3" t="s">
        <v>58</v>
      </c>
      <c r="J136" s="3" t="s">
        <v>60</v>
      </c>
      <c r="L136" s="2" t="s">
        <v>1665</v>
      </c>
      <c r="M136" s="3" t="s">
        <v>126</v>
      </c>
      <c r="O136" s="3" t="s">
        <v>65</v>
      </c>
      <c r="P136" s="3" t="s">
        <v>100</v>
      </c>
      <c r="R136" s="3" t="s">
        <v>67</v>
      </c>
      <c r="S136" s="4">
        <v>0</v>
      </c>
      <c r="T136" s="4">
        <v>29</v>
      </c>
      <c r="V136" s="5" t="s">
        <v>676</v>
      </c>
      <c r="W136" s="5" t="s">
        <v>1667</v>
      </c>
      <c r="X136" s="5" t="s">
        <v>1667</v>
      </c>
      <c r="Y136" s="4">
        <v>510</v>
      </c>
      <c r="Z136" s="4">
        <v>470</v>
      </c>
      <c r="AA136" s="4">
        <v>553</v>
      </c>
      <c r="AB136" s="4">
        <v>2</v>
      </c>
      <c r="AC136" s="4">
        <v>2</v>
      </c>
      <c r="AD136" s="4">
        <v>6</v>
      </c>
      <c r="AE136" s="4">
        <v>6</v>
      </c>
      <c r="AF136" s="4">
        <v>3</v>
      </c>
      <c r="AG136" s="4">
        <v>3</v>
      </c>
      <c r="AH136" s="4">
        <v>2</v>
      </c>
      <c r="AI136" s="4">
        <v>2</v>
      </c>
      <c r="AJ136" s="4">
        <v>2</v>
      </c>
      <c r="AK136" s="4">
        <v>2</v>
      </c>
      <c r="AL136" s="4">
        <v>0</v>
      </c>
      <c r="AM136" s="4">
        <v>0</v>
      </c>
      <c r="AN136" s="4">
        <v>0</v>
      </c>
      <c r="AO136" s="4">
        <v>0</v>
      </c>
      <c r="AP136" s="3" t="s">
        <v>58</v>
      </c>
      <c r="AQ136" s="3" t="s">
        <v>69</v>
      </c>
      <c r="AR136" s="6" t="str">
        <f t="shared" si="3"/>
        <v>HathiTrust Record</v>
      </c>
      <c r="AS136" s="6" t="str">
        <f t="shared" si="4"/>
        <v>Catalog Record</v>
      </c>
      <c r="AT136" s="6" t="str">
        <f t="shared" si="5"/>
        <v>WorldCat Record</v>
      </c>
      <c r="AU136" s="3" t="s">
        <v>1668</v>
      </c>
      <c r="AV136" s="3" t="s">
        <v>1669</v>
      </c>
      <c r="AW136" s="3" t="s">
        <v>1670</v>
      </c>
      <c r="AX136" s="3" t="s">
        <v>1670</v>
      </c>
      <c r="AY136" s="3" t="s">
        <v>1671</v>
      </c>
      <c r="AZ136" s="3" t="s">
        <v>74</v>
      </c>
      <c r="BB136" s="3" t="s">
        <v>1672</v>
      </c>
      <c r="BC136" s="3" t="s">
        <v>1675</v>
      </c>
      <c r="BD136" s="3" t="s">
        <v>1676</v>
      </c>
    </row>
    <row r="137" spans="1:56" ht="47.25" customHeight="1" x14ac:dyDescent="0.25">
      <c r="A137" s="7" t="s">
        <v>58</v>
      </c>
      <c r="B137" s="2" t="s">
        <v>1661</v>
      </c>
      <c r="C137" s="2" t="s">
        <v>1662</v>
      </c>
      <c r="D137" s="2" t="s">
        <v>1663</v>
      </c>
      <c r="E137" s="3" t="s">
        <v>1677</v>
      </c>
      <c r="F137" s="3" t="s">
        <v>69</v>
      </c>
      <c r="G137" s="3" t="s">
        <v>59</v>
      </c>
      <c r="H137" s="3" t="s">
        <v>58</v>
      </c>
      <c r="I137" s="3" t="s">
        <v>58</v>
      </c>
      <c r="J137" s="3" t="s">
        <v>60</v>
      </c>
      <c r="L137" s="2" t="s">
        <v>1665</v>
      </c>
      <c r="M137" s="3" t="s">
        <v>126</v>
      </c>
      <c r="O137" s="3" t="s">
        <v>65</v>
      </c>
      <c r="P137" s="3" t="s">
        <v>100</v>
      </c>
      <c r="R137" s="3" t="s">
        <v>67</v>
      </c>
      <c r="S137" s="4">
        <v>1</v>
      </c>
      <c r="T137" s="4">
        <v>29</v>
      </c>
      <c r="V137" s="5" t="s">
        <v>676</v>
      </c>
      <c r="W137" s="5" t="s">
        <v>1667</v>
      </c>
      <c r="X137" s="5" t="s">
        <v>1667</v>
      </c>
      <c r="Y137" s="4">
        <v>510</v>
      </c>
      <c r="Z137" s="4">
        <v>470</v>
      </c>
      <c r="AA137" s="4">
        <v>553</v>
      </c>
      <c r="AB137" s="4">
        <v>2</v>
      </c>
      <c r="AC137" s="4">
        <v>2</v>
      </c>
      <c r="AD137" s="4">
        <v>6</v>
      </c>
      <c r="AE137" s="4">
        <v>6</v>
      </c>
      <c r="AF137" s="4">
        <v>3</v>
      </c>
      <c r="AG137" s="4">
        <v>3</v>
      </c>
      <c r="AH137" s="4">
        <v>2</v>
      </c>
      <c r="AI137" s="4">
        <v>2</v>
      </c>
      <c r="AJ137" s="4">
        <v>2</v>
      </c>
      <c r="AK137" s="4">
        <v>2</v>
      </c>
      <c r="AL137" s="4">
        <v>0</v>
      </c>
      <c r="AM137" s="4">
        <v>0</v>
      </c>
      <c r="AN137" s="4">
        <v>0</v>
      </c>
      <c r="AO137" s="4">
        <v>0</v>
      </c>
      <c r="AP137" s="3" t="s">
        <v>58</v>
      </c>
      <c r="AQ137" s="3" t="s">
        <v>69</v>
      </c>
      <c r="AR137" s="6" t="str">
        <f t="shared" si="3"/>
        <v>HathiTrust Record</v>
      </c>
      <c r="AS137" s="6" t="str">
        <f t="shared" si="4"/>
        <v>Catalog Record</v>
      </c>
      <c r="AT137" s="6" t="str">
        <f t="shared" si="5"/>
        <v>WorldCat Record</v>
      </c>
      <c r="AU137" s="3" t="s">
        <v>1668</v>
      </c>
      <c r="AV137" s="3" t="s">
        <v>1669</v>
      </c>
      <c r="AW137" s="3" t="s">
        <v>1670</v>
      </c>
      <c r="AX137" s="3" t="s">
        <v>1670</v>
      </c>
      <c r="AY137" s="3" t="s">
        <v>1671</v>
      </c>
      <c r="AZ137" s="3" t="s">
        <v>74</v>
      </c>
      <c r="BB137" s="3" t="s">
        <v>1672</v>
      </c>
      <c r="BC137" s="3" t="s">
        <v>1678</v>
      </c>
      <c r="BD137" s="3" t="s">
        <v>1679</v>
      </c>
    </row>
    <row r="138" spans="1:56" ht="47.25" customHeight="1" x14ac:dyDescent="0.25">
      <c r="A138" s="7" t="s">
        <v>58</v>
      </c>
      <c r="B138" s="2" t="s">
        <v>1661</v>
      </c>
      <c r="C138" s="2" t="s">
        <v>1662</v>
      </c>
      <c r="D138" s="2" t="s">
        <v>1663</v>
      </c>
      <c r="E138" s="3" t="s">
        <v>1680</v>
      </c>
      <c r="F138" s="3" t="s">
        <v>69</v>
      </c>
      <c r="G138" s="3" t="s">
        <v>59</v>
      </c>
      <c r="H138" s="3" t="s">
        <v>58</v>
      </c>
      <c r="I138" s="3" t="s">
        <v>58</v>
      </c>
      <c r="J138" s="3" t="s">
        <v>60</v>
      </c>
      <c r="L138" s="2" t="s">
        <v>1665</v>
      </c>
      <c r="M138" s="3" t="s">
        <v>126</v>
      </c>
      <c r="O138" s="3" t="s">
        <v>65</v>
      </c>
      <c r="P138" s="3" t="s">
        <v>100</v>
      </c>
      <c r="R138" s="3" t="s">
        <v>67</v>
      </c>
      <c r="S138" s="4">
        <v>4</v>
      </c>
      <c r="T138" s="4">
        <v>29</v>
      </c>
      <c r="U138" s="5" t="s">
        <v>1681</v>
      </c>
      <c r="V138" s="5" t="s">
        <v>676</v>
      </c>
      <c r="W138" s="5" t="s">
        <v>1667</v>
      </c>
      <c r="X138" s="5" t="s">
        <v>1667</v>
      </c>
      <c r="Y138" s="4">
        <v>510</v>
      </c>
      <c r="Z138" s="4">
        <v>470</v>
      </c>
      <c r="AA138" s="4">
        <v>553</v>
      </c>
      <c r="AB138" s="4">
        <v>2</v>
      </c>
      <c r="AC138" s="4">
        <v>2</v>
      </c>
      <c r="AD138" s="4">
        <v>6</v>
      </c>
      <c r="AE138" s="4">
        <v>6</v>
      </c>
      <c r="AF138" s="4">
        <v>3</v>
      </c>
      <c r="AG138" s="4">
        <v>3</v>
      </c>
      <c r="AH138" s="4">
        <v>2</v>
      </c>
      <c r="AI138" s="4">
        <v>2</v>
      </c>
      <c r="AJ138" s="4">
        <v>2</v>
      </c>
      <c r="AK138" s="4">
        <v>2</v>
      </c>
      <c r="AL138" s="4">
        <v>0</v>
      </c>
      <c r="AM138" s="4">
        <v>0</v>
      </c>
      <c r="AN138" s="4">
        <v>0</v>
      </c>
      <c r="AO138" s="4">
        <v>0</v>
      </c>
      <c r="AP138" s="3" t="s">
        <v>58</v>
      </c>
      <c r="AQ138" s="3" t="s">
        <v>69</v>
      </c>
      <c r="AR138" s="6" t="str">
        <f t="shared" si="3"/>
        <v>HathiTrust Record</v>
      </c>
      <c r="AS138" s="6" t="str">
        <f t="shared" si="4"/>
        <v>Catalog Record</v>
      </c>
      <c r="AT138" s="6" t="str">
        <f t="shared" si="5"/>
        <v>WorldCat Record</v>
      </c>
      <c r="AU138" s="3" t="s">
        <v>1668</v>
      </c>
      <c r="AV138" s="3" t="s">
        <v>1669</v>
      </c>
      <c r="AW138" s="3" t="s">
        <v>1670</v>
      </c>
      <c r="AX138" s="3" t="s">
        <v>1670</v>
      </c>
      <c r="AY138" s="3" t="s">
        <v>1671</v>
      </c>
      <c r="AZ138" s="3" t="s">
        <v>74</v>
      </c>
      <c r="BB138" s="3" t="s">
        <v>1672</v>
      </c>
      <c r="BC138" s="3" t="s">
        <v>1682</v>
      </c>
      <c r="BD138" s="3" t="s">
        <v>1683</v>
      </c>
    </row>
    <row r="139" spans="1:56" ht="47.25" customHeight="1" x14ac:dyDescent="0.25">
      <c r="A139" s="7" t="s">
        <v>58</v>
      </c>
      <c r="B139" s="2" t="s">
        <v>1661</v>
      </c>
      <c r="C139" s="2" t="s">
        <v>1662</v>
      </c>
      <c r="D139" s="2" t="s">
        <v>1663</v>
      </c>
      <c r="E139" s="3" t="s">
        <v>539</v>
      </c>
      <c r="F139" s="3" t="s">
        <v>69</v>
      </c>
      <c r="G139" s="3" t="s">
        <v>59</v>
      </c>
      <c r="H139" s="3" t="s">
        <v>58</v>
      </c>
      <c r="I139" s="3" t="s">
        <v>58</v>
      </c>
      <c r="J139" s="3" t="s">
        <v>60</v>
      </c>
      <c r="L139" s="2" t="s">
        <v>1665</v>
      </c>
      <c r="M139" s="3" t="s">
        <v>126</v>
      </c>
      <c r="O139" s="3" t="s">
        <v>65</v>
      </c>
      <c r="P139" s="3" t="s">
        <v>100</v>
      </c>
      <c r="R139" s="3" t="s">
        <v>67</v>
      </c>
      <c r="S139" s="4">
        <v>2</v>
      </c>
      <c r="T139" s="4">
        <v>29</v>
      </c>
      <c r="U139" s="5" t="s">
        <v>1681</v>
      </c>
      <c r="V139" s="5" t="s">
        <v>676</v>
      </c>
      <c r="W139" s="5" t="s">
        <v>1667</v>
      </c>
      <c r="X139" s="5" t="s">
        <v>1667</v>
      </c>
      <c r="Y139" s="4">
        <v>510</v>
      </c>
      <c r="Z139" s="4">
        <v>470</v>
      </c>
      <c r="AA139" s="4">
        <v>553</v>
      </c>
      <c r="AB139" s="4">
        <v>2</v>
      </c>
      <c r="AC139" s="4">
        <v>2</v>
      </c>
      <c r="AD139" s="4">
        <v>6</v>
      </c>
      <c r="AE139" s="4">
        <v>6</v>
      </c>
      <c r="AF139" s="4">
        <v>3</v>
      </c>
      <c r="AG139" s="4">
        <v>3</v>
      </c>
      <c r="AH139" s="4">
        <v>2</v>
      </c>
      <c r="AI139" s="4">
        <v>2</v>
      </c>
      <c r="AJ139" s="4">
        <v>2</v>
      </c>
      <c r="AK139" s="4">
        <v>2</v>
      </c>
      <c r="AL139" s="4">
        <v>0</v>
      </c>
      <c r="AM139" s="4">
        <v>0</v>
      </c>
      <c r="AN139" s="4">
        <v>0</v>
      </c>
      <c r="AO139" s="4">
        <v>0</v>
      </c>
      <c r="AP139" s="3" t="s">
        <v>58</v>
      </c>
      <c r="AQ139" s="3" t="s">
        <v>69</v>
      </c>
      <c r="AR139" s="6" t="str">
        <f t="shared" si="3"/>
        <v>HathiTrust Record</v>
      </c>
      <c r="AS139" s="6" t="str">
        <f t="shared" si="4"/>
        <v>Catalog Record</v>
      </c>
      <c r="AT139" s="6" t="str">
        <f t="shared" si="5"/>
        <v>WorldCat Record</v>
      </c>
      <c r="AU139" s="3" t="s">
        <v>1668</v>
      </c>
      <c r="AV139" s="3" t="s">
        <v>1669</v>
      </c>
      <c r="AW139" s="3" t="s">
        <v>1670</v>
      </c>
      <c r="AX139" s="3" t="s">
        <v>1670</v>
      </c>
      <c r="AY139" s="3" t="s">
        <v>1671</v>
      </c>
      <c r="AZ139" s="3" t="s">
        <v>74</v>
      </c>
      <c r="BB139" s="3" t="s">
        <v>1672</v>
      </c>
      <c r="BC139" s="3" t="s">
        <v>1684</v>
      </c>
      <c r="BD139" s="3" t="s">
        <v>1685</v>
      </c>
    </row>
    <row r="140" spans="1:56" ht="47.25" customHeight="1" x14ac:dyDescent="0.25">
      <c r="A140" s="7" t="s">
        <v>58</v>
      </c>
      <c r="B140" s="2" t="s">
        <v>1661</v>
      </c>
      <c r="C140" s="2" t="s">
        <v>1662</v>
      </c>
      <c r="D140" s="2" t="s">
        <v>1663</v>
      </c>
      <c r="E140" s="3" t="s">
        <v>293</v>
      </c>
      <c r="F140" s="3" t="s">
        <v>69</v>
      </c>
      <c r="G140" s="3" t="s">
        <v>59</v>
      </c>
      <c r="H140" s="3" t="s">
        <v>58</v>
      </c>
      <c r="I140" s="3" t="s">
        <v>58</v>
      </c>
      <c r="J140" s="3" t="s">
        <v>60</v>
      </c>
      <c r="L140" s="2" t="s">
        <v>1665</v>
      </c>
      <c r="M140" s="3" t="s">
        <v>126</v>
      </c>
      <c r="O140" s="3" t="s">
        <v>65</v>
      </c>
      <c r="P140" s="3" t="s">
        <v>100</v>
      </c>
      <c r="R140" s="3" t="s">
        <v>67</v>
      </c>
      <c r="S140" s="4">
        <v>1</v>
      </c>
      <c r="T140" s="4">
        <v>29</v>
      </c>
      <c r="V140" s="5" t="s">
        <v>676</v>
      </c>
      <c r="W140" s="5" t="s">
        <v>1667</v>
      </c>
      <c r="X140" s="5" t="s">
        <v>1667</v>
      </c>
      <c r="Y140" s="4">
        <v>510</v>
      </c>
      <c r="Z140" s="4">
        <v>470</v>
      </c>
      <c r="AA140" s="4">
        <v>553</v>
      </c>
      <c r="AB140" s="4">
        <v>2</v>
      </c>
      <c r="AC140" s="4">
        <v>2</v>
      </c>
      <c r="AD140" s="4">
        <v>6</v>
      </c>
      <c r="AE140" s="4">
        <v>6</v>
      </c>
      <c r="AF140" s="4">
        <v>3</v>
      </c>
      <c r="AG140" s="4">
        <v>3</v>
      </c>
      <c r="AH140" s="4">
        <v>2</v>
      </c>
      <c r="AI140" s="4">
        <v>2</v>
      </c>
      <c r="AJ140" s="4">
        <v>2</v>
      </c>
      <c r="AK140" s="4">
        <v>2</v>
      </c>
      <c r="AL140" s="4">
        <v>0</v>
      </c>
      <c r="AM140" s="4">
        <v>0</v>
      </c>
      <c r="AN140" s="4">
        <v>0</v>
      </c>
      <c r="AO140" s="4">
        <v>0</v>
      </c>
      <c r="AP140" s="3" t="s">
        <v>58</v>
      </c>
      <c r="AQ140" s="3" t="s">
        <v>69</v>
      </c>
      <c r="AR140" s="6" t="str">
        <f t="shared" si="3"/>
        <v>HathiTrust Record</v>
      </c>
      <c r="AS140" s="6" t="str">
        <f t="shared" si="4"/>
        <v>Catalog Record</v>
      </c>
      <c r="AT140" s="6" t="str">
        <f t="shared" si="5"/>
        <v>WorldCat Record</v>
      </c>
      <c r="AU140" s="3" t="s">
        <v>1668</v>
      </c>
      <c r="AV140" s="3" t="s">
        <v>1669</v>
      </c>
      <c r="AW140" s="3" t="s">
        <v>1670</v>
      </c>
      <c r="AX140" s="3" t="s">
        <v>1670</v>
      </c>
      <c r="AY140" s="3" t="s">
        <v>1671</v>
      </c>
      <c r="AZ140" s="3" t="s">
        <v>74</v>
      </c>
      <c r="BB140" s="3" t="s">
        <v>1672</v>
      </c>
      <c r="BC140" s="3" t="s">
        <v>1686</v>
      </c>
      <c r="BD140" s="3" t="s">
        <v>1687</v>
      </c>
    </row>
    <row r="141" spans="1:56" ht="47.25" customHeight="1" x14ac:dyDescent="0.25">
      <c r="A141" s="7" t="s">
        <v>58</v>
      </c>
      <c r="B141" s="2" t="s">
        <v>1661</v>
      </c>
      <c r="C141" s="2" t="s">
        <v>1662</v>
      </c>
      <c r="D141" s="2" t="s">
        <v>1663</v>
      </c>
      <c r="E141" s="3" t="s">
        <v>1292</v>
      </c>
      <c r="F141" s="3" t="s">
        <v>69</v>
      </c>
      <c r="G141" s="3" t="s">
        <v>59</v>
      </c>
      <c r="H141" s="3" t="s">
        <v>58</v>
      </c>
      <c r="I141" s="3" t="s">
        <v>58</v>
      </c>
      <c r="J141" s="3" t="s">
        <v>60</v>
      </c>
      <c r="L141" s="2" t="s">
        <v>1665</v>
      </c>
      <c r="M141" s="3" t="s">
        <v>126</v>
      </c>
      <c r="O141" s="3" t="s">
        <v>65</v>
      </c>
      <c r="P141" s="3" t="s">
        <v>100</v>
      </c>
      <c r="R141" s="3" t="s">
        <v>67</v>
      </c>
      <c r="S141" s="4">
        <v>4</v>
      </c>
      <c r="T141" s="4">
        <v>29</v>
      </c>
      <c r="V141" s="5" t="s">
        <v>676</v>
      </c>
      <c r="W141" s="5" t="s">
        <v>1667</v>
      </c>
      <c r="X141" s="5" t="s">
        <v>1667</v>
      </c>
      <c r="Y141" s="4">
        <v>510</v>
      </c>
      <c r="Z141" s="4">
        <v>470</v>
      </c>
      <c r="AA141" s="4">
        <v>553</v>
      </c>
      <c r="AB141" s="4">
        <v>2</v>
      </c>
      <c r="AC141" s="4">
        <v>2</v>
      </c>
      <c r="AD141" s="4">
        <v>6</v>
      </c>
      <c r="AE141" s="4">
        <v>6</v>
      </c>
      <c r="AF141" s="4">
        <v>3</v>
      </c>
      <c r="AG141" s="4">
        <v>3</v>
      </c>
      <c r="AH141" s="4">
        <v>2</v>
      </c>
      <c r="AI141" s="4">
        <v>2</v>
      </c>
      <c r="AJ141" s="4">
        <v>2</v>
      </c>
      <c r="AK141" s="4">
        <v>2</v>
      </c>
      <c r="AL141" s="4">
        <v>0</v>
      </c>
      <c r="AM141" s="4">
        <v>0</v>
      </c>
      <c r="AN141" s="4">
        <v>0</v>
      </c>
      <c r="AO141" s="4">
        <v>0</v>
      </c>
      <c r="AP141" s="3" t="s">
        <v>58</v>
      </c>
      <c r="AQ141" s="3" t="s">
        <v>69</v>
      </c>
      <c r="AR141" s="6" t="str">
        <f t="shared" si="3"/>
        <v>HathiTrust Record</v>
      </c>
      <c r="AS141" s="6" t="str">
        <f t="shared" si="4"/>
        <v>Catalog Record</v>
      </c>
      <c r="AT141" s="6" t="str">
        <f t="shared" si="5"/>
        <v>WorldCat Record</v>
      </c>
      <c r="AU141" s="3" t="s">
        <v>1668</v>
      </c>
      <c r="AV141" s="3" t="s">
        <v>1669</v>
      </c>
      <c r="AW141" s="3" t="s">
        <v>1670</v>
      </c>
      <c r="AX141" s="3" t="s">
        <v>1670</v>
      </c>
      <c r="AY141" s="3" t="s">
        <v>1671</v>
      </c>
      <c r="AZ141" s="3" t="s">
        <v>74</v>
      </c>
      <c r="BB141" s="3" t="s">
        <v>1672</v>
      </c>
      <c r="BC141" s="3" t="s">
        <v>1688</v>
      </c>
      <c r="BD141" s="3" t="s">
        <v>1689</v>
      </c>
    </row>
    <row r="142" spans="1:56" ht="47.25" customHeight="1" x14ac:dyDescent="0.25">
      <c r="A142" s="7" t="s">
        <v>58</v>
      </c>
      <c r="B142" s="2" t="s">
        <v>1661</v>
      </c>
      <c r="C142" s="2" t="s">
        <v>1662</v>
      </c>
      <c r="D142" s="2" t="s">
        <v>1663</v>
      </c>
      <c r="E142" s="3" t="s">
        <v>277</v>
      </c>
      <c r="F142" s="3" t="s">
        <v>69</v>
      </c>
      <c r="G142" s="3" t="s">
        <v>59</v>
      </c>
      <c r="H142" s="3" t="s">
        <v>58</v>
      </c>
      <c r="I142" s="3" t="s">
        <v>58</v>
      </c>
      <c r="J142" s="3" t="s">
        <v>60</v>
      </c>
      <c r="L142" s="2" t="s">
        <v>1665</v>
      </c>
      <c r="M142" s="3" t="s">
        <v>126</v>
      </c>
      <c r="O142" s="3" t="s">
        <v>65</v>
      </c>
      <c r="P142" s="3" t="s">
        <v>100</v>
      </c>
      <c r="R142" s="3" t="s">
        <v>67</v>
      </c>
      <c r="S142" s="4">
        <v>5</v>
      </c>
      <c r="T142" s="4">
        <v>29</v>
      </c>
      <c r="V142" s="5" t="s">
        <v>676</v>
      </c>
      <c r="W142" s="5" t="s">
        <v>1667</v>
      </c>
      <c r="X142" s="5" t="s">
        <v>1667</v>
      </c>
      <c r="Y142" s="4">
        <v>510</v>
      </c>
      <c r="Z142" s="4">
        <v>470</v>
      </c>
      <c r="AA142" s="4">
        <v>553</v>
      </c>
      <c r="AB142" s="4">
        <v>2</v>
      </c>
      <c r="AC142" s="4">
        <v>2</v>
      </c>
      <c r="AD142" s="4">
        <v>6</v>
      </c>
      <c r="AE142" s="4">
        <v>6</v>
      </c>
      <c r="AF142" s="4">
        <v>3</v>
      </c>
      <c r="AG142" s="4">
        <v>3</v>
      </c>
      <c r="AH142" s="4">
        <v>2</v>
      </c>
      <c r="AI142" s="4">
        <v>2</v>
      </c>
      <c r="AJ142" s="4">
        <v>2</v>
      </c>
      <c r="AK142" s="4">
        <v>2</v>
      </c>
      <c r="AL142" s="4">
        <v>0</v>
      </c>
      <c r="AM142" s="4">
        <v>0</v>
      </c>
      <c r="AN142" s="4">
        <v>0</v>
      </c>
      <c r="AO142" s="4">
        <v>0</v>
      </c>
      <c r="AP142" s="3" t="s">
        <v>58</v>
      </c>
      <c r="AQ142" s="3" t="s">
        <v>69</v>
      </c>
      <c r="AR142" s="6" t="str">
        <f t="shared" si="3"/>
        <v>HathiTrust Record</v>
      </c>
      <c r="AS142" s="6" t="str">
        <f t="shared" si="4"/>
        <v>Catalog Record</v>
      </c>
      <c r="AT142" s="6" t="str">
        <f t="shared" si="5"/>
        <v>WorldCat Record</v>
      </c>
      <c r="AU142" s="3" t="s">
        <v>1668</v>
      </c>
      <c r="AV142" s="3" t="s">
        <v>1669</v>
      </c>
      <c r="AW142" s="3" t="s">
        <v>1670</v>
      </c>
      <c r="AX142" s="3" t="s">
        <v>1670</v>
      </c>
      <c r="AY142" s="3" t="s">
        <v>1671</v>
      </c>
      <c r="AZ142" s="3" t="s">
        <v>74</v>
      </c>
      <c r="BB142" s="3" t="s">
        <v>1672</v>
      </c>
      <c r="BC142" s="3" t="s">
        <v>1690</v>
      </c>
      <c r="BD142" s="3" t="s">
        <v>1691</v>
      </c>
    </row>
    <row r="143" spans="1:56" ht="47.25" customHeight="1" x14ac:dyDescent="0.25">
      <c r="A143" s="7" t="s">
        <v>58</v>
      </c>
      <c r="B143" s="2" t="s">
        <v>1661</v>
      </c>
      <c r="C143" s="2" t="s">
        <v>1662</v>
      </c>
      <c r="D143" s="2" t="s">
        <v>1663</v>
      </c>
      <c r="E143" s="3" t="s">
        <v>290</v>
      </c>
      <c r="F143" s="3" t="s">
        <v>69</v>
      </c>
      <c r="G143" s="3" t="s">
        <v>59</v>
      </c>
      <c r="H143" s="3" t="s">
        <v>58</v>
      </c>
      <c r="I143" s="3" t="s">
        <v>58</v>
      </c>
      <c r="J143" s="3" t="s">
        <v>60</v>
      </c>
      <c r="L143" s="2" t="s">
        <v>1665</v>
      </c>
      <c r="M143" s="3" t="s">
        <v>126</v>
      </c>
      <c r="O143" s="3" t="s">
        <v>65</v>
      </c>
      <c r="P143" s="3" t="s">
        <v>100</v>
      </c>
      <c r="R143" s="3" t="s">
        <v>67</v>
      </c>
      <c r="S143" s="4">
        <v>8</v>
      </c>
      <c r="T143" s="4">
        <v>29</v>
      </c>
      <c r="U143" s="5" t="s">
        <v>676</v>
      </c>
      <c r="V143" s="5" t="s">
        <v>676</v>
      </c>
      <c r="W143" s="5" t="s">
        <v>1667</v>
      </c>
      <c r="X143" s="5" t="s">
        <v>1667</v>
      </c>
      <c r="Y143" s="4">
        <v>510</v>
      </c>
      <c r="Z143" s="4">
        <v>470</v>
      </c>
      <c r="AA143" s="4">
        <v>553</v>
      </c>
      <c r="AB143" s="4">
        <v>2</v>
      </c>
      <c r="AC143" s="4">
        <v>2</v>
      </c>
      <c r="AD143" s="4">
        <v>6</v>
      </c>
      <c r="AE143" s="4">
        <v>6</v>
      </c>
      <c r="AF143" s="4">
        <v>3</v>
      </c>
      <c r="AG143" s="4">
        <v>3</v>
      </c>
      <c r="AH143" s="4">
        <v>2</v>
      </c>
      <c r="AI143" s="4">
        <v>2</v>
      </c>
      <c r="AJ143" s="4">
        <v>2</v>
      </c>
      <c r="AK143" s="4">
        <v>2</v>
      </c>
      <c r="AL143" s="4">
        <v>0</v>
      </c>
      <c r="AM143" s="4">
        <v>0</v>
      </c>
      <c r="AN143" s="4">
        <v>0</v>
      </c>
      <c r="AO143" s="4">
        <v>0</v>
      </c>
      <c r="AP143" s="3" t="s">
        <v>58</v>
      </c>
      <c r="AQ143" s="3" t="s">
        <v>69</v>
      </c>
      <c r="AR143" s="6" t="str">
        <f t="shared" si="3"/>
        <v>HathiTrust Record</v>
      </c>
      <c r="AS143" s="6" t="str">
        <f t="shared" si="4"/>
        <v>Catalog Record</v>
      </c>
      <c r="AT143" s="6" t="str">
        <f t="shared" si="5"/>
        <v>WorldCat Record</v>
      </c>
      <c r="AU143" s="3" t="s">
        <v>1668</v>
      </c>
      <c r="AV143" s="3" t="s">
        <v>1669</v>
      </c>
      <c r="AW143" s="3" t="s">
        <v>1670</v>
      </c>
      <c r="AX143" s="3" t="s">
        <v>1670</v>
      </c>
      <c r="AY143" s="3" t="s">
        <v>1671</v>
      </c>
      <c r="AZ143" s="3" t="s">
        <v>74</v>
      </c>
      <c r="BB143" s="3" t="s">
        <v>1672</v>
      </c>
      <c r="BC143" s="3" t="s">
        <v>1692</v>
      </c>
      <c r="BD143" s="3" t="s">
        <v>1693</v>
      </c>
    </row>
    <row r="144" spans="1:56" ht="47.25" customHeight="1" x14ac:dyDescent="0.25">
      <c r="A144" s="7" t="s">
        <v>58</v>
      </c>
      <c r="B144" s="2" t="s">
        <v>1661</v>
      </c>
      <c r="C144" s="2" t="s">
        <v>1662</v>
      </c>
      <c r="D144" s="2" t="s">
        <v>1663</v>
      </c>
      <c r="E144" s="3" t="s">
        <v>1694</v>
      </c>
      <c r="F144" s="3" t="s">
        <v>69</v>
      </c>
      <c r="G144" s="3" t="s">
        <v>59</v>
      </c>
      <c r="H144" s="3" t="s">
        <v>58</v>
      </c>
      <c r="I144" s="3" t="s">
        <v>58</v>
      </c>
      <c r="J144" s="3" t="s">
        <v>60</v>
      </c>
      <c r="L144" s="2" t="s">
        <v>1665</v>
      </c>
      <c r="M144" s="3" t="s">
        <v>126</v>
      </c>
      <c r="O144" s="3" t="s">
        <v>65</v>
      </c>
      <c r="P144" s="3" t="s">
        <v>100</v>
      </c>
      <c r="R144" s="3" t="s">
        <v>67</v>
      </c>
      <c r="S144" s="4">
        <v>0</v>
      </c>
      <c r="T144" s="4">
        <v>29</v>
      </c>
      <c r="V144" s="5" t="s">
        <v>676</v>
      </c>
      <c r="W144" s="5" t="s">
        <v>1667</v>
      </c>
      <c r="X144" s="5" t="s">
        <v>1667</v>
      </c>
      <c r="Y144" s="4">
        <v>510</v>
      </c>
      <c r="Z144" s="4">
        <v>470</v>
      </c>
      <c r="AA144" s="4">
        <v>553</v>
      </c>
      <c r="AB144" s="4">
        <v>2</v>
      </c>
      <c r="AC144" s="4">
        <v>2</v>
      </c>
      <c r="AD144" s="4">
        <v>6</v>
      </c>
      <c r="AE144" s="4">
        <v>6</v>
      </c>
      <c r="AF144" s="4">
        <v>3</v>
      </c>
      <c r="AG144" s="4">
        <v>3</v>
      </c>
      <c r="AH144" s="4">
        <v>2</v>
      </c>
      <c r="AI144" s="4">
        <v>2</v>
      </c>
      <c r="AJ144" s="4">
        <v>2</v>
      </c>
      <c r="AK144" s="4">
        <v>2</v>
      </c>
      <c r="AL144" s="4">
        <v>0</v>
      </c>
      <c r="AM144" s="4">
        <v>0</v>
      </c>
      <c r="AN144" s="4">
        <v>0</v>
      </c>
      <c r="AO144" s="4">
        <v>0</v>
      </c>
      <c r="AP144" s="3" t="s">
        <v>58</v>
      </c>
      <c r="AQ144" s="3" t="s">
        <v>69</v>
      </c>
      <c r="AR144" s="6" t="str">
        <f t="shared" si="3"/>
        <v>HathiTrust Record</v>
      </c>
      <c r="AS144" s="6" t="str">
        <f t="shared" si="4"/>
        <v>Catalog Record</v>
      </c>
      <c r="AT144" s="6" t="str">
        <f t="shared" si="5"/>
        <v>WorldCat Record</v>
      </c>
      <c r="AU144" s="3" t="s">
        <v>1668</v>
      </c>
      <c r="AV144" s="3" t="s">
        <v>1669</v>
      </c>
      <c r="AW144" s="3" t="s">
        <v>1670</v>
      </c>
      <c r="AX144" s="3" t="s">
        <v>1670</v>
      </c>
      <c r="AY144" s="3" t="s">
        <v>1671</v>
      </c>
      <c r="AZ144" s="3" t="s">
        <v>74</v>
      </c>
      <c r="BB144" s="3" t="s">
        <v>1672</v>
      </c>
      <c r="BC144" s="3" t="s">
        <v>1695</v>
      </c>
      <c r="BD144" s="3" t="s">
        <v>1696</v>
      </c>
    </row>
    <row r="145" spans="1:56" ht="47.25" customHeight="1" x14ac:dyDescent="0.25">
      <c r="A145" s="7" t="s">
        <v>58</v>
      </c>
      <c r="B145" s="2" t="s">
        <v>1697</v>
      </c>
      <c r="C145" s="2" t="s">
        <v>1698</v>
      </c>
      <c r="D145" s="2" t="s">
        <v>1699</v>
      </c>
      <c r="F145" s="3" t="s">
        <v>58</v>
      </c>
      <c r="G145" s="3" t="s">
        <v>59</v>
      </c>
      <c r="H145" s="3" t="s">
        <v>58</v>
      </c>
      <c r="I145" s="3" t="s">
        <v>58</v>
      </c>
      <c r="J145" s="3" t="s">
        <v>60</v>
      </c>
      <c r="L145" s="2" t="s">
        <v>1700</v>
      </c>
      <c r="M145" s="3" t="s">
        <v>1112</v>
      </c>
      <c r="O145" s="3" t="s">
        <v>65</v>
      </c>
      <c r="P145" s="3" t="s">
        <v>127</v>
      </c>
      <c r="R145" s="3" t="s">
        <v>67</v>
      </c>
      <c r="S145" s="4">
        <v>8</v>
      </c>
      <c r="T145" s="4">
        <v>8</v>
      </c>
      <c r="U145" s="5" t="s">
        <v>1701</v>
      </c>
      <c r="V145" s="5" t="s">
        <v>1701</v>
      </c>
      <c r="W145" s="5" t="s">
        <v>1702</v>
      </c>
      <c r="X145" s="5" t="s">
        <v>1702</v>
      </c>
      <c r="Y145" s="4">
        <v>140</v>
      </c>
      <c r="Z145" s="4">
        <v>93</v>
      </c>
      <c r="AA145" s="4">
        <v>420</v>
      </c>
      <c r="AB145" s="4">
        <v>1</v>
      </c>
      <c r="AC145" s="4">
        <v>4</v>
      </c>
      <c r="AD145" s="4">
        <v>5</v>
      </c>
      <c r="AE145" s="4">
        <v>19</v>
      </c>
      <c r="AF145" s="4">
        <v>3</v>
      </c>
      <c r="AG145" s="4">
        <v>8</v>
      </c>
      <c r="AH145" s="4">
        <v>2</v>
      </c>
      <c r="AI145" s="4">
        <v>6</v>
      </c>
      <c r="AJ145" s="4">
        <v>3</v>
      </c>
      <c r="AK145" s="4">
        <v>9</v>
      </c>
      <c r="AL145" s="4">
        <v>0</v>
      </c>
      <c r="AM145" s="4">
        <v>3</v>
      </c>
      <c r="AN145" s="4">
        <v>0</v>
      </c>
      <c r="AO145" s="4">
        <v>0</v>
      </c>
      <c r="AP145" s="3" t="s">
        <v>58</v>
      </c>
      <c r="AQ145" s="3" t="s">
        <v>58</v>
      </c>
      <c r="AS145" s="6" t="str">
        <f>HYPERLINK("https://creighton-primo.hosted.exlibrisgroup.com/primo-explore/search?tab=default_tab&amp;search_scope=EVERYTHING&amp;vid=01CRU&amp;lang=en_US&amp;offset=0&amp;query=any,contains,991001336699702656","Catalog Record")</f>
        <v>Catalog Record</v>
      </c>
      <c r="AT145" s="6" t="str">
        <f>HYPERLINK("http://www.worldcat.org/oclc/18351819","WorldCat Record")</f>
        <v>WorldCat Record</v>
      </c>
      <c r="AU145" s="3" t="s">
        <v>1703</v>
      </c>
      <c r="AV145" s="3" t="s">
        <v>1704</v>
      </c>
      <c r="AW145" s="3" t="s">
        <v>1705</v>
      </c>
      <c r="AX145" s="3" t="s">
        <v>1705</v>
      </c>
      <c r="AY145" s="3" t="s">
        <v>1706</v>
      </c>
      <c r="AZ145" s="3" t="s">
        <v>74</v>
      </c>
      <c r="BB145" s="3" t="s">
        <v>1707</v>
      </c>
      <c r="BC145" s="3" t="s">
        <v>1708</v>
      </c>
      <c r="BD145" s="3" t="s">
        <v>1709</v>
      </c>
    </row>
    <row r="146" spans="1:56" ht="47.25" customHeight="1" x14ac:dyDescent="0.25">
      <c r="A146" s="7" t="s">
        <v>58</v>
      </c>
      <c r="B146" s="2" t="s">
        <v>1710</v>
      </c>
      <c r="C146" s="2" t="s">
        <v>1711</v>
      </c>
      <c r="D146" s="2" t="s">
        <v>1712</v>
      </c>
      <c r="F146" s="3" t="s">
        <v>58</v>
      </c>
      <c r="G146" s="3" t="s">
        <v>59</v>
      </c>
      <c r="H146" s="3" t="s">
        <v>58</v>
      </c>
      <c r="I146" s="3" t="s">
        <v>58</v>
      </c>
      <c r="J146" s="3" t="s">
        <v>60</v>
      </c>
      <c r="K146" s="2" t="s">
        <v>1713</v>
      </c>
      <c r="L146" s="2" t="s">
        <v>1714</v>
      </c>
      <c r="M146" s="3" t="s">
        <v>1112</v>
      </c>
      <c r="N146" s="2" t="s">
        <v>1362</v>
      </c>
      <c r="O146" s="3" t="s">
        <v>65</v>
      </c>
      <c r="P146" s="3" t="s">
        <v>127</v>
      </c>
      <c r="R146" s="3" t="s">
        <v>67</v>
      </c>
      <c r="S146" s="4">
        <v>7</v>
      </c>
      <c r="T146" s="4">
        <v>7</v>
      </c>
      <c r="U146" s="5" t="s">
        <v>1715</v>
      </c>
      <c r="V146" s="5" t="s">
        <v>1715</v>
      </c>
      <c r="W146" s="5" t="s">
        <v>1716</v>
      </c>
      <c r="X146" s="5" t="s">
        <v>1716</v>
      </c>
      <c r="Y146" s="4">
        <v>467</v>
      </c>
      <c r="Z146" s="4">
        <v>307</v>
      </c>
      <c r="AA146" s="4">
        <v>530</v>
      </c>
      <c r="AB146" s="4">
        <v>3</v>
      </c>
      <c r="AC146" s="4">
        <v>4</v>
      </c>
      <c r="AD146" s="4">
        <v>9</v>
      </c>
      <c r="AE146" s="4">
        <v>20</v>
      </c>
      <c r="AF146" s="4">
        <v>3</v>
      </c>
      <c r="AG146" s="4">
        <v>7</v>
      </c>
      <c r="AH146" s="4">
        <v>3</v>
      </c>
      <c r="AI146" s="4">
        <v>8</v>
      </c>
      <c r="AJ146" s="4">
        <v>4</v>
      </c>
      <c r="AK146" s="4">
        <v>8</v>
      </c>
      <c r="AL146" s="4">
        <v>2</v>
      </c>
      <c r="AM146" s="4">
        <v>3</v>
      </c>
      <c r="AN146" s="4">
        <v>0</v>
      </c>
      <c r="AO146" s="4">
        <v>0</v>
      </c>
      <c r="AP146" s="3" t="s">
        <v>58</v>
      </c>
      <c r="AQ146" s="3" t="s">
        <v>69</v>
      </c>
      <c r="AR146" s="6" t="str">
        <f>HYPERLINK("http://catalog.hathitrust.org/Record/001088443","HathiTrust Record")</f>
        <v>HathiTrust Record</v>
      </c>
      <c r="AS146" s="6" t="str">
        <f>HYPERLINK("https://creighton-primo.hosted.exlibrisgroup.com/primo-explore/search?tab=default_tab&amp;search_scope=EVERYTHING&amp;vid=01CRU&amp;lang=en_US&amp;offset=0&amp;query=any,contains,991001283199702656","Catalog Record")</f>
        <v>Catalog Record</v>
      </c>
      <c r="AT146" s="6" t="str">
        <f>HYPERLINK("http://www.worldcat.org/oclc/16468459","WorldCat Record")</f>
        <v>WorldCat Record</v>
      </c>
      <c r="AU146" s="3" t="s">
        <v>1717</v>
      </c>
      <c r="AV146" s="3" t="s">
        <v>1718</v>
      </c>
      <c r="AW146" s="3" t="s">
        <v>1719</v>
      </c>
      <c r="AX146" s="3" t="s">
        <v>1719</v>
      </c>
      <c r="AY146" s="3" t="s">
        <v>1720</v>
      </c>
      <c r="AZ146" s="3" t="s">
        <v>74</v>
      </c>
      <c r="BB146" s="3" t="s">
        <v>1721</v>
      </c>
      <c r="BC146" s="3" t="s">
        <v>1722</v>
      </c>
      <c r="BD146" s="3" t="s">
        <v>1723</v>
      </c>
    </row>
    <row r="147" spans="1:56" ht="47.25" customHeight="1" x14ac:dyDescent="0.25">
      <c r="A147" s="7" t="s">
        <v>58</v>
      </c>
      <c r="B147" s="2" t="s">
        <v>1724</v>
      </c>
      <c r="C147" s="2" t="s">
        <v>1725</v>
      </c>
      <c r="D147" s="2" t="s">
        <v>1726</v>
      </c>
      <c r="F147" s="3" t="s">
        <v>58</v>
      </c>
      <c r="G147" s="3" t="s">
        <v>59</v>
      </c>
      <c r="H147" s="3" t="s">
        <v>58</v>
      </c>
      <c r="I147" s="3" t="s">
        <v>58</v>
      </c>
      <c r="J147" s="3" t="s">
        <v>60</v>
      </c>
      <c r="K147" s="2" t="s">
        <v>1727</v>
      </c>
      <c r="L147" s="2" t="s">
        <v>1728</v>
      </c>
      <c r="M147" s="3" t="s">
        <v>1148</v>
      </c>
      <c r="O147" s="3" t="s">
        <v>65</v>
      </c>
      <c r="P147" s="3" t="s">
        <v>100</v>
      </c>
      <c r="Q147" s="2" t="s">
        <v>1729</v>
      </c>
      <c r="R147" s="3" t="s">
        <v>67</v>
      </c>
      <c r="S147" s="4">
        <v>5</v>
      </c>
      <c r="T147" s="4">
        <v>5</v>
      </c>
      <c r="U147" s="5" t="s">
        <v>1730</v>
      </c>
      <c r="V147" s="5" t="s">
        <v>1730</v>
      </c>
      <c r="W147" s="5" t="s">
        <v>1731</v>
      </c>
      <c r="X147" s="5" t="s">
        <v>1731</v>
      </c>
      <c r="Y147" s="4">
        <v>509</v>
      </c>
      <c r="Z147" s="4">
        <v>378</v>
      </c>
      <c r="AA147" s="4">
        <v>395</v>
      </c>
      <c r="AB147" s="4">
        <v>5</v>
      </c>
      <c r="AC147" s="4">
        <v>5</v>
      </c>
      <c r="AD147" s="4">
        <v>12</v>
      </c>
      <c r="AE147" s="4">
        <v>13</v>
      </c>
      <c r="AF147" s="4">
        <v>3</v>
      </c>
      <c r="AG147" s="4">
        <v>4</v>
      </c>
      <c r="AH147" s="4">
        <v>4</v>
      </c>
      <c r="AI147" s="4">
        <v>4</v>
      </c>
      <c r="AJ147" s="4">
        <v>6</v>
      </c>
      <c r="AK147" s="4">
        <v>7</v>
      </c>
      <c r="AL147" s="4">
        <v>4</v>
      </c>
      <c r="AM147" s="4">
        <v>4</v>
      </c>
      <c r="AN147" s="4">
        <v>0</v>
      </c>
      <c r="AO147" s="4">
        <v>0</v>
      </c>
      <c r="AP147" s="3" t="s">
        <v>58</v>
      </c>
      <c r="AQ147" s="3" t="s">
        <v>69</v>
      </c>
      <c r="AR147" s="6" t="str">
        <f>HYPERLINK("http://catalog.hathitrust.org/Record/000344632","HathiTrust Record")</f>
        <v>HathiTrust Record</v>
      </c>
      <c r="AS147" s="6" t="str">
        <f>HYPERLINK("https://creighton-primo.hosted.exlibrisgroup.com/primo-explore/search?tab=default_tab&amp;search_scope=EVERYTHING&amp;vid=01CRU&amp;lang=en_US&amp;offset=0&amp;query=any,contains,991005404139702656","Catalog Record")</f>
        <v>Catalog Record</v>
      </c>
      <c r="AT147" s="6" t="str">
        <f>HYPERLINK("http://www.worldcat.org/oclc/10778406","WorldCat Record")</f>
        <v>WorldCat Record</v>
      </c>
      <c r="AU147" s="3" t="s">
        <v>1732</v>
      </c>
      <c r="AV147" s="3" t="s">
        <v>1733</v>
      </c>
      <c r="AW147" s="3" t="s">
        <v>1734</v>
      </c>
      <c r="AX147" s="3" t="s">
        <v>1734</v>
      </c>
      <c r="AY147" s="3" t="s">
        <v>1735</v>
      </c>
      <c r="AZ147" s="3" t="s">
        <v>74</v>
      </c>
      <c r="BB147" s="3" t="s">
        <v>1736</v>
      </c>
      <c r="BC147" s="3" t="s">
        <v>1737</v>
      </c>
      <c r="BD147" s="3" t="s">
        <v>1738</v>
      </c>
    </row>
    <row r="148" spans="1:56" ht="47.25" customHeight="1" x14ac:dyDescent="0.25">
      <c r="A148" s="7" t="s">
        <v>58</v>
      </c>
      <c r="B148" s="2" t="s">
        <v>1739</v>
      </c>
      <c r="C148" s="2" t="s">
        <v>1740</v>
      </c>
      <c r="D148" s="2" t="s">
        <v>1741</v>
      </c>
      <c r="F148" s="3" t="s">
        <v>58</v>
      </c>
      <c r="G148" s="3" t="s">
        <v>59</v>
      </c>
      <c r="H148" s="3" t="s">
        <v>58</v>
      </c>
      <c r="I148" s="3" t="s">
        <v>58</v>
      </c>
      <c r="J148" s="3" t="s">
        <v>60</v>
      </c>
      <c r="K148" s="2" t="s">
        <v>1742</v>
      </c>
      <c r="L148" s="2" t="s">
        <v>1743</v>
      </c>
      <c r="M148" s="3" t="s">
        <v>1744</v>
      </c>
      <c r="O148" s="3" t="s">
        <v>65</v>
      </c>
      <c r="P148" s="3" t="s">
        <v>1745</v>
      </c>
      <c r="R148" s="3" t="s">
        <v>67</v>
      </c>
      <c r="S148" s="4">
        <v>1</v>
      </c>
      <c r="T148" s="4">
        <v>1</v>
      </c>
      <c r="U148" s="5" t="s">
        <v>1746</v>
      </c>
      <c r="V148" s="5" t="s">
        <v>1746</v>
      </c>
      <c r="W148" s="5" t="s">
        <v>1746</v>
      </c>
      <c r="X148" s="5" t="s">
        <v>1746</v>
      </c>
      <c r="Y148" s="4">
        <v>72</v>
      </c>
      <c r="Z148" s="4">
        <v>61</v>
      </c>
      <c r="AA148" s="4">
        <v>61</v>
      </c>
      <c r="AB148" s="4">
        <v>1</v>
      </c>
      <c r="AC148" s="4">
        <v>1</v>
      </c>
      <c r="AD148" s="4">
        <v>1</v>
      </c>
      <c r="AE148" s="4">
        <v>1</v>
      </c>
      <c r="AF148" s="4">
        <v>0</v>
      </c>
      <c r="AG148" s="4">
        <v>0</v>
      </c>
      <c r="AH148" s="4">
        <v>0</v>
      </c>
      <c r="AI148" s="4">
        <v>0</v>
      </c>
      <c r="AJ148" s="4">
        <v>1</v>
      </c>
      <c r="AK148" s="4">
        <v>1</v>
      </c>
      <c r="AL148" s="4">
        <v>0</v>
      </c>
      <c r="AM148" s="4">
        <v>0</v>
      </c>
      <c r="AN148" s="4">
        <v>0</v>
      </c>
      <c r="AO148" s="4">
        <v>0</v>
      </c>
      <c r="AP148" s="3" t="s">
        <v>58</v>
      </c>
      <c r="AQ148" s="3" t="s">
        <v>58</v>
      </c>
      <c r="AS148" s="6" t="str">
        <f>HYPERLINK("https://creighton-primo.hosted.exlibrisgroup.com/primo-explore/search?tab=default_tab&amp;search_scope=EVERYTHING&amp;vid=01CRU&amp;lang=en_US&amp;offset=0&amp;query=any,contains,991005142869702656","Catalog Record")</f>
        <v>Catalog Record</v>
      </c>
      <c r="AT148" s="6" t="str">
        <f>HYPERLINK("http://www.worldcat.org/oclc/156822440","WorldCat Record")</f>
        <v>WorldCat Record</v>
      </c>
      <c r="AU148" s="3" t="s">
        <v>1747</v>
      </c>
      <c r="AV148" s="3" t="s">
        <v>1748</v>
      </c>
      <c r="AW148" s="3" t="s">
        <v>1749</v>
      </c>
      <c r="AX148" s="3" t="s">
        <v>1749</v>
      </c>
      <c r="AY148" s="3" t="s">
        <v>1750</v>
      </c>
      <c r="AZ148" s="3" t="s">
        <v>74</v>
      </c>
      <c r="BB148" s="3" t="s">
        <v>1751</v>
      </c>
      <c r="BC148" s="3" t="s">
        <v>1752</v>
      </c>
      <c r="BD148" s="3" t="s">
        <v>1753</v>
      </c>
    </row>
    <row r="149" spans="1:56" ht="47.25" customHeight="1" x14ac:dyDescent="0.25">
      <c r="A149" s="7" t="s">
        <v>58</v>
      </c>
      <c r="B149" s="2" t="s">
        <v>1754</v>
      </c>
      <c r="C149" s="2" t="s">
        <v>1755</v>
      </c>
      <c r="D149" s="2" t="s">
        <v>1756</v>
      </c>
      <c r="F149" s="3" t="s">
        <v>58</v>
      </c>
      <c r="G149" s="3" t="s">
        <v>59</v>
      </c>
      <c r="H149" s="3" t="s">
        <v>58</v>
      </c>
      <c r="I149" s="3" t="s">
        <v>58</v>
      </c>
      <c r="J149" s="3" t="s">
        <v>60</v>
      </c>
      <c r="K149" s="2" t="s">
        <v>1757</v>
      </c>
      <c r="L149" s="2" t="s">
        <v>1758</v>
      </c>
      <c r="M149" s="3" t="s">
        <v>453</v>
      </c>
      <c r="O149" s="3" t="s">
        <v>65</v>
      </c>
      <c r="P149" s="3" t="s">
        <v>143</v>
      </c>
      <c r="Q149" s="2" t="s">
        <v>1759</v>
      </c>
      <c r="R149" s="3" t="s">
        <v>67</v>
      </c>
      <c r="S149" s="4">
        <v>1</v>
      </c>
      <c r="T149" s="4">
        <v>1</v>
      </c>
      <c r="U149" s="5" t="s">
        <v>1627</v>
      </c>
      <c r="V149" s="5" t="s">
        <v>1627</v>
      </c>
      <c r="W149" s="5" t="s">
        <v>1272</v>
      </c>
      <c r="X149" s="5" t="s">
        <v>1272</v>
      </c>
      <c r="Y149" s="4">
        <v>438</v>
      </c>
      <c r="Z149" s="4">
        <v>380</v>
      </c>
      <c r="AA149" s="4">
        <v>420</v>
      </c>
      <c r="AB149" s="4">
        <v>4</v>
      </c>
      <c r="AC149" s="4">
        <v>4</v>
      </c>
      <c r="AD149" s="4">
        <v>14</v>
      </c>
      <c r="AE149" s="4">
        <v>15</v>
      </c>
      <c r="AF149" s="4">
        <v>4</v>
      </c>
      <c r="AG149" s="4">
        <v>4</v>
      </c>
      <c r="AH149" s="4">
        <v>3</v>
      </c>
      <c r="AI149" s="4">
        <v>3</v>
      </c>
      <c r="AJ149" s="4">
        <v>7</v>
      </c>
      <c r="AK149" s="4">
        <v>8</v>
      </c>
      <c r="AL149" s="4">
        <v>3</v>
      </c>
      <c r="AM149" s="4">
        <v>3</v>
      </c>
      <c r="AN149" s="4">
        <v>0</v>
      </c>
      <c r="AO149" s="4">
        <v>0</v>
      </c>
      <c r="AP149" s="3" t="s">
        <v>58</v>
      </c>
      <c r="AQ149" s="3" t="s">
        <v>58</v>
      </c>
      <c r="AS149" s="6" t="str">
        <f>HYPERLINK("https://creighton-primo.hosted.exlibrisgroup.com/primo-explore/search?tab=default_tab&amp;search_scope=EVERYTHING&amp;vid=01CRU&amp;lang=en_US&amp;offset=0&amp;query=any,contains,991002713369702656","Catalog Record")</f>
        <v>Catalog Record</v>
      </c>
      <c r="AT149" s="6" t="str">
        <f>HYPERLINK("http://www.worldcat.org/oclc/410484","WorldCat Record")</f>
        <v>WorldCat Record</v>
      </c>
      <c r="AU149" s="3" t="s">
        <v>1760</v>
      </c>
      <c r="AV149" s="3" t="s">
        <v>1761</v>
      </c>
      <c r="AW149" s="3" t="s">
        <v>1762</v>
      </c>
      <c r="AX149" s="3" t="s">
        <v>1762</v>
      </c>
      <c r="AY149" s="3" t="s">
        <v>1763</v>
      </c>
      <c r="AZ149" s="3" t="s">
        <v>74</v>
      </c>
      <c r="BB149" s="3" t="s">
        <v>1764</v>
      </c>
      <c r="BC149" s="3" t="s">
        <v>1765</v>
      </c>
      <c r="BD149" s="3" t="s">
        <v>1766</v>
      </c>
    </row>
    <row r="150" spans="1:56" ht="47.25" customHeight="1" x14ac:dyDescent="0.25">
      <c r="A150" s="7" t="s">
        <v>58</v>
      </c>
      <c r="B150" s="2" t="s">
        <v>1767</v>
      </c>
      <c r="C150" s="2" t="s">
        <v>1768</v>
      </c>
      <c r="D150" s="2" t="s">
        <v>1769</v>
      </c>
      <c r="F150" s="3" t="s">
        <v>58</v>
      </c>
      <c r="G150" s="3" t="s">
        <v>59</v>
      </c>
      <c r="H150" s="3" t="s">
        <v>58</v>
      </c>
      <c r="I150" s="3" t="s">
        <v>58</v>
      </c>
      <c r="J150" s="3" t="s">
        <v>60</v>
      </c>
      <c r="K150" s="2" t="s">
        <v>1770</v>
      </c>
      <c r="L150" s="2" t="s">
        <v>1771</v>
      </c>
      <c r="M150" s="3" t="s">
        <v>644</v>
      </c>
      <c r="O150" s="3" t="s">
        <v>65</v>
      </c>
      <c r="P150" s="3" t="s">
        <v>100</v>
      </c>
      <c r="Q150" s="2" t="s">
        <v>1772</v>
      </c>
      <c r="R150" s="3" t="s">
        <v>67</v>
      </c>
      <c r="S150" s="4">
        <v>1</v>
      </c>
      <c r="T150" s="4">
        <v>1</v>
      </c>
      <c r="U150" s="5" t="s">
        <v>1627</v>
      </c>
      <c r="V150" s="5" t="s">
        <v>1627</v>
      </c>
      <c r="W150" s="5" t="s">
        <v>1272</v>
      </c>
      <c r="X150" s="5" t="s">
        <v>1272</v>
      </c>
      <c r="Y150" s="4">
        <v>635</v>
      </c>
      <c r="Z150" s="4">
        <v>479</v>
      </c>
      <c r="AA150" s="4">
        <v>700</v>
      </c>
      <c r="AB150" s="4">
        <v>6</v>
      </c>
      <c r="AC150" s="4">
        <v>9</v>
      </c>
      <c r="AD150" s="4">
        <v>16</v>
      </c>
      <c r="AE150" s="4">
        <v>27</v>
      </c>
      <c r="AF150" s="4">
        <v>6</v>
      </c>
      <c r="AG150" s="4">
        <v>9</v>
      </c>
      <c r="AH150" s="4">
        <v>2</v>
      </c>
      <c r="AI150" s="4">
        <v>6</v>
      </c>
      <c r="AJ150" s="4">
        <v>4</v>
      </c>
      <c r="AK150" s="4">
        <v>8</v>
      </c>
      <c r="AL150" s="4">
        <v>5</v>
      </c>
      <c r="AM150" s="4">
        <v>8</v>
      </c>
      <c r="AN150" s="4">
        <v>0</v>
      </c>
      <c r="AO150" s="4">
        <v>0</v>
      </c>
      <c r="AP150" s="3" t="s">
        <v>58</v>
      </c>
      <c r="AQ150" s="3" t="s">
        <v>69</v>
      </c>
      <c r="AR150" s="6" t="str">
        <f>HYPERLINK("http://catalog.hathitrust.org/Record/000007540","HathiTrust Record")</f>
        <v>HathiTrust Record</v>
      </c>
      <c r="AS150" s="6" t="str">
        <f>HYPERLINK("https://creighton-primo.hosted.exlibrisgroup.com/primo-explore/search?tab=default_tab&amp;search_scope=EVERYTHING&amp;vid=01CRU&amp;lang=en_US&amp;offset=0&amp;query=any,contains,991002982049702656","Catalog Record")</f>
        <v>Catalog Record</v>
      </c>
      <c r="AT150" s="6" t="str">
        <f>HYPERLINK("http://www.worldcat.org/oclc/555432","WorldCat Record")</f>
        <v>WorldCat Record</v>
      </c>
      <c r="AU150" s="3" t="s">
        <v>1773</v>
      </c>
      <c r="AV150" s="3" t="s">
        <v>1774</v>
      </c>
      <c r="AW150" s="3" t="s">
        <v>1775</v>
      </c>
      <c r="AX150" s="3" t="s">
        <v>1775</v>
      </c>
      <c r="AY150" s="3" t="s">
        <v>1776</v>
      </c>
      <c r="AZ150" s="3" t="s">
        <v>74</v>
      </c>
      <c r="BC150" s="3" t="s">
        <v>1777</v>
      </c>
      <c r="BD150" s="3" t="s">
        <v>1778</v>
      </c>
    </row>
    <row r="151" spans="1:56" ht="47.25" customHeight="1" x14ac:dyDescent="0.25">
      <c r="A151" s="7" t="s">
        <v>58</v>
      </c>
      <c r="B151" s="2" t="s">
        <v>1779</v>
      </c>
      <c r="C151" s="2" t="s">
        <v>1780</v>
      </c>
      <c r="D151" s="2" t="s">
        <v>1781</v>
      </c>
      <c r="F151" s="3" t="s">
        <v>58</v>
      </c>
      <c r="G151" s="3" t="s">
        <v>59</v>
      </c>
      <c r="H151" s="3" t="s">
        <v>58</v>
      </c>
      <c r="I151" s="3" t="s">
        <v>58</v>
      </c>
      <c r="J151" s="3" t="s">
        <v>60</v>
      </c>
      <c r="K151" s="2" t="s">
        <v>1782</v>
      </c>
      <c r="L151" s="2" t="s">
        <v>1783</v>
      </c>
      <c r="M151" s="3" t="s">
        <v>587</v>
      </c>
      <c r="O151" s="3" t="s">
        <v>65</v>
      </c>
      <c r="P151" s="3" t="s">
        <v>100</v>
      </c>
      <c r="R151" s="3" t="s">
        <v>67</v>
      </c>
      <c r="S151" s="4">
        <v>1</v>
      </c>
      <c r="T151" s="4">
        <v>1</v>
      </c>
      <c r="U151" s="5" t="s">
        <v>1784</v>
      </c>
      <c r="V151" s="5" t="s">
        <v>1784</v>
      </c>
      <c r="W151" s="5" t="s">
        <v>1784</v>
      </c>
      <c r="X151" s="5" t="s">
        <v>1784</v>
      </c>
      <c r="Y151" s="4">
        <v>472</v>
      </c>
      <c r="Z151" s="4">
        <v>342</v>
      </c>
      <c r="AA151" s="4">
        <v>372</v>
      </c>
      <c r="AB151" s="4">
        <v>4</v>
      </c>
      <c r="AC151" s="4">
        <v>4</v>
      </c>
      <c r="AD151" s="4">
        <v>18</v>
      </c>
      <c r="AE151" s="4">
        <v>20</v>
      </c>
      <c r="AF151" s="4">
        <v>6</v>
      </c>
      <c r="AG151" s="4">
        <v>7</v>
      </c>
      <c r="AH151" s="4">
        <v>5</v>
      </c>
      <c r="AI151" s="4">
        <v>5</v>
      </c>
      <c r="AJ151" s="4">
        <v>10</v>
      </c>
      <c r="AK151" s="4">
        <v>12</v>
      </c>
      <c r="AL151" s="4">
        <v>3</v>
      </c>
      <c r="AM151" s="4">
        <v>3</v>
      </c>
      <c r="AN151" s="4">
        <v>0</v>
      </c>
      <c r="AO151" s="4">
        <v>0</v>
      </c>
      <c r="AP151" s="3" t="s">
        <v>58</v>
      </c>
      <c r="AQ151" s="3" t="s">
        <v>69</v>
      </c>
      <c r="AR151" s="6" t="str">
        <f>HYPERLINK("http://catalog.hathitrust.org/Record/004126902","HathiTrust Record")</f>
        <v>HathiTrust Record</v>
      </c>
      <c r="AS151" s="6" t="str">
        <f>HYPERLINK("https://creighton-primo.hosted.exlibrisgroup.com/primo-explore/search?tab=default_tab&amp;search_scope=EVERYTHING&amp;vid=01CRU&amp;lang=en_US&amp;offset=0&amp;query=any,contains,991003511189702656","Catalog Record")</f>
        <v>Catalog Record</v>
      </c>
      <c r="AT151" s="6" t="str">
        <f>HYPERLINK("http://www.worldcat.org/oclc/40588356","WorldCat Record")</f>
        <v>WorldCat Record</v>
      </c>
      <c r="AU151" s="3" t="s">
        <v>1785</v>
      </c>
      <c r="AV151" s="3" t="s">
        <v>1786</v>
      </c>
      <c r="AW151" s="3" t="s">
        <v>1787</v>
      </c>
      <c r="AX151" s="3" t="s">
        <v>1787</v>
      </c>
      <c r="AY151" s="3" t="s">
        <v>1788</v>
      </c>
      <c r="AZ151" s="3" t="s">
        <v>74</v>
      </c>
      <c r="BB151" s="3" t="s">
        <v>1789</v>
      </c>
      <c r="BC151" s="3" t="s">
        <v>1790</v>
      </c>
      <c r="BD151" s="3" t="s">
        <v>1791</v>
      </c>
    </row>
    <row r="152" spans="1:56" ht="47.25" customHeight="1" x14ac:dyDescent="0.25">
      <c r="A152" s="7" t="s">
        <v>58</v>
      </c>
      <c r="B152" s="2" t="s">
        <v>1792</v>
      </c>
      <c r="C152" s="2" t="s">
        <v>1793</v>
      </c>
      <c r="D152" s="2" t="s">
        <v>1794</v>
      </c>
      <c r="F152" s="3" t="s">
        <v>58</v>
      </c>
      <c r="G152" s="3" t="s">
        <v>59</v>
      </c>
      <c r="H152" s="3" t="s">
        <v>58</v>
      </c>
      <c r="I152" s="3" t="s">
        <v>58</v>
      </c>
      <c r="J152" s="3" t="s">
        <v>60</v>
      </c>
      <c r="K152" s="2" t="s">
        <v>1795</v>
      </c>
      <c r="L152" s="2" t="s">
        <v>1796</v>
      </c>
      <c r="M152" s="3" t="s">
        <v>330</v>
      </c>
      <c r="O152" s="3" t="s">
        <v>65</v>
      </c>
      <c r="P152" s="3" t="s">
        <v>100</v>
      </c>
      <c r="R152" s="3" t="s">
        <v>67</v>
      </c>
      <c r="S152" s="4">
        <v>3</v>
      </c>
      <c r="T152" s="4">
        <v>3</v>
      </c>
      <c r="U152" s="5" t="s">
        <v>1627</v>
      </c>
      <c r="V152" s="5" t="s">
        <v>1627</v>
      </c>
      <c r="W152" s="5" t="s">
        <v>1272</v>
      </c>
      <c r="X152" s="5" t="s">
        <v>1272</v>
      </c>
      <c r="Y152" s="4">
        <v>634</v>
      </c>
      <c r="Z152" s="4">
        <v>489</v>
      </c>
      <c r="AA152" s="4">
        <v>532</v>
      </c>
      <c r="AB152" s="4">
        <v>6</v>
      </c>
      <c r="AC152" s="4">
        <v>6</v>
      </c>
      <c r="AD152" s="4">
        <v>19</v>
      </c>
      <c r="AE152" s="4">
        <v>22</v>
      </c>
      <c r="AF152" s="4">
        <v>6</v>
      </c>
      <c r="AG152" s="4">
        <v>8</v>
      </c>
      <c r="AH152" s="4">
        <v>3</v>
      </c>
      <c r="AI152" s="4">
        <v>5</v>
      </c>
      <c r="AJ152" s="4">
        <v>8</v>
      </c>
      <c r="AK152" s="4">
        <v>8</v>
      </c>
      <c r="AL152" s="4">
        <v>5</v>
      </c>
      <c r="AM152" s="4">
        <v>5</v>
      </c>
      <c r="AN152" s="4">
        <v>0</v>
      </c>
      <c r="AO152" s="4">
        <v>0</v>
      </c>
      <c r="AP152" s="3" t="s">
        <v>58</v>
      </c>
      <c r="AQ152" s="3" t="s">
        <v>58</v>
      </c>
      <c r="AR152" s="6" t="str">
        <f>HYPERLINK("http://catalog.hathitrust.org/Record/001498024","HathiTrust Record")</f>
        <v>HathiTrust Record</v>
      </c>
      <c r="AS152" s="6" t="str">
        <f>HYPERLINK("https://creighton-primo.hosted.exlibrisgroup.com/primo-explore/search?tab=default_tab&amp;search_scope=EVERYTHING&amp;vid=01CRU&amp;lang=en_US&amp;offset=0&amp;query=any,contains,991002981619702656","Catalog Record")</f>
        <v>Catalog Record</v>
      </c>
      <c r="AT152" s="6" t="str">
        <f>HYPERLINK("http://www.worldcat.org/oclc/555266","WorldCat Record")</f>
        <v>WorldCat Record</v>
      </c>
      <c r="AU152" s="3" t="s">
        <v>1797</v>
      </c>
      <c r="AV152" s="3" t="s">
        <v>1798</v>
      </c>
      <c r="AW152" s="3" t="s">
        <v>1799</v>
      </c>
      <c r="AX152" s="3" t="s">
        <v>1799</v>
      </c>
      <c r="AY152" s="3" t="s">
        <v>1800</v>
      </c>
      <c r="AZ152" s="3" t="s">
        <v>74</v>
      </c>
      <c r="BC152" s="3" t="s">
        <v>1801</v>
      </c>
      <c r="BD152" s="3" t="s">
        <v>1802</v>
      </c>
    </row>
    <row r="153" spans="1:56" ht="47.25" customHeight="1" x14ac:dyDescent="0.25">
      <c r="A153" s="7" t="s">
        <v>58</v>
      </c>
      <c r="B153" s="2" t="s">
        <v>1803</v>
      </c>
      <c r="C153" s="2" t="s">
        <v>1804</v>
      </c>
      <c r="D153" s="2" t="s">
        <v>1805</v>
      </c>
      <c r="F153" s="3" t="s">
        <v>58</v>
      </c>
      <c r="G153" s="3" t="s">
        <v>59</v>
      </c>
      <c r="H153" s="3" t="s">
        <v>58</v>
      </c>
      <c r="I153" s="3" t="s">
        <v>58</v>
      </c>
      <c r="J153" s="3" t="s">
        <v>60</v>
      </c>
      <c r="L153" s="2" t="s">
        <v>1806</v>
      </c>
      <c r="M153" s="3" t="s">
        <v>918</v>
      </c>
      <c r="O153" s="3" t="s">
        <v>65</v>
      </c>
      <c r="P153" s="3" t="s">
        <v>143</v>
      </c>
      <c r="Q153" s="2" t="s">
        <v>1807</v>
      </c>
      <c r="R153" s="3" t="s">
        <v>67</v>
      </c>
      <c r="S153" s="4">
        <v>10</v>
      </c>
      <c r="T153" s="4">
        <v>10</v>
      </c>
      <c r="U153" s="5" t="s">
        <v>1808</v>
      </c>
      <c r="V153" s="5" t="s">
        <v>1808</v>
      </c>
      <c r="W153" s="5" t="s">
        <v>1809</v>
      </c>
      <c r="X153" s="5" t="s">
        <v>1809</v>
      </c>
      <c r="Y153" s="4">
        <v>299</v>
      </c>
      <c r="Z153" s="4">
        <v>213</v>
      </c>
      <c r="AA153" s="4">
        <v>265</v>
      </c>
      <c r="AB153" s="4">
        <v>3</v>
      </c>
      <c r="AC153" s="4">
        <v>3</v>
      </c>
      <c r="AD153" s="4">
        <v>8</v>
      </c>
      <c r="AE153" s="4">
        <v>10</v>
      </c>
      <c r="AF153" s="4">
        <v>3</v>
      </c>
      <c r="AG153" s="4">
        <v>4</v>
      </c>
      <c r="AH153" s="4">
        <v>2</v>
      </c>
      <c r="AI153" s="4">
        <v>3</v>
      </c>
      <c r="AJ153" s="4">
        <v>3</v>
      </c>
      <c r="AK153" s="4">
        <v>3</v>
      </c>
      <c r="AL153" s="4">
        <v>2</v>
      </c>
      <c r="AM153" s="4">
        <v>2</v>
      </c>
      <c r="AN153" s="4">
        <v>0</v>
      </c>
      <c r="AO153" s="4">
        <v>0</v>
      </c>
      <c r="AP153" s="3" t="s">
        <v>58</v>
      </c>
      <c r="AQ153" s="3" t="s">
        <v>58</v>
      </c>
      <c r="AS153" s="6" t="str">
        <f>HYPERLINK("https://creighton-primo.hosted.exlibrisgroup.com/primo-explore/search?tab=default_tab&amp;search_scope=EVERYTHING&amp;vid=01CRU&amp;lang=en_US&amp;offset=0&amp;query=any,contains,991002517219702656","Catalog Record")</f>
        <v>Catalog Record</v>
      </c>
      <c r="AT153" s="6" t="str">
        <f>HYPERLINK("http://www.worldcat.org/oclc/32739485","WorldCat Record")</f>
        <v>WorldCat Record</v>
      </c>
      <c r="AU153" s="3" t="s">
        <v>1810</v>
      </c>
      <c r="AV153" s="3" t="s">
        <v>1811</v>
      </c>
      <c r="AW153" s="3" t="s">
        <v>1812</v>
      </c>
      <c r="AX153" s="3" t="s">
        <v>1812</v>
      </c>
      <c r="AY153" s="3" t="s">
        <v>1813</v>
      </c>
      <c r="AZ153" s="3" t="s">
        <v>74</v>
      </c>
      <c r="BB153" s="3" t="s">
        <v>1814</v>
      </c>
      <c r="BC153" s="3" t="s">
        <v>1815</v>
      </c>
      <c r="BD153" s="3" t="s">
        <v>1816</v>
      </c>
    </row>
    <row r="154" spans="1:56" ht="47.25" customHeight="1" x14ac:dyDescent="0.25">
      <c r="A154" s="7" t="s">
        <v>58</v>
      </c>
      <c r="B154" s="2" t="s">
        <v>1817</v>
      </c>
      <c r="C154" s="2" t="s">
        <v>1818</v>
      </c>
      <c r="D154" s="2" t="s">
        <v>1819</v>
      </c>
      <c r="F154" s="3" t="s">
        <v>58</v>
      </c>
      <c r="G154" s="3" t="s">
        <v>59</v>
      </c>
      <c r="H154" s="3" t="s">
        <v>58</v>
      </c>
      <c r="I154" s="3" t="s">
        <v>58</v>
      </c>
      <c r="J154" s="3" t="s">
        <v>60</v>
      </c>
      <c r="K154" s="2" t="s">
        <v>1820</v>
      </c>
      <c r="L154" s="2" t="s">
        <v>1821</v>
      </c>
      <c r="M154" s="3" t="s">
        <v>453</v>
      </c>
      <c r="O154" s="3" t="s">
        <v>65</v>
      </c>
      <c r="P154" s="3" t="s">
        <v>100</v>
      </c>
      <c r="Q154" s="2" t="s">
        <v>1822</v>
      </c>
      <c r="R154" s="3" t="s">
        <v>67</v>
      </c>
      <c r="S154" s="4">
        <v>10</v>
      </c>
      <c r="T154" s="4">
        <v>10</v>
      </c>
      <c r="U154" s="5" t="s">
        <v>1192</v>
      </c>
      <c r="V154" s="5" t="s">
        <v>1192</v>
      </c>
      <c r="W154" s="5" t="s">
        <v>1823</v>
      </c>
      <c r="X154" s="5" t="s">
        <v>1823</v>
      </c>
      <c r="Y154" s="4">
        <v>730</v>
      </c>
      <c r="Z154" s="4">
        <v>548</v>
      </c>
      <c r="AA154" s="4">
        <v>553</v>
      </c>
      <c r="AB154" s="4">
        <v>7</v>
      </c>
      <c r="AC154" s="4">
        <v>7</v>
      </c>
      <c r="AD154" s="4">
        <v>27</v>
      </c>
      <c r="AE154" s="4">
        <v>27</v>
      </c>
      <c r="AF154" s="4">
        <v>13</v>
      </c>
      <c r="AG154" s="4">
        <v>13</v>
      </c>
      <c r="AH154" s="4">
        <v>4</v>
      </c>
      <c r="AI154" s="4">
        <v>4</v>
      </c>
      <c r="AJ154" s="4">
        <v>10</v>
      </c>
      <c r="AK154" s="4">
        <v>10</v>
      </c>
      <c r="AL154" s="4">
        <v>6</v>
      </c>
      <c r="AM154" s="4">
        <v>6</v>
      </c>
      <c r="AN154" s="4">
        <v>0</v>
      </c>
      <c r="AO154" s="4">
        <v>0</v>
      </c>
      <c r="AP154" s="3" t="s">
        <v>58</v>
      </c>
      <c r="AQ154" s="3" t="s">
        <v>69</v>
      </c>
      <c r="AR154" s="6" t="str">
        <f>HYPERLINK("http://catalog.hathitrust.org/Record/000006378","HathiTrust Record")</f>
        <v>HathiTrust Record</v>
      </c>
      <c r="AS154" s="6" t="str">
        <f>HYPERLINK("https://creighton-primo.hosted.exlibrisgroup.com/primo-explore/search?tab=default_tab&amp;search_scope=EVERYTHING&amp;vid=01CRU&amp;lang=en_US&amp;offset=0&amp;query=any,contains,991002838019702656","Catalog Record")</f>
        <v>Catalog Record</v>
      </c>
      <c r="AT154" s="6" t="str">
        <f>HYPERLINK("http://www.worldcat.org/oclc/480891","WorldCat Record")</f>
        <v>WorldCat Record</v>
      </c>
      <c r="AU154" s="3" t="s">
        <v>1824</v>
      </c>
      <c r="AV154" s="3" t="s">
        <v>1825</v>
      </c>
      <c r="AW154" s="3" t="s">
        <v>1826</v>
      </c>
      <c r="AX154" s="3" t="s">
        <v>1826</v>
      </c>
      <c r="AY154" s="3" t="s">
        <v>1827</v>
      </c>
      <c r="AZ154" s="3" t="s">
        <v>74</v>
      </c>
      <c r="BB154" s="3" t="s">
        <v>1828</v>
      </c>
      <c r="BC154" s="3" t="s">
        <v>1829</v>
      </c>
      <c r="BD154" s="3" t="s">
        <v>1830</v>
      </c>
    </row>
    <row r="155" spans="1:56" ht="47.25" customHeight="1" x14ac:dyDescent="0.25">
      <c r="A155" s="7" t="s">
        <v>58</v>
      </c>
      <c r="B155" s="2" t="s">
        <v>1831</v>
      </c>
      <c r="C155" s="2" t="s">
        <v>1832</v>
      </c>
      <c r="D155" s="2" t="s">
        <v>1833</v>
      </c>
      <c r="F155" s="3" t="s">
        <v>58</v>
      </c>
      <c r="G155" s="3" t="s">
        <v>59</v>
      </c>
      <c r="H155" s="3" t="s">
        <v>58</v>
      </c>
      <c r="I155" s="3" t="s">
        <v>58</v>
      </c>
      <c r="J155" s="3" t="s">
        <v>60</v>
      </c>
      <c r="K155" s="2" t="s">
        <v>1834</v>
      </c>
      <c r="L155" s="2" t="s">
        <v>1835</v>
      </c>
      <c r="M155" s="3" t="s">
        <v>1836</v>
      </c>
      <c r="O155" s="3" t="s">
        <v>65</v>
      </c>
      <c r="P155" s="3" t="s">
        <v>100</v>
      </c>
      <c r="R155" s="3" t="s">
        <v>67</v>
      </c>
      <c r="S155" s="4">
        <v>1</v>
      </c>
      <c r="T155" s="4">
        <v>1</v>
      </c>
      <c r="U155" s="5" t="s">
        <v>1730</v>
      </c>
      <c r="V155" s="5" t="s">
        <v>1730</v>
      </c>
      <c r="W155" s="5" t="s">
        <v>1837</v>
      </c>
      <c r="X155" s="5" t="s">
        <v>1837</v>
      </c>
      <c r="Y155" s="4">
        <v>369</v>
      </c>
      <c r="Z155" s="4">
        <v>265</v>
      </c>
      <c r="AA155" s="4">
        <v>383</v>
      </c>
      <c r="AB155" s="4">
        <v>3</v>
      </c>
      <c r="AC155" s="4">
        <v>4</v>
      </c>
      <c r="AD155" s="4">
        <v>16</v>
      </c>
      <c r="AE155" s="4">
        <v>21</v>
      </c>
      <c r="AF155" s="4">
        <v>3</v>
      </c>
      <c r="AG155" s="4">
        <v>5</v>
      </c>
      <c r="AH155" s="4">
        <v>6</v>
      </c>
      <c r="AI155" s="4">
        <v>6</v>
      </c>
      <c r="AJ155" s="4">
        <v>7</v>
      </c>
      <c r="AK155" s="4">
        <v>10</v>
      </c>
      <c r="AL155" s="4">
        <v>2</v>
      </c>
      <c r="AM155" s="4">
        <v>3</v>
      </c>
      <c r="AN155" s="4">
        <v>0</v>
      </c>
      <c r="AO155" s="4">
        <v>0</v>
      </c>
      <c r="AP155" s="3" t="s">
        <v>58</v>
      </c>
      <c r="AQ155" s="3" t="s">
        <v>58</v>
      </c>
      <c r="AS155" s="6" t="str">
        <f>HYPERLINK("https://creighton-primo.hosted.exlibrisgroup.com/primo-explore/search?tab=default_tab&amp;search_scope=EVERYTHING&amp;vid=01CRU&amp;lang=en_US&amp;offset=0&amp;query=any,contains,991004397789702656","Catalog Record")</f>
        <v>Catalog Record</v>
      </c>
      <c r="AT155" s="6" t="str">
        <f>HYPERLINK("http://www.worldcat.org/oclc/48123464","WorldCat Record")</f>
        <v>WorldCat Record</v>
      </c>
      <c r="AU155" s="3" t="s">
        <v>1838</v>
      </c>
      <c r="AV155" s="3" t="s">
        <v>1839</v>
      </c>
      <c r="AW155" s="3" t="s">
        <v>1840</v>
      </c>
      <c r="AX155" s="3" t="s">
        <v>1840</v>
      </c>
      <c r="AY155" s="3" t="s">
        <v>1841</v>
      </c>
      <c r="AZ155" s="3" t="s">
        <v>74</v>
      </c>
      <c r="BB155" s="3" t="s">
        <v>1842</v>
      </c>
      <c r="BC155" s="3" t="s">
        <v>1843</v>
      </c>
      <c r="BD155" s="3" t="s">
        <v>1844</v>
      </c>
    </row>
    <row r="156" spans="1:56" ht="47.25" customHeight="1" x14ac:dyDescent="0.25">
      <c r="A156" s="7" t="s">
        <v>58</v>
      </c>
      <c r="B156" s="2" t="s">
        <v>1845</v>
      </c>
      <c r="C156" s="2" t="s">
        <v>1846</v>
      </c>
      <c r="D156" s="2" t="s">
        <v>1847</v>
      </c>
      <c r="F156" s="3" t="s">
        <v>58</v>
      </c>
      <c r="G156" s="3" t="s">
        <v>59</v>
      </c>
      <c r="H156" s="3" t="s">
        <v>58</v>
      </c>
      <c r="I156" s="3" t="s">
        <v>58</v>
      </c>
      <c r="J156" s="3" t="s">
        <v>60</v>
      </c>
      <c r="L156" s="2" t="s">
        <v>437</v>
      </c>
      <c r="M156" s="3" t="s">
        <v>438</v>
      </c>
      <c r="O156" s="3" t="s">
        <v>65</v>
      </c>
      <c r="P156" s="3" t="s">
        <v>127</v>
      </c>
      <c r="R156" s="3" t="s">
        <v>67</v>
      </c>
      <c r="S156" s="4">
        <v>4</v>
      </c>
      <c r="T156" s="4">
        <v>4</v>
      </c>
      <c r="U156" s="5" t="s">
        <v>1848</v>
      </c>
      <c r="V156" s="5" t="s">
        <v>1848</v>
      </c>
      <c r="W156" s="5" t="s">
        <v>1731</v>
      </c>
      <c r="X156" s="5" t="s">
        <v>1731</v>
      </c>
      <c r="Y156" s="4">
        <v>273</v>
      </c>
      <c r="Z156" s="4">
        <v>167</v>
      </c>
      <c r="AA156" s="4">
        <v>169</v>
      </c>
      <c r="AB156" s="4">
        <v>2</v>
      </c>
      <c r="AC156" s="4">
        <v>2</v>
      </c>
      <c r="AD156" s="4">
        <v>4</v>
      </c>
      <c r="AE156" s="4">
        <v>4</v>
      </c>
      <c r="AF156" s="4">
        <v>0</v>
      </c>
      <c r="AG156" s="4">
        <v>0</v>
      </c>
      <c r="AH156" s="4">
        <v>2</v>
      </c>
      <c r="AI156" s="4">
        <v>2</v>
      </c>
      <c r="AJ156" s="4">
        <v>1</v>
      </c>
      <c r="AK156" s="4">
        <v>1</v>
      </c>
      <c r="AL156" s="4">
        <v>1</v>
      </c>
      <c r="AM156" s="4">
        <v>1</v>
      </c>
      <c r="AN156" s="4">
        <v>0</v>
      </c>
      <c r="AO156" s="4">
        <v>0</v>
      </c>
      <c r="AP156" s="3" t="s">
        <v>58</v>
      </c>
      <c r="AQ156" s="3" t="s">
        <v>69</v>
      </c>
      <c r="AR156" s="6" t="str">
        <f>HYPERLINK("http://catalog.hathitrust.org/Record/000770547","HathiTrust Record")</f>
        <v>HathiTrust Record</v>
      </c>
      <c r="AS156" s="6" t="str">
        <f>HYPERLINK("https://creighton-primo.hosted.exlibrisgroup.com/primo-explore/search?tab=default_tab&amp;search_scope=EVERYTHING&amp;vid=01CRU&amp;lang=en_US&amp;offset=0&amp;query=any,contains,991005231239702656","Catalog Record")</f>
        <v>Catalog Record</v>
      </c>
      <c r="AT156" s="6" t="str">
        <f>HYPERLINK("http://www.worldcat.org/oclc/8331568","WorldCat Record")</f>
        <v>WorldCat Record</v>
      </c>
      <c r="AU156" s="3" t="s">
        <v>1849</v>
      </c>
      <c r="AV156" s="3" t="s">
        <v>1850</v>
      </c>
      <c r="AW156" s="3" t="s">
        <v>1851</v>
      </c>
      <c r="AX156" s="3" t="s">
        <v>1851</v>
      </c>
      <c r="AY156" s="3" t="s">
        <v>1852</v>
      </c>
      <c r="AZ156" s="3" t="s">
        <v>74</v>
      </c>
      <c r="BB156" s="3" t="s">
        <v>1853</v>
      </c>
      <c r="BC156" s="3" t="s">
        <v>1854</v>
      </c>
      <c r="BD156" s="3" t="s">
        <v>1855</v>
      </c>
    </row>
    <row r="157" spans="1:56" ht="47.25" customHeight="1" x14ac:dyDescent="0.25">
      <c r="A157" s="7" t="s">
        <v>58</v>
      </c>
      <c r="B157" s="2" t="s">
        <v>1856</v>
      </c>
      <c r="C157" s="2" t="s">
        <v>1857</v>
      </c>
      <c r="D157" s="2" t="s">
        <v>1858</v>
      </c>
      <c r="F157" s="3" t="s">
        <v>58</v>
      </c>
      <c r="G157" s="3" t="s">
        <v>59</v>
      </c>
      <c r="H157" s="3" t="s">
        <v>58</v>
      </c>
      <c r="I157" s="3" t="s">
        <v>58</v>
      </c>
      <c r="J157" s="3" t="s">
        <v>60</v>
      </c>
      <c r="K157" s="2" t="s">
        <v>1859</v>
      </c>
      <c r="L157" s="2" t="s">
        <v>1860</v>
      </c>
      <c r="M157" s="3" t="s">
        <v>1480</v>
      </c>
      <c r="O157" s="3" t="s">
        <v>65</v>
      </c>
      <c r="P157" s="3" t="s">
        <v>1861</v>
      </c>
      <c r="R157" s="3" t="s">
        <v>67</v>
      </c>
      <c r="S157" s="4">
        <v>13</v>
      </c>
      <c r="T157" s="4">
        <v>13</v>
      </c>
      <c r="U157" s="5" t="s">
        <v>1627</v>
      </c>
      <c r="V157" s="5" t="s">
        <v>1627</v>
      </c>
      <c r="W157" s="5" t="s">
        <v>1862</v>
      </c>
      <c r="X157" s="5" t="s">
        <v>1862</v>
      </c>
      <c r="Y157" s="4">
        <v>286</v>
      </c>
      <c r="Z157" s="4">
        <v>220</v>
      </c>
      <c r="AA157" s="4">
        <v>299</v>
      </c>
      <c r="AB157" s="4">
        <v>4</v>
      </c>
      <c r="AC157" s="4">
        <v>4</v>
      </c>
      <c r="AD157" s="4">
        <v>11</v>
      </c>
      <c r="AE157" s="4">
        <v>13</v>
      </c>
      <c r="AF157" s="4">
        <v>4</v>
      </c>
      <c r="AG157" s="4">
        <v>5</v>
      </c>
      <c r="AH157" s="4">
        <v>2</v>
      </c>
      <c r="AI157" s="4">
        <v>2</v>
      </c>
      <c r="AJ157" s="4">
        <v>5</v>
      </c>
      <c r="AK157" s="4">
        <v>6</v>
      </c>
      <c r="AL157" s="4">
        <v>3</v>
      </c>
      <c r="AM157" s="4">
        <v>3</v>
      </c>
      <c r="AN157" s="4">
        <v>0</v>
      </c>
      <c r="AO157" s="4">
        <v>0</v>
      </c>
      <c r="AP157" s="3" t="s">
        <v>58</v>
      </c>
      <c r="AQ157" s="3" t="s">
        <v>69</v>
      </c>
      <c r="AR157" s="6" t="str">
        <f>HYPERLINK("http://catalog.hathitrust.org/Record/001498076","HathiTrust Record")</f>
        <v>HathiTrust Record</v>
      </c>
      <c r="AS157" s="6" t="str">
        <f>HYPERLINK("https://creighton-primo.hosted.exlibrisgroup.com/primo-explore/search?tab=default_tab&amp;search_scope=EVERYTHING&amp;vid=01CRU&amp;lang=en_US&amp;offset=0&amp;query=any,contains,991002981829702656","Catalog Record")</f>
        <v>Catalog Record</v>
      </c>
      <c r="AT157" s="6" t="str">
        <f>HYPERLINK("http://www.worldcat.org/oclc/555379","WorldCat Record")</f>
        <v>WorldCat Record</v>
      </c>
      <c r="AU157" s="3" t="s">
        <v>1863</v>
      </c>
      <c r="AV157" s="3" t="s">
        <v>1864</v>
      </c>
      <c r="AW157" s="3" t="s">
        <v>1865</v>
      </c>
      <c r="AX157" s="3" t="s">
        <v>1865</v>
      </c>
      <c r="AY157" s="3" t="s">
        <v>1866</v>
      </c>
      <c r="AZ157" s="3" t="s">
        <v>74</v>
      </c>
      <c r="BC157" s="3" t="s">
        <v>1867</v>
      </c>
      <c r="BD157" s="3" t="s">
        <v>1868</v>
      </c>
    </row>
    <row r="158" spans="1:56" ht="47.25" customHeight="1" x14ac:dyDescent="0.25">
      <c r="A158" s="7" t="s">
        <v>58</v>
      </c>
      <c r="B158" s="2" t="s">
        <v>1869</v>
      </c>
      <c r="C158" s="2" t="s">
        <v>1870</v>
      </c>
      <c r="D158" s="2" t="s">
        <v>1871</v>
      </c>
      <c r="F158" s="3" t="s">
        <v>58</v>
      </c>
      <c r="G158" s="3" t="s">
        <v>59</v>
      </c>
      <c r="H158" s="3" t="s">
        <v>58</v>
      </c>
      <c r="I158" s="3" t="s">
        <v>58</v>
      </c>
      <c r="J158" s="3" t="s">
        <v>60</v>
      </c>
      <c r="K158" s="2" t="s">
        <v>1872</v>
      </c>
      <c r="L158" s="2" t="s">
        <v>1873</v>
      </c>
      <c r="M158" s="3" t="s">
        <v>185</v>
      </c>
      <c r="O158" s="3" t="s">
        <v>65</v>
      </c>
      <c r="P158" s="3" t="s">
        <v>100</v>
      </c>
      <c r="R158" s="3" t="s">
        <v>67</v>
      </c>
      <c r="S158" s="4">
        <v>3</v>
      </c>
      <c r="T158" s="4">
        <v>3</v>
      </c>
      <c r="U158" s="5" t="s">
        <v>1874</v>
      </c>
      <c r="V158" s="5" t="s">
        <v>1874</v>
      </c>
      <c r="W158" s="5" t="s">
        <v>1272</v>
      </c>
      <c r="X158" s="5" t="s">
        <v>1272</v>
      </c>
      <c r="Y158" s="4">
        <v>299</v>
      </c>
      <c r="Z158" s="4">
        <v>289</v>
      </c>
      <c r="AA158" s="4">
        <v>293</v>
      </c>
      <c r="AB158" s="4">
        <v>2</v>
      </c>
      <c r="AC158" s="4">
        <v>2</v>
      </c>
      <c r="AD158" s="4">
        <v>7</v>
      </c>
      <c r="AE158" s="4">
        <v>7</v>
      </c>
      <c r="AF158" s="4">
        <v>2</v>
      </c>
      <c r="AG158" s="4">
        <v>2</v>
      </c>
      <c r="AH158" s="4">
        <v>1</v>
      </c>
      <c r="AI158" s="4">
        <v>1</v>
      </c>
      <c r="AJ158" s="4">
        <v>3</v>
      </c>
      <c r="AK158" s="4">
        <v>3</v>
      </c>
      <c r="AL158" s="4">
        <v>1</v>
      </c>
      <c r="AM158" s="4">
        <v>1</v>
      </c>
      <c r="AN158" s="4">
        <v>0</v>
      </c>
      <c r="AO158" s="4">
        <v>0</v>
      </c>
      <c r="AP158" s="3" t="s">
        <v>58</v>
      </c>
      <c r="AQ158" s="3" t="s">
        <v>69</v>
      </c>
      <c r="AR158" s="6" t="str">
        <f>HYPERLINK("http://catalog.hathitrust.org/Record/007157247","HathiTrust Record")</f>
        <v>HathiTrust Record</v>
      </c>
      <c r="AS158" s="6" t="str">
        <f>HYPERLINK("https://creighton-primo.hosted.exlibrisgroup.com/primo-explore/search?tab=default_tab&amp;search_scope=EVERYTHING&amp;vid=01CRU&amp;lang=en_US&amp;offset=0&amp;query=any,contains,991003567699702656","Catalog Record")</f>
        <v>Catalog Record</v>
      </c>
      <c r="AT158" s="6" t="str">
        <f>HYPERLINK("http://www.worldcat.org/oclc/1141394","WorldCat Record")</f>
        <v>WorldCat Record</v>
      </c>
      <c r="AU158" s="3" t="s">
        <v>1875</v>
      </c>
      <c r="AV158" s="3" t="s">
        <v>1876</v>
      </c>
      <c r="AW158" s="3" t="s">
        <v>1877</v>
      </c>
      <c r="AX158" s="3" t="s">
        <v>1877</v>
      </c>
      <c r="AY158" s="3" t="s">
        <v>1878</v>
      </c>
      <c r="AZ158" s="3" t="s">
        <v>74</v>
      </c>
      <c r="BC158" s="3" t="s">
        <v>1879</v>
      </c>
      <c r="BD158" s="3" t="s">
        <v>1880</v>
      </c>
    </row>
    <row r="159" spans="1:56" ht="47.25" customHeight="1" x14ac:dyDescent="0.25">
      <c r="A159" s="7" t="s">
        <v>58</v>
      </c>
      <c r="B159" s="2" t="s">
        <v>1881</v>
      </c>
      <c r="C159" s="2" t="s">
        <v>1882</v>
      </c>
      <c r="D159" s="2" t="s">
        <v>1883</v>
      </c>
      <c r="F159" s="3" t="s">
        <v>58</v>
      </c>
      <c r="G159" s="3" t="s">
        <v>59</v>
      </c>
      <c r="H159" s="3" t="s">
        <v>58</v>
      </c>
      <c r="I159" s="3" t="s">
        <v>58</v>
      </c>
      <c r="J159" s="3" t="s">
        <v>60</v>
      </c>
      <c r="K159" s="2" t="s">
        <v>698</v>
      </c>
      <c r="L159" s="2" t="s">
        <v>1884</v>
      </c>
      <c r="M159" s="3" t="s">
        <v>497</v>
      </c>
      <c r="O159" s="3" t="s">
        <v>65</v>
      </c>
      <c r="P159" s="3" t="s">
        <v>100</v>
      </c>
      <c r="R159" s="3" t="s">
        <v>67</v>
      </c>
      <c r="S159" s="4">
        <v>3</v>
      </c>
      <c r="T159" s="4">
        <v>3</v>
      </c>
      <c r="U159" s="5" t="s">
        <v>1885</v>
      </c>
      <c r="V159" s="5" t="s">
        <v>1885</v>
      </c>
      <c r="W159" s="5" t="s">
        <v>1272</v>
      </c>
      <c r="X159" s="5" t="s">
        <v>1272</v>
      </c>
      <c r="Y159" s="4">
        <v>98</v>
      </c>
      <c r="Z159" s="4">
        <v>72</v>
      </c>
      <c r="AA159" s="4">
        <v>270</v>
      </c>
      <c r="AB159" s="4">
        <v>1</v>
      </c>
      <c r="AC159" s="4">
        <v>3</v>
      </c>
      <c r="AD159" s="4">
        <v>0</v>
      </c>
      <c r="AE159" s="4">
        <v>4</v>
      </c>
      <c r="AF159" s="4">
        <v>0</v>
      </c>
      <c r="AG159" s="4">
        <v>1</v>
      </c>
      <c r="AH159" s="4">
        <v>0</v>
      </c>
      <c r="AI159" s="4">
        <v>0</v>
      </c>
      <c r="AJ159" s="4">
        <v>0</v>
      </c>
      <c r="AK159" s="4">
        <v>1</v>
      </c>
      <c r="AL159" s="4">
        <v>0</v>
      </c>
      <c r="AM159" s="4">
        <v>2</v>
      </c>
      <c r="AN159" s="4">
        <v>0</v>
      </c>
      <c r="AO159" s="4">
        <v>0</v>
      </c>
      <c r="AP159" s="3" t="s">
        <v>58</v>
      </c>
      <c r="AQ159" s="3" t="s">
        <v>69</v>
      </c>
      <c r="AR159" s="6" t="str">
        <f>HYPERLINK("http://catalog.hathitrust.org/Record/009133680","HathiTrust Record")</f>
        <v>HathiTrust Record</v>
      </c>
      <c r="AS159" s="6" t="str">
        <f>HYPERLINK("https://creighton-primo.hosted.exlibrisgroup.com/primo-explore/search?tab=default_tab&amp;search_scope=EVERYTHING&amp;vid=01CRU&amp;lang=en_US&amp;offset=0&amp;query=any,contains,991003275689702656","Catalog Record")</f>
        <v>Catalog Record</v>
      </c>
      <c r="AT159" s="6" t="str">
        <f>HYPERLINK("http://www.worldcat.org/oclc/799846","WorldCat Record")</f>
        <v>WorldCat Record</v>
      </c>
      <c r="AU159" s="3" t="s">
        <v>1886</v>
      </c>
      <c r="AV159" s="3" t="s">
        <v>1887</v>
      </c>
      <c r="AW159" s="3" t="s">
        <v>1888</v>
      </c>
      <c r="AX159" s="3" t="s">
        <v>1888</v>
      </c>
      <c r="AY159" s="3" t="s">
        <v>1889</v>
      </c>
      <c r="AZ159" s="3" t="s">
        <v>74</v>
      </c>
      <c r="BB159" s="3" t="s">
        <v>1890</v>
      </c>
      <c r="BC159" s="3" t="s">
        <v>1891</v>
      </c>
      <c r="BD159" s="3" t="s">
        <v>1892</v>
      </c>
    </row>
    <row r="160" spans="1:56" ht="47.25" customHeight="1" x14ac:dyDescent="0.25">
      <c r="A160" s="7" t="s">
        <v>58</v>
      </c>
      <c r="B160" s="2" t="s">
        <v>1893</v>
      </c>
      <c r="C160" s="2" t="s">
        <v>1894</v>
      </c>
      <c r="D160" s="2" t="s">
        <v>1895</v>
      </c>
      <c r="F160" s="3" t="s">
        <v>58</v>
      </c>
      <c r="G160" s="3" t="s">
        <v>59</v>
      </c>
      <c r="H160" s="3" t="s">
        <v>58</v>
      </c>
      <c r="I160" s="3" t="s">
        <v>58</v>
      </c>
      <c r="J160" s="3" t="s">
        <v>60</v>
      </c>
      <c r="K160" s="2" t="s">
        <v>1896</v>
      </c>
      <c r="L160" s="2" t="s">
        <v>1897</v>
      </c>
      <c r="M160" s="3" t="s">
        <v>1347</v>
      </c>
      <c r="O160" s="3" t="s">
        <v>65</v>
      </c>
      <c r="P160" s="3" t="s">
        <v>100</v>
      </c>
      <c r="R160" s="3" t="s">
        <v>67</v>
      </c>
      <c r="S160" s="4">
        <v>3</v>
      </c>
      <c r="T160" s="4">
        <v>3</v>
      </c>
      <c r="U160" s="5" t="s">
        <v>1898</v>
      </c>
      <c r="V160" s="5" t="s">
        <v>1898</v>
      </c>
      <c r="W160" s="5" t="s">
        <v>1731</v>
      </c>
      <c r="X160" s="5" t="s">
        <v>1731</v>
      </c>
      <c r="Y160" s="4">
        <v>633</v>
      </c>
      <c r="Z160" s="4">
        <v>498</v>
      </c>
      <c r="AA160" s="4">
        <v>501</v>
      </c>
      <c r="AB160" s="4">
        <v>5</v>
      </c>
      <c r="AC160" s="4">
        <v>5</v>
      </c>
      <c r="AD160" s="4">
        <v>20</v>
      </c>
      <c r="AE160" s="4">
        <v>20</v>
      </c>
      <c r="AF160" s="4">
        <v>8</v>
      </c>
      <c r="AG160" s="4">
        <v>8</v>
      </c>
      <c r="AH160" s="4">
        <v>4</v>
      </c>
      <c r="AI160" s="4">
        <v>4</v>
      </c>
      <c r="AJ160" s="4">
        <v>8</v>
      </c>
      <c r="AK160" s="4">
        <v>8</v>
      </c>
      <c r="AL160" s="4">
        <v>4</v>
      </c>
      <c r="AM160" s="4">
        <v>4</v>
      </c>
      <c r="AN160" s="4">
        <v>0</v>
      </c>
      <c r="AO160" s="4">
        <v>0</v>
      </c>
      <c r="AP160" s="3" t="s">
        <v>58</v>
      </c>
      <c r="AQ160" s="3" t="s">
        <v>69</v>
      </c>
      <c r="AR160" s="6" t="str">
        <f>HYPERLINK("http://catalog.hathitrust.org/Record/000202199","HathiTrust Record")</f>
        <v>HathiTrust Record</v>
      </c>
      <c r="AS160" s="6" t="str">
        <f>HYPERLINK("https://creighton-primo.hosted.exlibrisgroup.com/primo-explore/search?tab=default_tab&amp;search_scope=EVERYTHING&amp;vid=01CRU&amp;lang=en_US&amp;offset=0&amp;query=any,contains,991000129599702656","Catalog Record")</f>
        <v>Catalog Record</v>
      </c>
      <c r="AT160" s="6" t="str">
        <f>HYPERLINK("http://www.worldcat.org/oclc/9110506","WorldCat Record")</f>
        <v>WorldCat Record</v>
      </c>
      <c r="AU160" s="3" t="s">
        <v>1899</v>
      </c>
      <c r="AV160" s="3" t="s">
        <v>1900</v>
      </c>
      <c r="AW160" s="3" t="s">
        <v>1901</v>
      </c>
      <c r="AX160" s="3" t="s">
        <v>1901</v>
      </c>
      <c r="AY160" s="3" t="s">
        <v>1902</v>
      </c>
      <c r="AZ160" s="3" t="s">
        <v>74</v>
      </c>
      <c r="BB160" s="3" t="s">
        <v>1903</v>
      </c>
      <c r="BC160" s="3" t="s">
        <v>1904</v>
      </c>
      <c r="BD160" s="3" t="s">
        <v>1905</v>
      </c>
    </row>
    <row r="161" spans="1:56" ht="47.25" customHeight="1" x14ac:dyDescent="0.25">
      <c r="A161" s="7" t="s">
        <v>58</v>
      </c>
      <c r="B161" s="2" t="s">
        <v>1906</v>
      </c>
      <c r="C161" s="2" t="s">
        <v>1907</v>
      </c>
      <c r="D161" s="2" t="s">
        <v>1908</v>
      </c>
      <c r="F161" s="3" t="s">
        <v>58</v>
      </c>
      <c r="G161" s="3" t="s">
        <v>59</v>
      </c>
      <c r="H161" s="3" t="s">
        <v>58</v>
      </c>
      <c r="I161" s="3" t="s">
        <v>58</v>
      </c>
      <c r="J161" s="3" t="s">
        <v>60</v>
      </c>
      <c r="L161" s="2" t="s">
        <v>1909</v>
      </c>
      <c r="M161" s="3" t="s">
        <v>902</v>
      </c>
      <c r="O161" s="3" t="s">
        <v>65</v>
      </c>
      <c r="P161" s="3" t="s">
        <v>100</v>
      </c>
      <c r="R161" s="3" t="s">
        <v>67</v>
      </c>
      <c r="S161" s="4">
        <v>5</v>
      </c>
      <c r="T161" s="4">
        <v>5</v>
      </c>
      <c r="U161" s="5" t="s">
        <v>1898</v>
      </c>
      <c r="V161" s="5" t="s">
        <v>1898</v>
      </c>
      <c r="W161" s="5" t="s">
        <v>1910</v>
      </c>
      <c r="X161" s="5" t="s">
        <v>1910</v>
      </c>
      <c r="Y161" s="4">
        <v>304</v>
      </c>
      <c r="Z161" s="4">
        <v>192</v>
      </c>
      <c r="AA161" s="4">
        <v>198</v>
      </c>
      <c r="AB161" s="4">
        <v>2</v>
      </c>
      <c r="AC161" s="4">
        <v>2</v>
      </c>
      <c r="AD161" s="4">
        <v>9</v>
      </c>
      <c r="AE161" s="4">
        <v>9</v>
      </c>
      <c r="AF161" s="4">
        <v>4</v>
      </c>
      <c r="AG161" s="4">
        <v>4</v>
      </c>
      <c r="AH161" s="4">
        <v>1</v>
      </c>
      <c r="AI161" s="4">
        <v>1</v>
      </c>
      <c r="AJ161" s="4">
        <v>5</v>
      </c>
      <c r="AK161" s="4">
        <v>5</v>
      </c>
      <c r="AL161" s="4">
        <v>1</v>
      </c>
      <c r="AM161" s="4">
        <v>1</v>
      </c>
      <c r="AN161" s="4">
        <v>0</v>
      </c>
      <c r="AO161" s="4">
        <v>0</v>
      </c>
      <c r="AP161" s="3" t="s">
        <v>58</v>
      </c>
      <c r="AQ161" s="3" t="s">
        <v>69</v>
      </c>
      <c r="AR161" s="6" t="str">
        <f>HYPERLINK("http://catalog.hathitrust.org/Record/002579971","HathiTrust Record")</f>
        <v>HathiTrust Record</v>
      </c>
      <c r="AS161" s="6" t="str">
        <f>HYPERLINK("https://creighton-primo.hosted.exlibrisgroup.com/primo-explore/search?tab=default_tab&amp;search_scope=EVERYTHING&amp;vid=01CRU&amp;lang=en_US&amp;offset=0&amp;query=any,contains,991002064399702656","Catalog Record")</f>
        <v>Catalog Record</v>
      </c>
      <c r="AT161" s="6" t="str">
        <f>HYPERLINK("http://www.worldcat.org/oclc/26400389","WorldCat Record")</f>
        <v>WorldCat Record</v>
      </c>
      <c r="AU161" s="3" t="s">
        <v>1911</v>
      </c>
      <c r="AV161" s="3" t="s">
        <v>1912</v>
      </c>
      <c r="AW161" s="3" t="s">
        <v>1913</v>
      </c>
      <c r="AX161" s="3" t="s">
        <v>1913</v>
      </c>
      <c r="AY161" s="3" t="s">
        <v>1914</v>
      </c>
      <c r="AZ161" s="3" t="s">
        <v>74</v>
      </c>
      <c r="BB161" s="3" t="s">
        <v>1915</v>
      </c>
      <c r="BC161" s="3" t="s">
        <v>1916</v>
      </c>
      <c r="BD161" s="3" t="s">
        <v>1917</v>
      </c>
    </row>
    <row r="162" spans="1:56" ht="47.25" customHeight="1" x14ac:dyDescent="0.25">
      <c r="A162" s="7" t="s">
        <v>58</v>
      </c>
      <c r="B162" s="2" t="s">
        <v>1918</v>
      </c>
      <c r="C162" s="2" t="s">
        <v>1919</v>
      </c>
      <c r="D162" s="2" t="s">
        <v>1920</v>
      </c>
      <c r="F162" s="3" t="s">
        <v>58</v>
      </c>
      <c r="G162" s="3" t="s">
        <v>59</v>
      </c>
      <c r="H162" s="3" t="s">
        <v>58</v>
      </c>
      <c r="I162" s="3" t="s">
        <v>58</v>
      </c>
      <c r="J162" s="3" t="s">
        <v>60</v>
      </c>
      <c r="K162" s="2" t="s">
        <v>1896</v>
      </c>
      <c r="L162" s="2" t="s">
        <v>1921</v>
      </c>
      <c r="M162" s="3" t="s">
        <v>1347</v>
      </c>
      <c r="O162" s="3" t="s">
        <v>65</v>
      </c>
      <c r="P162" s="3" t="s">
        <v>1011</v>
      </c>
      <c r="Q162" s="2" t="s">
        <v>1922</v>
      </c>
      <c r="R162" s="3" t="s">
        <v>67</v>
      </c>
      <c r="S162" s="4">
        <v>4</v>
      </c>
      <c r="T162" s="4">
        <v>4</v>
      </c>
      <c r="U162" s="5" t="s">
        <v>1898</v>
      </c>
      <c r="V162" s="5" t="s">
        <v>1898</v>
      </c>
      <c r="W162" s="5" t="s">
        <v>1731</v>
      </c>
      <c r="X162" s="5" t="s">
        <v>1731</v>
      </c>
      <c r="Y162" s="4">
        <v>543</v>
      </c>
      <c r="Z162" s="4">
        <v>417</v>
      </c>
      <c r="AA162" s="4">
        <v>576</v>
      </c>
      <c r="AB162" s="4">
        <v>3</v>
      </c>
      <c r="AC162" s="4">
        <v>3</v>
      </c>
      <c r="AD162" s="4">
        <v>14</v>
      </c>
      <c r="AE162" s="4">
        <v>25</v>
      </c>
      <c r="AF162" s="4">
        <v>6</v>
      </c>
      <c r="AG162" s="4">
        <v>12</v>
      </c>
      <c r="AH162" s="4">
        <v>2</v>
      </c>
      <c r="AI162" s="4">
        <v>5</v>
      </c>
      <c r="AJ162" s="4">
        <v>9</v>
      </c>
      <c r="AK162" s="4">
        <v>14</v>
      </c>
      <c r="AL162" s="4">
        <v>2</v>
      </c>
      <c r="AM162" s="4">
        <v>2</v>
      </c>
      <c r="AN162" s="4">
        <v>0</v>
      </c>
      <c r="AO162" s="4">
        <v>0</v>
      </c>
      <c r="AP162" s="3" t="s">
        <v>58</v>
      </c>
      <c r="AQ162" s="3" t="s">
        <v>58</v>
      </c>
      <c r="AS162" s="6" t="str">
        <f>HYPERLINK("https://creighton-primo.hosted.exlibrisgroup.com/primo-explore/search?tab=default_tab&amp;search_scope=EVERYTHING&amp;vid=01CRU&amp;lang=en_US&amp;offset=0&amp;query=any,contains,991000196139702656","Catalog Record")</f>
        <v>Catalog Record</v>
      </c>
      <c r="AT162" s="6" t="str">
        <f>HYPERLINK("http://www.worldcat.org/oclc/9441398","WorldCat Record")</f>
        <v>WorldCat Record</v>
      </c>
      <c r="AU162" s="3" t="s">
        <v>1923</v>
      </c>
      <c r="AV162" s="3" t="s">
        <v>1924</v>
      </c>
      <c r="AW162" s="3" t="s">
        <v>1925</v>
      </c>
      <c r="AX162" s="3" t="s">
        <v>1925</v>
      </c>
      <c r="AY162" s="3" t="s">
        <v>1926</v>
      </c>
      <c r="AZ162" s="3" t="s">
        <v>74</v>
      </c>
      <c r="BB162" s="3" t="s">
        <v>1927</v>
      </c>
      <c r="BC162" s="3" t="s">
        <v>1928</v>
      </c>
      <c r="BD162" s="3" t="s">
        <v>1929</v>
      </c>
    </row>
    <row r="163" spans="1:56" ht="47.25" customHeight="1" x14ac:dyDescent="0.25">
      <c r="A163" s="7" t="s">
        <v>58</v>
      </c>
      <c r="B163" s="2" t="s">
        <v>1930</v>
      </c>
      <c r="C163" s="2" t="s">
        <v>1931</v>
      </c>
      <c r="D163" s="2" t="s">
        <v>1932</v>
      </c>
      <c r="F163" s="3" t="s">
        <v>58</v>
      </c>
      <c r="G163" s="3" t="s">
        <v>59</v>
      </c>
      <c r="H163" s="3" t="s">
        <v>58</v>
      </c>
      <c r="I163" s="3" t="s">
        <v>58</v>
      </c>
      <c r="J163" s="3" t="s">
        <v>60</v>
      </c>
      <c r="K163" s="2" t="s">
        <v>1933</v>
      </c>
      <c r="L163" s="2" t="s">
        <v>1934</v>
      </c>
      <c r="M163" s="3" t="s">
        <v>573</v>
      </c>
      <c r="O163" s="3" t="s">
        <v>65</v>
      </c>
      <c r="P163" s="3" t="s">
        <v>1935</v>
      </c>
      <c r="R163" s="3" t="s">
        <v>67</v>
      </c>
      <c r="S163" s="4">
        <v>1</v>
      </c>
      <c r="T163" s="4">
        <v>1</v>
      </c>
      <c r="U163" s="5" t="s">
        <v>1936</v>
      </c>
      <c r="V163" s="5" t="s">
        <v>1936</v>
      </c>
      <c r="W163" s="5" t="s">
        <v>1936</v>
      </c>
      <c r="X163" s="5" t="s">
        <v>1936</v>
      </c>
      <c r="Y163" s="4">
        <v>116</v>
      </c>
      <c r="Z163" s="4">
        <v>90</v>
      </c>
      <c r="AA163" s="4">
        <v>114</v>
      </c>
      <c r="AB163" s="4">
        <v>2</v>
      </c>
      <c r="AC163" s="4">
        <v>2</v>
      </c>
      <c r="AD163" s="4">
        <v>3</v>
      </c>
      <c r="AE163" s="4">
        <v>3</v>
      </c>
      <c r="AF163" s="4">
        <v>0</v>
      </c>
      <c r="AG163" s="4">
        <v>0</v>
      </c>
      <c r="AH163" s="4">
        <v>2</v>
      </c>
      <c r="AI163" s="4">
        <v>2</v>
      </c>
      <c r="AJ163" s="4">
        <v>1</v>
      </c>
      <c r="AK163" s="4">
        <v>1</v>
      </c>
      <c r="AL163" s="4">
        <v>1</v>
      </c>
      <c r="AM163" s="4">
        <v>1</v>
      </c>
      <c r="AN163" s="4">
        <v>0</v>
      </c>
      <c r="AO163" s="4">
        <v>0</v>
      </c>
      <c r="AP163" s="3" t="s">
        <v>58</v>
      </c>
      <c r="AQ163" s="3" t="s">
        <v>69</v>
      </c>
      <c r="AR163" s="6" t="str">
        <f>HYPERLINK("http://catalog.hathitrust.org/Record/005661462","HathiTrust Record")</f>
        <v>HathiTrust Record</v>
      </c>
      <c r="AS163" s="6" t="str">
        <f>HYPERLINK("https://creighton-primo.hosted.exlibrisgroup.com/primo-explore/search?tab=default_tab&amp;search_scope=EVERYTHING&amp;vid=01CRU&amp;lang=en_US&amp;offset=0&amp;query=any,contains,991005213739702656","Catalog Record")</f>
        <v>Catalog Record</v>
      </c>
      <c r="AT163" s="6" t="str">
        <f>HYPERLINK("http://www.worldcat.org/oclc/166380551","WorldCat Record")</f>
        <v>WorldCat Record</v>
      </c>
      <c r="AU163" s="3" t="s">
        <v>1937</v>
      </c>
      <c r="AV163" s="3" t="s">
        <v>1938</v>
      </c>
      <c r="AW163" s="3" t="s">
        <v>1939</v>
      </c>
      <c r="AX163" s="3" t="s">
        <v>1939</v>
      </c>
      <c r="AY163" s="3" t="s">
        <v>1940</v>
      </c>
      <c r="AZ163" s="3" t="s">
        <v>74</v>
      </c>
      <c r="BB163" s="3" t="s">
        <v>1941</v>
      </c>
      <c r="BC163" s="3" t="s">
        <v>1942</v>
      </c>
      <c r="BD163" s="3" t="s">
        <v>1943</v>
      </c>
    </row>
    <row r="164" spans="1:56" ht="47.25" customHeight="1" x14ac:dyDescent="0.25">
      <c r="A164" s="7" t="s">
        <v>58</v>
      </c>
      <c r="B164" s="2" t="s">
        <v>1944</v>
      </c>
      <c r="C164" s="2" t="s">
        <v>1945</v>
      </c>
      <c r="D164" s="2" t="s">
        <v>1946</v>
      </c>
      <c r="F164" s="3" t="s">
        <v>58</v>
      </c>
      <c r="G164" s="3" t="s">
        <v>59</v>
      </c>
      <c r="H164" s="3" t="s">
        <v>58</v>
      </c>
      <c r="I164" s="3" t="s">
        <v>58</v>
      </c>
      <c r="J164" s="3" t="s">
        <v>60</v>
      </c>
      <c r="K164" s="2" t="s">
        <v>1947</v>
      </c>
      <c r="L164" s="2" t="s">
        <v>1948</v>
      </c>
      <c r="M164" s="3" t="s">
        <v>63</v>
      </c>
      <c r="O164" s="3" t="s">
        <v>65</v>
      </c>
      <c r="P164" s="3" t="s">
        <v>127</v>
      </c>
      <c r="R164" s="3" t="s">
        <v>67</v>
      </c>
      <c r="S164" s="4">
        <v>1</v>
      </c>
      <c r="T164" s="4">
        <v>1</v>
      </c>
      <c r="U164" s="5" t="s">
        <v>1949</v>
      </c>
      <c r="V164" s="5" t="s">
        <v>1949</v>
      </c>
      <c r="W164" s="5" t="s">
        <v>1950</v>
      </c>
      <c r="X164" s="5" t="s">
        <v>1950</v>
      </c>
      <c r="Y164" s="4">
        <v>626</v>
      </c>
      <c r="Z164" s="4">
        <v>455</v>
      </c>
      <c r="AA164" s="4">
        <v>460</v>
      </c>
      <c r="AB164" s="4">
        <v>2</v>
      </c>
      <c r="AC164" s="4">
        <v>2</v>
      </c>
      <c r="AD164" s="4">
        <v>23</v>
      </c>
      <c r="AE164" s="4">
        <v>23</v>
      </c>
      <c r="AF164" s="4">
        <v>11</v>
      </c>
      <c r="AG164" s="4">
        <v>11</v>
      </c>
      <c r="AH164" s="4">
        <v>5</v>
      </c>
      <c r="AI164" s="4">
        <v>5</v>
      </c>
      <c r="AJ164" s="4">
        <v>13</v>
      </c>
      <c r="AK164" s="4">
        <v>13</v>
      </c>
      <c r="AL164" s="4">
        <v>1</v>
      </c>
      <c r="AM164" s="4">
        <v>1</v>
      </c>
      <c r="AN164" s="4">
        <v>0</v>
      </c>
      <c r="AO164" s="4">
        <v>0</v>
      </c>
      <c r="AP164" s="3" t="s">
        <v>58</v>
      </c>
      <c r="AQ164" s="3" t="s">
        <v>58</v>
      </c>
      <c r="AS164" s="6" t="str">
        <f>HYPERLINK("https://creighton-primo.hosted.exlibrisgroup.com/primo-explore/search?tab=default_tab&amp;search_scope=EVERYTHING&amp;vid=01CRU&amp;lang=en_US&amp;offset=0&amp;query=any,contains,991002462909702656","Catalog Record")</f>
        <v>Catalog Record</v>
      </c>
      <c r="AT164" s="6" t="str">
        <f>HYPERLINK("http://www.worldcat.org/oclc/32089648","WorldCat Record")</f>
        <v>WorldCat Record</v>
      </c>
      <c r="AU164" s="3" t="s">
        <v>1951</v>
      </c>
      <c r="AV164" s="3" t="s">
        <v>1952</v>
      </c>
      <c r="AW164" s="3" t="s">
        <v>1953</v>
      </c>
      <c r="AX164" s="3" t="s">
        <v>1953</v>
      </c>
      <c r="AY164" s="3" t="s">
        <v>1954</v>
      </c>
      <c r="AZ164" s="3" t="s">
        <v>74</v>
      </c>
      <c r="BB164" s="3" t="s">
        <v>1955</v>
      </c>
      <c r="BC164" s="3" t="s">
        <v>1956</v>
      </c>
      <c r="BD164" s="3" t="s">
        <v>1957</v>
      </c>
    </row>
    <row r="165" spans="1:56" ht="47.25" customHeight="1" x14ac:dyDescent="0.25">
      <c r="A165" s="7" t="s">
        <v>58</v>
      </c>
      <c r="B165" s="2" t="s">
        <v>1958</v>
      </c>
      <c r="C165" s="2" t="s">
        <v>1959</v>
      </c>
      <c r="D165" s="2" t="s">
        <v>1960</v>
      </c>
      <c r="F165" s="3" t="s">
        <v>58</v>
      </c>
      <c r="G165" s="3" t="s">
        <v>59</v>
      </c>
      <c r="H165" s="3" t="s">
        <v>58</v>
      </c>
      <c r="I165" s="3" t="s">
        <v>58</v>
      </c>
      <c r="J165" s="3" t="s">
        <v>60</v>
      </c>
      <c r="K165" s="2" t="s">
        <v>1961</v>
      </c>
      <c r="L165" s="2" t="s">
        <v>1962</v>
      </c>
      <c r="M165" s="3" t="s">
        <v>264</v>
      </c>
      <c r="O165" s="3" t="s">
        <v>65</v>
      </c>
      <c r="P165" s="3" t="s">
        <v>860</v>
      </c>
      <c r="Q165" s="2" t="s">
        <v>1963</v>
      </c>
      <c r="R165" s="3" t="s">
        <v>67</v>
      </c>
      <c r="S165" s="4">
        <v>1</v>
      </c>
      <c r="T165" s="4">
        <v>1</v>
      </c>
      <c r="U165" s="5" t="s">
        <v>283</v>
      </c>
      <c r="V165" s="5" t="s">
        <v>283</v>
      </c>
      <c r="W165" s="5" t="s">
        <v>1964</v>
      </c>
      <c r="X165" s="5" t="s">
        <v>1964</v>
      </c>
      <c r="Y165" s="4">
        <v>526</v>
      </c>
      <c r="Z165" s="4">
        <v>456</v>
      </c>
      <c r="AA165" s="4">
        <v>464</v>
      </c>
      <c r="AB165" s="4">
        <v>4</v>
      </c>
      <c r="AC165" s="4">
        <v>4</v>
      </c>
      <c r="AD165" s="4">
        <v>19</v>
      </c>
      <c r="AE165" s="4">
        <v>19</v>
      </c>
      <c r="AF165" s="4">
        <v>6</v>
      </c>
      <c r="AG165" s="4">
        <v>6</v>
      </c>
      <c r="AH165" s="4">
        <v>3</v>
      </c>
      <c r="AI165" s="4">
        <v>3</v>
      </c>
      <c r="AJ165" s="4">
        <v>9</v>
      </c>
      <c r="AK165" s="4">
        <v>9</v>
      </c>
      <c r="AL165" s="4">
        <v>3</v>
      </c>
      <c r="AM165" s="4">
        <v>3</v>
      </c>
      <c r="AN165" s="4">
        <v>2</v>
      </c>
      <c r="AO165" s="4">
        <v>2</v>
      </c>
      <c r="AP165" s="3" t="s">
        <v>58</v>
      </c>
      <c r="AQ165" s="3" t="s">
        <v>69</v>
      </c>
      <c r="AR165" s="6" t="str">
        <f>HYPERLINK("http://catalog.hathitrust.org/Record/003483092","HathiTrust Record")</f>
        <v>HathiTrust Record</v>
      </c>
      <c r="AS165" s="6" t="str">
        <f>HYPERLINK("https://creighton-primo.hosted.exlibrisgroup.com/primo-explore/search?tab=default_tab&amp;search_scope=EVERYTHING&amp;vid=01CRU&amp;lang=en_US&amp;offset=0&amp;query=any,contains,991003043769702656","Catalog Record")</f>
        <v>Catalog Record</v>
      </c>
      <c r="AT165" s="6" t="str">
        <f>HYPERLINK("http://www.worldcat.org/oclc/42380422","WorldCat Record")</f>
        <v>WorldCat Record</v>
      </c>
      <c r="AU165" s="3" t="s">
        <v>1965</v>
      </c>
      <c r="AV165" s="3" t="s">
        <v>1966</v>
      </c>
      <c r="AW165" s="3" t="s">
        <v>1967</v>
      </c>
      <c r="AX165" s="3" t="s">
        <v>1967</v>
      </c>
      <c r="AY165" s="3" t="s">
        <v>1968</v>
      </c>
      <c r="AZ165" s="3" t="s">
        <v>74</v>
      </c>
      <c r="BB165" s="3" t="s">
        <v>1969</v>
      </c>
      <c r="BC165" s="3" t="s">
        <v>1970</v>
      </c>
      <c r="BD165" s="3" t="s">
        <v>1971</v>
      </c>
    </row>
    <row r="166" spans="1:56" ht="47.25" customHeight="1" x14ac:dyDescent="0.25">
      <c r="A166" s="7" t="s">
        <v>58</v>
      </c>
      <c r="B166" s="2" t="s">
        <v>1972</v>
      </c>
      <c r="C166" s="2" t="s">
        <v>1973</v>
      </c>
      <c r="D166" s="2" t="s">
        <v>1974</v>
      </c>
      <c r="F166" s="3" t="s">
        <v>58</v>
      </c>
      <c r="G166" s="3" t="s">
        <v>59</v>
      </c>
      <c r="H166" s="3" t="s">
        <v>58</v>
      </c>
      <c r="I166" s="3" t="s">
        <v>58</v>
      </c>
      <c r="J166" s="3" t="s">
        <v>60</v>
      </c>
      <c r="K166" s="2" t="s">
        <v>1975</v>
      </c>
      <c r="L166" s="2" t="s">
        <v>1976</v>
      </c>
      <c r="M166" s="3" t="s">
        <v>330</v>
      </c>
      <c r="O166" s="3" t="s">
        <v>65</v>
      </c>
      <c r="P166" s="3" t="s">
        <v>1977</v>
      </c>
      <c r="Q166" s="2" t="s">
        <v>1978</v>
      </c>
      <c r="R166" s="3" t="s">
        <v>67</v>
      </c>
      <c r="S166" s="4">
        <v>1</v>
      </c>
      <c r="T166" s="4">
        <v>1</v>
      </c>
      <c r="U166" s="5" t="s">
        <v>157</v>
      </c>
      <c r="V166" s="5" t="s">
        <v>157</v>
      </c>
      <c r="W166" s="5" t="s">
        <v>1272</v>
      </c>
      <c r="X166" s="5" t="s">
        <v>1272</v>
      </c>
      <c r="Y166" s="4">
        <v>358</v>
      </c>
      <c r="Z166" s="4">
        <v>277</v>
      </c>
      <c r="AA166" s="4">
        <v>577</v>
      </c>
      <c r="AB166" s="4">
        <v>2</v>
      </c>
      <c r="AC166" s="4">
        <v>4</v>
      </c>
      <c r="AD166" s="4">
        <v>10</v>
      </c>
      <c r="AE166" s="4">
        <v>19</v>
      </c>
      <c r="AF166" s="4">
        <v>2</v>
      </c>
      <c r="AG166" s="4">
        <v>7</v>
      </c>
      <c r="AH166" s="4">
        <v>3</v>
      </c>
      <c r="AI166" s="4">
        <v>3</v>
      </c>
      <c r="AJ166" s="4">
        <v>7</v>
      </c>
      <c r="AK166" s="4">
        <v>10</v>
      </c>
      <c r="AL166" s="4">
        <v>1</v>
      </c>
      <c r="AM166" s="4">
        <v>3</v>
      </c>
      <c r="AN166" s="4">
        <v>0</v>
      </c>
      <c r="AO166" s="4">
        <v>0</v>
      </c>
      <c r="AP166" s="3" t="s">
        <v>58</v>
      </c>
      <c r="AQ166" s="3" t="s">
        <v>69</v>
      </c>
      <c r="AR166" s="6" t="str">
        <f>HYPERLINK("http://catalog.hathitrust.org/Record/001498125","HathiTrust Record")</f>
        <v>HathiTrust Record</v>
      </c>
      <c r="AS166" s="6" t="str">
        <f>HYPERLINK("https://creighton-primo.hosted.exlibrisgroup.com/primo-explore/search?tab=default_tab&amp;search_scope=EVERYTHING&amp;vid=01CRU&amp;lang=en_US&amp;offset=0&amp;query=any,contains,991002235529702656","Catalog Record")</f>
        <v>Catalog Record</v>
      </c>
      <c r="AT166" s="6" t="str">
        <f>HYPERLINK("http://www.worldcat.org/oclc/295742","WorldCat Record")</f>
        <v>WorldCat Record</v>
      </c>
      <c r="AU166" s="3" t="s">
        <v>1979</v>
      </c>
      <c r="AV166" s="3" t="s">
        <v>1980</v>
      </c>
      <c r="AW166" s="3" t="s">
        <v>1981</v>
      </c>
      <c r="AX166" s="3" t="s">
        <v>1981</v>
      </c>
      <c r="AY166" s="3" t="s">
        <v>1982</v>
      </c>
      <c r="AZ166" s="3" t="s">
        <v>74</v>
      </c>
      <c r="BC166" s="3" t="s">
        <v>1983</v>
      </c>
      <c r="BD166" s="3" t="s">
        <v>1984</v>
      </c>
    </row>
    <row r="167" spans="1:56" ht="47.25" customHeight="1" x14ac:dyDescent="0.25">
      <c r="A167" s="7" t="s">
        <v>58</v>
      </c>
      <c r="B167" s="2" t="s">
        <v>1985</v>
      </c>
      <c r="C167" s="2" t="s">
        <v>1986</v>
      </c>
      <c r="D167" s="2" t="s">
        <v>1987</v>
      </c>
      <c r="F167" s="3" t="s">
        <v>58</v>
      </c>
      <c r="G167" s="3" t="s">
        <v>59</v>
      </c>
      <c r="H167" s="3" t="s">
        <v>58</v>
      </c>
      <c r="I167" s="3" t="s">
        <v>58</v>
      </c>
      <c r="J167" s="3" t="s">
        <v>60</v>
      </c>
      <c r="L167" s="2" t="s">
        <v>1988</v>
      </c>
      <c r="M167" s="3" t="s">
        <v>944</v>
      </c>
      <c r="O167" s="3" t="s">
        <v>65</v>
      </c>
      <c r="P167" s="3" t="s">
        <v>1989</v>
      </c>
      <c r="Q167" s="2" t="s">
        <v>1990</v>
      </c>
      <c r="R167" s="3" t="s">
        <v>67</v>
      </c>
      <c r="S167" s="4">
        <v>5</v>
      </c>
      <c r="T167" s="4">
        <v>5</v>
      </c>
      <c r="U167" s="5" t="s">
        <v>1991</v>
      </c>
      <c r="V167" s="5" t="s">
        <v>1991</v>
      </c>
      <c r="W167" s="5" t="s">
        <v>1731</v>
      </c>
      <c r="X167" s="5" t="s">
        <v>1731</v>
      </c>
      <c r="Y167" s="4">
        <v>124</v>
      </c>
      <c r="Z167" s="4">
        <v>71</v>
      </c>
      <c r="AA167" s="4">
        <v>102</v>
      </c>
      <c r="AB167" s="4">
        <v>1</v>
      </c>
      <c r="AC167" s="4">
        <v>1</v>
      </c>
      <c r="AD167" s="4">
        <v>2</v>
      </c>
      <c r="AE167" s="4">
        <v>3</v>
      </c>
      <c r="AF167" s="4">
        <v>1</v>
      </c>
      <c r="AG167" s="4">
        <v>2</v>
      </c>
      <c r="AH167" s="4">
        <v>1</v>
      </c>
      <c r="AI167" s="4">
        <v>1</v>
      </c>
      <c r="AJ167" s="4">
        <v>1</v>
      </c>
      <c r="AK167" s="4">
        <v>2</v>
      </c>
      <c r="AL167" s="4">
        <v>0</v>
      </c>
      <c r="AM167" s="4">
        <v>0</v>
      </c>
      <c r="AN167" s="4">
        <v>0</v>
      </c>
      <c r="AO167" s="4">
        <v>0</v>
      </c>
      <c r="AP167" s="3" t="s">
        <v>58</v>
      </c>
      <c r="AQ167" s="3" t="s">
        <v>69</v>
      </c>
      <c r="AR167" s="6" t="str">
        <f>HYPERLINK("http://catalog.hathitrust.org/Record/000770494","HathiTrust Record")</f>
        <v>HathiTrust Record</v>
      </c>
      <c r="AS167" s="6" t="str">
        <f>HYPERLINK("https://creighton-primo.hosted.exlibrisgroup.com/primo-explore/search?tab=default_tab&amp;search_scope=EVERYTHING&amp;vid=01CRU&amp;lang=en_US&amp;offset=0&amp;query=any,contains,991000025409702656","Catalog Record")</f>
        <v>Catalog Record</v>
      </c>
      <c r="AT167" s="6" t="str">
        <f>HYPERLINK("http://www.worldcat.org/oclc/8588643","WorldCat Record")</f>
        <v>WorldCat Record</v>
      </c>
      <c r="AU167" s="3" t="s">
        <v>1992</v>
      </c>
      <c r="AV167" s="3" t="s">
        <v>1993</v>
      </c>
      <c r="AW167" s="3" t="s">
        <v>1994</v>
      </c>
      <c r="AX167" s="3" t="s">
        <v>1994</v>
      </c>
      <c r="AY167" s="3" t="s">
        <v>1995</v>
      </c>
      <c r="AZ167" s="3" t="s">
        <v>74</v>
      </c>
      <c r="BB167" s="3" t="s">
        <v>1996</v>
      </c>
      <c r="BC167" s="3" t="s">
        <v>1997</v>
      </c>
      <c r="BD167" s="3" t="s">
        <v>1998</v>
      </c>
    </row>
    <row r="168" spans="1:56" ht="47.25" customHeight="1" x14ac:dyDescent="0.25">
      <c r="A168" s="7" t="s">
        <v>58</v>
      </c>
      <c r="B168" s="2" t="s">
        <v>1999</v>
      </c>
      <c r="C168" s="2" t="s">
        <v>2000</v>
      </c>
      <c r="D168" s="2" t="s">
        <v>2001</v>
      </c>
      <c r="F168" s="3" t="s">
        <v>58</v>
      </c>
      <c r="G168" s="3" t="s">
        <v>59</v>
      </c>
      <c r="H168" s="3" t="s">
        <v>58</v>
      </c>
      <c r="I168" s="3" t="s">
        <v>58</v>
      </c>
      <c r="J168" s="3" t="s">
        <v>60</v>
      </c>
      <c r="K168" s="2" t="s">
        <v>2002</v>
      </c>
      <c r="L168" s="2" t="s">
        <v>2003</v>
      </c>
      <c r="M168" s="3" t="s">
        <v>469</v>
      </c>
      <c r="O168" s="3" t="s">
        <v>65</v>
      </c>
      <c r="P168" s="3" t="s">
        <v>675</v>
      </c>
      <c r="R168" s="3" t="s">
        <v>67</v>
      </c>
      <c r="S168" s="4">
        <v>6</v>
      </c>
      <c r="T168" s="4">
        <v>6</v>
      </c>
      <c r="U168" s="5" t="s">
        <v>2004</v>
      </c>
      <c r="V168" s="5" t="s">
        <v>2004</v>
      </c>
      <c r="W168" s="5" t="s">
        <v>2005</v>
      </c>
      <c r="X168" s="5" t="s">
        <v>2005</v>
      </c>
      <c r="Y168" s="4">
        <v>308</v>
      </c>
      <c r="Z168" s="4">
        <v>191</v>
      </c>
      <c r="AA168" s="4">
        <v>675</v>
      </c>
      <c r="AB168" s="4">
        <v>2</v>
      </c>
      <c r="AC168" s="4">
        <v>3</v>
      </c>
      <c r="AD168" s="4">
        <v>7</v>
      </c>
      <c r="AE168" s="4">
        <v>13</v>
      </c>
      <c r="AF168" s="4">
        <v>1</v>
      </c>
      <c r="AG168" s="4">
        <v>5</v>
      </c>
      <c r="AH168" s="4">
        <v>3</v>
      </c>
      <c r="AI168" s="4">
        <v>5</v>
      </c>
      <c r="AJ168" s="4">
        <v>5</v>
      </c>
      <c r="AK168" s="4">
        <v>6</v>
      </c>
      <c r="AL168" s="4">
        <v>1</v>
      </c>
      <c r="AM168" s="4">
        <v>2</v>
      </c>
      <c r="AN168" s="4">
        <v>0</v>
      </c>
      <c r="AO168" s="4">
        <v>0</v>
      </c>
      <c r="AP168" s="3" t="s">
        <v>58</v>
      </c>
      <c r="AQ168" s="3" t="s">
        <v>58</v>
      </c>
      <c r="AS168" s="6" t="str">
        <f>HYPERLINK("https://creighton-primo.hosted.exlibrisgroup.com/primo-explore/search?tab=default_tab&amp;search_scope=EVERYTHING&amp;vid=01CRU&amp;lang=en_US&amp;offset=0&amp;query=any,contains,991002705959702656","Catalog Record")</f>
        <v>Catalog Record</v>
      </c>
      <c r="AT168" s="6" t="str">
        <f>HYPERLINK("http://www.worldcat.org/oclc/35325309","WorldCat Record")</f>
        <v>WorldCat Record</v>
      </c>
      <c r="AU168" s="3" t="s">
        <v>2006</v>
      </c>
      <c r="AV168" s="3" t="s">
        <v>2007</v>
      </c>
      <c r="AW168" s="3" t="s">
        <v>2008</v>
      </c>
      <c r="AX168" s="3" t="s">
        <v>2008</v>
      </c>
      <c r="AY168" s="3" t="s">
        <v>2009</v>
      </c>
      <c r="AZ168" s="3" t="s">
        <v>74</v>
      </c>
      <c r="BB168" s="3" t="s">
        <v>2010</v>
      </c>
      <c r="BC168" s="3" t="s">
        <v>2011</v>
      </c>
      <c r="BD168" s="3" t="s">
        <v>2012</v>
      </c>
    </row>
    <row r="169" spans="1:56" ht="47.25" customHeight="1" x14ac:dyDescent="0.25">
      <c r="A169" s="7" t="s">
        <v>58</v>
      </c>
      <c r="B169" s="2" t="s">
        <v>2013</v>
      </c>
      <c r="C169" s="2" t="s">
        <v>2014</v>
      </c>
      <c r="D169" s="2" t="s">
        <v>2015</v>
      </c>
      <c r="F169" s="3" t="s">
        <v>58</v>
      </c>
      <c r="G169" s="3" t="s">
        <v>59</v>
      </c>
      <c r="H169" s="3" t="s">
        <v>58</v>
      </c>
      <c r="I169" s="3" t="s">
        <v>58</v>
      </c>
      <c r="J169" s="3" t="s">
        <v>60</v>
      </c>
      <c r="K169" s="2" t="s">
        <v>2016</v>
      </c>
      <c r="L169" s="2" t="s">
        <v>2017</v>
      </c>
      <c r="M169" s="3" t="s">
        <v>1578</v>
      </c>
      <c r="O169" s="3" t="s">
        <v>65</v>
      </c>
      <c r="P169" s="3" t="s">
        <v>143</v>
      </c>
      <c r="R169" s="3" t="s">
        <v>67</v>
      </c>
      <c r="S169" s="4">
        <v>4</v>
      </c>
      <c r="T169" s="4">
        <v>4</v>
      </c>
      <c r="U169" s="5" t="s">
        <v>2018</v>
      </c>
      <c r="V169" s="5" t="s">
        <v>2018</v>
      </c>
      <c r="W169" s="5" t="s">
        <v>2019</v>
      </c>
      <c r="X169" s="5" t="s">
        <v>2019</v>
      </c>
      <c r="Y169" s="4">
        <v>454</v>
      </c>
      <c r="Z169" s="4">
        <v>402</v>
      </c>
      <c r="AA169" s="4">
        <v>418</v>
      </c>
      <c r="AB169" s="4">
        <v>5</v>
      </c>
      <c r="AC169" s="4">
        <v>5</v>
      </c>
      <c r="AD169" s="4">
        <v>18</v>
      </c>
      <c r="AE169" s="4">
        <v>19</v>
      </c>
      <c r="AF169" s="4">
        <v>7</v>
      </c>
      <c r="AG169" s="4">
        <v>7</v>
      </c>
      <c r="AH169" s="4">
        <v>3</v>
      </c>
      <c r="AI169" s="4">
        <v>3</v>
      </c>
      <c r="AJ169" s="4">
        <v>7</v>
      </c>
      <c r="AK169" s="4">
        <v>8</v>
      </c>
      <c r="AL169" s="4">
        <v>4</v>
      </c>
      <c r="AM169" s="4">
        <v>4</v>
      </c>
      <c r="AN169" s="4">
        <v>0</v>
      </c>
      <c r="AO169" s="4">
        <v>0</v>
      </c>
      <c r="AP169" s="3" t="s">
        <v>58</v>
      </c>
      <c r="AQ169" s="3" t="s">
        <v>69</v>
      </c>
      <c r="AR169" s="6" t="str">
        <f>HYPERLINK("http://catalog.hathitrust.org/Record/001498233","HathiTrust Record")</f>
        <v>HathiTrust Record</v>
      </c>
      <c r="AS169" s="6" t="str">
        <f>HYPERLINK("https://creighton-primo.hosted.exlibrisgroup.com/primo-explore/search?tab=default_tab&amp;search_scope=EVERYTHING&amp;vid=01CRU&amp;lang=en_US&amp;offset=0&amp;query=any,contains,991000041429702656","Catalog Record")</f>
        <v>Catalog Record</v>
      </c>
      <c r="AT169" s="6" t="str">
        <f>HYPERLINK("http://www.worldcat.org/oclc/21831","WorldCat Record")</f>
        <v>WorldCat Record</v>
      </c>
      <c r="AU169" s="3" t="s">
        <v>2020</v>
      </c>
      <c r="AV169" s="3" t="s">
        <v>2021</v>
      </c>
      <c r="AW169" s="3" t="s">
        <v>2022</v>
      </c>
      <c r="AX169" s="3" t="s">
        <v>2022</v>
      </c>
      <c r="AY169" s="3" t="s">
        <v>2023</v>
      </c>
      <c r="AZ169" s="3" t="s">
        <v>74</v>
      </c>
      <c r="BC169" s="3" t="s">
        <v>2024</v>
      </c>
      <c r="BD169" s="3" t="s">
        <v>2025</v>
      </c>
    </row>
    <row r="170" spans="1:56" ht="47.25" customHeight="1" x14ac:dyDescent="0.25">
      <c r="A170" s="7" t="s">
        <v>58</v>
      </c>
      <c r="B170" s="2" t="s">
        <v>2026</v>
      </c>
      <c r="C170" s="2" t="s">
        <v>2027</v>
      </c>
      <c r="D170" s="2" t="s">
        <v>2028</v>
      </c>
      <c r="F170" s="3" t="s">
        <v>58</v>
      </c>
      <c r="G170" s="3" t="s">
        <v>59</v>
      </c>
      <c r="H170" s="3" t="s">
        <v>58</v>
      </c>
      <c r="I170" s="3" t="s">
        <v>58</v>
      </c>
      <c r="J170" s="3" t="s">
        <v>60</v>
      </c>
      <c r="L170" s="2" t="s">
        <v>2029</v>
      </c>
      <c r="M170" s="3" t="s">
        <v>2030</v>
      </c>
      <c r="O170" s="3" t="s">
        <v>65</v>
      </c>
      <c r="P170" s="3" t="s">
        <v>1989</v>
      </c>
      <c r="R170" s="3" t="s">
        <v>67</v>
      </c>
      <c r="S170" s="4">
        <v>2</v>
      </c>
      <c r="T170" s="4">
        <v>2</v>
      </c>
      <c r="U170" s="5" t="s">
        <v>1730</v>
      </c>
      <c r="V170" s="5" t="s">
        <v>1730</v>
      </c>
      <c r="W170" s="5" t="s">
        <v>2031</v>
      </c>
      <c r="X170" s="5" t="s">
        <v>2031</v>
      </c>
      <c r="Y170" s="4">
        <v>470</v>
      </c>
      <c r="Z170" s="4">
        <v>337</v>
      </c>
      <c r="AA170" s="4">
        <v>378</v>
      </c>
      <c r="AB170" s="4">
        <v>4</v>
      </c>
      <c r="AC170" s="4">
        <v>4</v>
      </c>
      <c r="AD170" s="4">
        <v>11</v>
      </c>
      <c r="AE170" s="4">
        <v>13</v>
      </c>
      <c r="AF170" s="4">
        <v>5</v>
      </c>
      <c r="AG170" s="4">
        <v>6</v>
      </c>
      <c r="AH170" s="4">
        <v>1</v>
      </c>
      <c r="AI170" s="4">
        <v>3</v>
      </c>
      <c r="AJ170" s="4">
        <v>4</v>
      </c>
      <c r="AK170" s="4">
        <v>4</v>
      </c>
      <c r="AL170" s="4">
        <v>3</v>
      </c>
      <c r="AM170" s="4">
        <v>3</v>
      </c>
      <c r="AN170" s="4">
        <v>0</v>
      </c>
      <c r="AO170" s="4">
        <v>0</v>
      </c>
      <c r="AP170" s="3" t="s">
        <v>58</v>
      </c>
      <c r="AQ170" s="3" t="s">
        <v>69</v>
      </c>
      <c r="AR170" s="6" t="str">
        <f>HYPERLINK("http://catalog.hathitrust.org/Record/001498254","HathiTrust Record")</f>
        <v>HathiTrust Record</v>
      </c>
      <c r="AS170" s="6" t="str">
        <f>HYPERLINK("https://creighton-primo.hosted.exlibrisgroup.com/primo-explore/search?tab=default_tab&amp;search_scope=EVERYTHING&amp;vid=01CRU&amp;lang=en_US&amp;offset=0&amp;query=any,contains,991001302089702656","Catalog Record")</f>
        <v>Catalog Record</v>
      </c>
      <c r="AT170" s="6" t="str">
        <f>HYPERLINK("http://www.worldcat.org/oclc/220413","WorldCat Record")</f>
        <v>WorldCat Record</v>
      </c>
      <c r="AU170" s="3" t="s">
        <v>2032</v>
      </c>
      <c r="AV170" s="3" t="s">
        <v>2033</v>
      </c>
      <c r="AW170" s="3" t="s">
        <v>2034</v>
      </c>
      <c r="AX170" s="3" t="s">
        <v>2034</v>
      </c>
      <c r="AY170" s="3" t="s">
        <v>2035</v>
      </c>
      <c r="AZ170" s="3" t="s">
        <v>74</v>
      </c>
      <c r="BC170" s="3" t="s">
        <v>2036</v>
      </c>
      <c r="BD170" s="3" t="s">
        <v>2037</v>
      </c>
    </row>
    <row r="171" spans="1:56" ht="47.25" customHeight="1" x14ac:dyDescent="0.25">
      <c r="A171" s="7" t="s">
        <v>58</v>
      </c>
      <c r="B171" s="2" t="s">
        <v>2038</v>
      </c>
      <c r="C171" s="2" t="s">
        <v>2039</v>
      </c>
      <c r="D171" s="2" t="s">
        <v>2040</v>
      </c>
      <c r="F171" s="3" t="s">
        <v>58</v>
      </c>
      <c r="G171" s="3" t="s">
        <v>59</v>
      </c>
      <c r="H171" s="3" t="s">
        <v>58</v>
      </c>
      <c r="I171" s="3" t="s">
        <v>58</v>
      </c>
      <c r="J171" s="3" t="s">
        <v>60</v>
      </c>
      <c r="K171" s="2" t="s">
        <v>2041</v>
      </c>
      <c r="L171" s="2" t="s">
        <v>2042</v>
      </c>
      <c r="M171" s="3" t="s">
        <v>185</v>
      </c>
      <c r="O171" s="3" t="s">
        <v>65</v>
      </c>
      <c r="P171" s="3" t="s">
        <v>100</v>
      </c>
      <c r="R171" s="3" t="s">
        <v>67</v>
      </c>
      <c r="S171" s="4">
        <v>5</v>
      </c>
      <c r="T171" s="4">
        <v>5</v>
      </c>
      <c r="U171" s="5" t="s">
        <v>2004</v>
      </c>
      <c r="V171" s="5" t="s">
        <v>2004</v>
      </c>
      <c r="W171" s="5" t="s">
        <v>1272</v>
      </c>
      <c r="X171" s="5" t="s">
        <v>1272</v>
      </c>
      <c r="Y171" s="4">
        <v>598</v>
      </c>
      <c r="Z171" s="4">
        <v>438</v>
      </c>
      <c r="AA171" s="4">
        <v>480</v>
      </c>
      <c r="AB171" s="4">
        <v>4</v>
      </c>
      <c r="AC171" s="4">
        <v>4</v>
      </c>
      <c r="AD171" s="4">
        <v>19</v>
      </c>
      <c r="AE171" s="4">
        <v>21</v>
      </c>
      <c r="AF171" s="4">
        <v>9</v>
      </c>
      <c r="AG171" s="4">
        <v>10</v>
      </c>
      <c r="AH171" s="4">
        <v>3</v>
      </c>
      <c r="AI171" s="4">
        <v>4</v>
      </c>
      <c r="AJ171" s="4">
        <v>10</v>
      </c>
      <c r="AK171" s="4">
        <v>10</v>
      </c>
      <c r="AL171" s="4">
        <v>3</v>
      </c>
      <c r="AM171" s="4">
        <v>3</v>
      </c>
      <c r="AN171" s="4">
        <v>0</v>
      </c>
      <c r="AO171" s="4">
        <v>0</v>
      </c>
      <c r="AP171" s="3" t="s">
        <v>58</v>
      </c>
      <c r="AQ171" s="3" t="s">
        <v>69</v>
      </c>
      <c r="AR171" s="6" t="str">
        <f>HYPERLINK("http://catalog.hathitrust.org/Record/001498287","HathiTrust Record")</f>
        <v>HathiTrust Record</v>
      </c>
      <c r="AS171" s="6" t="str">
        <f>HYPERLINK("https://creighton-primo.hosted.exlibrisgroup.com/primo-explore/search?tab=default_tab&amp;search_scope=EVERYTHING&amp;vid=01CRU&amp;lang=en_US&amp;offset=0&amp;query=any,contains,991002977849702656","Catalog Record")</f>
        <v>Catalog Record</v>
      </c>
      <c r="AT171" s="6" t="str">
        <f>HYPERLINK("http://www.worldcat.org/oclc/553033","WorldCat Record")</f>
        <v>WorldCat Record</v>
      </c>
      <c r="AU171" s="3" t="s">
        <v>2043</v>
      </c>
      <c r="AV171" s="3" t="s">
        <v>2044</v>
      </c>
      <c r="AW171" s="3" t="s">
        <v>2045</v>
      </c>
      <c r="AX171" s="3" t="s">
        <v>2045</v>
      </c>
      <c r="AY171" s="3" t="s">
        <v>2046</v>
      </c>
      <c r="AZ171" s="3" t="s">
        <v>74</v>
      </c>
      <c r="BC171" s="3" t="s">
        <v>2047</v>
      </c>
      <c r="BD171" s="3" t="s">
        <v>2048</v>
      </c>
    </row>
    <row r="172" spans="1:56" ht="47.25" customHeight="1" x14ac:dyDescent="0.25">
      <c r="A172" s="7" t="s">
        <v>58</v>
      </c>
      <c r="B172" s="2" t="s">
        <v>2049</v>
      </c>
      <c r="C172" s="2" t="s">
        <v>2050</v>
      </c>
      <c r="D172" s="2" t="s">
        <v>2051</v>
      </c>
      <c r="F172" s="3" t="s">
        <v>58</v>
      </c>
      <c r="G172" s="3" t="s">
        <v>59</v>
      </c>
      <c r="H172" s="3" t="s">
        <v>58</v>
      </c>
      <c r="I172" s="3" t="s">
        <v>58</v>
      </c>
      <c r="J172" s="3" t="s">
        <v>60</v>
      </c>
      <c r="K172" s="2" t="s">
        <v>540</v>
      </c>
      <c r="L172" s="2" t="s">
        <v>2052</v>
      </c>
      <c r="M172" s="3" t="s">
        <v>587</v>
      </c>
      <c r="N172" s="2" t="s">
        <v>2053</v>
      </c>
      <c r="O172" s="3" t="s">
        <v>542</v>
      </c>
      <c r="P172" s="3" t="s">
        <v>543</v>
      </c>
      <c r="R172" s="3" t="s">
        <v>67</v>
      </c>
      <c r="S172" s="4">
        <v>1</v>
      </c>
      <c r="T172" s="4">
        <v>1</v>
      </c>
      <c r="U172" s="5" t="s">
        <v>68</v>
      </c>
      <c r="V172" s="5" t="s">
        <v>68</v>
      </c>
      <c r="W172" s="5" t="s">
        <v>68</v>
      </c>
      <c r="X172" s="5" t="s">
        <v>68</v>
      </c>
      <c r="Y172" s="4">
        <v>17</v>
      </c>
      <c r="Z172" s="4">
        <v>17</v>
      </c>
      <c r="AA172" s="4">
        <v>43</v>
      </c>
      <c r="AB172" s="4">
        <v>1</v>
      </c>
      <c r="AC172" s="4">
        <v>1</v>
      </c>
      <c r="AD172" s="4">
        <v>1</v>
      </c>
      <c r="AE172" s="4">
        <v>1</v>
      </c>
      <c r="AF172" s="4">
        <v>0</v>
      </c>
      <c r="AG172" s="4">
        <v>0</v>
      </c>
      <c r="AH172" s="4">
        <v>1</v>
      </c>
      <c r="AI172" s="4">
        <v>1</v>
      </c>
      <c r="AJ172" s="4">
        <v>0</v>
      </c>
      <c r="AK172" s="4">
        <v>0</v>
      </c>
      <c r="AL172" s="4">
        <v>0</v>
      </c>
      <c r="AM172" s="4">
        <v>0</v>
      </c>
      <c r="AN172" s="4">
        <v>0</v>
      </c>
      <c r="AO172" s="4">
        <v>0</v>
      </c>
      <c r="AP172" s="3" t="s">
        <v>58</v>
      </c>
      <c r="AQ172" s="3" t="s">
        <v>58</v>
      </c>
      <c r="AS172" s="6" t="str">
        <f>HYPERLINK("https://creighton-primo.hosted.exlibrisgroup.com/primo-explore/search?tab=default_tab&amp;search_scope=EVERYTHING&amp;vid=01CRU&amp;lang=en_US&amp;offset=0&amp;query=any,contains,991003247089702656","Catalog Record")</f>
        <v>Catalog Record</v>
      </c>
      <c r="AT172" s="6" t="str">
        <f>HYPERLINK("http://www.worldcat.org/oclc/44391951","WorldCat Record")</f>
        <v>WorldCat Record</v>
      </c>
      <c r="AU172" s="3" t="s">
        <v>2054</v>
      </c>
      <c r="AV172" s="3" t="s">
        <v>2055</v>
      </c>
      <c r="AW172" s="3" t="s">
        <v>2056</v>
      </c>
      <c r="AX172" s="3" t="s">
        <v>2056</v>
      </c>
      <c r="AY172" s="3" t="s">
        <v>2057</v>
      </c>
      <c r="AZ172" s="3" t="s">
        <v>74</v>
      </c>
      <c r="BC172" s="3" t="s">
        <v>2058</v>
      </c>
      <c r="BD172" s="3" t="s">
        <v>2059</v>
      </c>
    </row>
    <row r="173" spans="1:56" ht="47.25" customHeight="1" x14ac:dyDescent="0.25">
      <c r="A173" s="7" t="s">
        <v>58</v>
      </c>
      <c r="B173" s="2" t="s">
        <v>2060</v>
      </c>
      <c r="C173" s="2" t="s">
        <v>2061</v>
      </c>
      <c r="D173" s="2" t="s">
        <v>2062</v>
      </c>
      <c r="F173" s="3" t="s">
        <v>58</v>
      </c>
      <c r="G173" s="3" t="s">
        <v>59</v>
      </c>
      <c r="H173" s="3" t="s">
        <v>58</v>
      </c>
      <c r="I173" s="3" t="s">
        <v>58</v>
      </c>
      <c r="J173" s="3" t="s">
        <v>60</v>
      </c>
      <c r="K173" s="2" t="s">
        <v>2063</v>
      </c>
      <c r="L173" s="2" t="s">
        <v>2064</v>
      </c>
      <c r="M173" s="3" t="s">
        <v>1112</v>
      </c>
      <c r="N173" s="2" t="s">
        <v>1362</v>
      </c>
      <c r="O173" s="3" t="s">
        <v>65</v>
      </c>
      <c r="P173" s="3" t="s">
        <v>143</v>
      </c>
      <c r="R173" s="3" t="s">
        <v>67</v>
      </c>
      <c r="S173" s="4">
        <v>14</v>
      </c>
      <c r="T173" s="4">
        <v>14</v>
      </c>
      <c r="U173" s="5" t="s">
        <v>2065</v>
      </c>
      <c r="V173" s="5" t="s">
        <v>2065</v>
      </c>
      <c r="W173" s="5" t="s">
        <v>1731</v>
      </c>
      <c r="X173" s="5" t="s">
        <v>1731</v>
      </c>
      <c r="Y173" s="4">
        <v>318</v>
      </c>
      <c r="Z173" s="4">
        <v>225</v>
      </c>
      <c r="AA173" s="4">
        <v>545</v>
      </c>
      <c r="AB173" s="4">
        <v>2</v>
      </c>
      <c r="AC173" s="4">
        <v>4</v>
      </c>
      <c r="AD173" s="4">
        <v>6</v>
      </c>
      <c r="AE173" s="4">
        <v>20</v>
      </c>
      <c r="AF173" s="4">
        <v>2</v>
      </c>
      <c r="AG173" s="4">
        <v>7</v>
      </c>
      <c r="AH173" s="4">
        <v>0</v>
      </c>
      <c r="AI173" s="4">
        <v>3</v>
      </c>
      <c r="AJ173" s="4">
        <v>4</v>
      </c>
      <c r="AK173" s="4">
        <v>11</v>
      </c>
      <c r="AL173" s="4">
        <v>1</v>
      </c>
      <c r="AM173" s="4">
        <v>3</v>
      </c>
      <c r="AN173" s="4">
        <v>0</v>
      </c>
      <c r="AO173" s="4">
        <v>0</v>
      </c>
      <c r="AP173" s="3" t="s">
        <v>58</v>
      </c>
      <c r="AQ173" s="3" t="s">
        <v>69</v>
      </c>
      <c r="AR173" s="6" t="str">
        <f>HYPERLINK("http://catalog.hathitrust.org/Record/000857408","HathiTrust Record")</f>
        <v>HathiTrust Record</v>
      </c>
      <c r="AS173" s="6" t="str">
        <f>HYPERLINK("https://creighton-primo.hosted.exlibrisgroup.com/primo-explore/search?tab=default_tab&amp;search_scope=EVERYTHING&amp;vid=01CRU&amp;lang=en_US&amp;offset=0&amp;query=any,contains,991005407239702656","Catalog Record")</f>
        <v>Catalog Record</v>
      </c>
      <c r="AT173" s="6" t="str">
        <f>HYPERLINK("http://www.worldcat.org/oclc/14413023","WorldCat Record")</f>
        <v>WorldCat Record</v>
      </c>
      <c r="AU173" s="3" t="s">
        <v>2066</v>
      </c>
      <c r="AV173" s="3" t="s">
        <v>2067</v>
      </c>
      <c r="AW173" s="3" t="s">
        <v>2068</v>
      </c>
      <c r="AX173" s="3" t="s">
        <v>2068</v>
      </c>
      <c r="AY173" s="3" t="s">
        <v>2069</v>
      </c>
      <c r="AZ173" s="3" t="s">
        <v>74</v>
      </c>
      <c r="BB173" s="3" t="s">
        <v>2070</v>
      </c>
      <c r="BC173" s="3" t="s">
        <v>2071</v>
      </c>
      <c r="BD173" s="3" t="s">
        <v>2072</v>
      </c>
    </row>
    <row r="174" spans="1:56" ht="47.25" customHeight="1" x14ac:dyDescent="0.25">
      <c r="A174" s="7" t="s">
        <v>58</v>
      </c>
      <c r="B174" s="2" t="s">
        <v>2073</v>
      </c>
      <c r="C174" s="2" t="s">
        <v>2074</v>
      </c>
      <c r="D174" s="2" t="s">
        <v>2075</v>
      </c>
      <c r="F174" s="3" t="s">
        <v>58</v>
      </c>
      <c r="G174" s="3" t="s">
        <v>59</v>
      </c>
      <c r="H174" s="3" t="s">
        <v>58</v>
      </c>
      <c r="I174" s="3" t="s">
        <v>58</v>
      </c>
      <c r="J174" s="3" t="s">
        <v>60</v>
      </c>
      <c r="K174" s="2" t="s">
        <v>2076</v>
      </c>
      <c r="L174" s="2" t="s">
        <v>2077</v>
      </c>
      <c r="M174" s="3" t="s">
        <v>438</v>
      </c>
      <c r="O174" s="3" t="s">
        <v>65</v>
      </c>
      <c r="P174" s="3" t="s">
        <v>127</v>
      </c>
      <c r="R174" s="3" t="s">
        <v>67</v>
      </c>
      <c r="S174" s="4">
        <v>12</v>
      </c>
      <c r="T174" s="4">
        <v>12</v>
      </c>
      <c r="U174" s="5" t="s">
        <v>1848</v>
      </c>
      <c r="V174" s="5" t="s">
        <v>1848</v>
      </c>
      <c r="W174" s="5" t="s">
        <v>1731</v>
      </c>
      <c r="X174" s="5" t="s">
        <v>1731</v>
      </c>
      <c r="Y174" s="4">
        <v>37</v>
      </c>
      <c r="Z174" s="4">
        <v>31</v>
      </c>
      <c r="AA174" s="4">
        <v>478</v>
      </c>
      <c r="AB174" s="4">
        <v>2</v>
      </c>
      <c r="AC174" s="4">
        <v>5</v>
      </c>
      <c r="AD174" s="4">
        <v>1</v>
      </c>
      <c r="AE174" s="4">
        <v>15</v>
      </c>
      <c r="AF174" s="4">
        <v>0</v>
      </c>
      <c r="AG174" s="4">
        <v>7</v>
      </c>
      <c r="AH174" s="4">
        <v>0</v>
      </c>
      <c r="AI174" s="4">
        <v>3</v>
      </c>
      <c r="AJ174" s="4">
        <v>0</v>
      </c>
      <c r="AK174" s="4">
        <v>5</v>
      </c>
      <c r="AL174" s="4">
        <v>1</v>
      </c>
      <c r="AM174" s="4">
        <v>4</v>
      </c>
      <c r="AN174" s="4">
        <v>0</v>
      </c>
      <c r="AO174" s="4">
        <v>0</v>
      </c>
      <c r="AP174" s="3" t="s">
        <v>58</v>
      </c>
      <c r="AQ174" s="3" t="s">
        <v>58</v>
      </c>
      <c r="AS174" s="6" t="str">
        <f>HYPERLINK("https://creighton-primo.hosted.exlibrisgroup.com/primo-explore/search?tab=default_tab&amp;search_scope=EVERYTHING&amp;vid=01CRU&amp;lang=en_US&amp;offset=0&amp;query=any,contains,991000103199702656","Catalog Record")</f>
        <v>Catalog Record</v>
      </c>
      <c r="AT174" s="6" t="str">
        <f>HYPERLINK("http://www.worldcat.org/oclc/8961282","WorldCat Record")</f>
        <v>WorldCat Record</v>
      </c>
      <c r="AU174" s="3" t="s">
        <v>2078</v>
      </c>
      <c r="AV174" s="3" t="s">
        <v>2079</v>
      </c>
      <c r="AW174" s="3" t="s">
        <v>2080</v>
      </c>
      <c r="AX174" s="3" t="s">
        <v>2080</v>
      </c>
      <c r="AY174" s="3" t="s">
        <v>2081</v>
      </c>
      <c r="AZ174" s="3" t="s">
        <v>74</v>
      </c>
      <c r="BB174" s="3" t="s">
        <v>2082</v>
      </c>
      <c r="BC174" s="3" t="s">
        <v>2083</v>
      </c>
      <c r="BD174" s="3" t="s">
        <v>2084</v>
      </c>
    </row>
    <row r="175" spans="1:56" ht="47.25" customHeight="1" x14ac:dyDescent="0.25">
      <c r="A175" s="7" t="s">
        <v>58</v>
      </c>
      <c r="B175" s="2" t="s">
        <v>2085</v>
      </c>
      <c r="C175" s="2" t="s">
        <v>2086</v>
      </c>
      <c r="D175" s="2" t="s">
        <v>2087</v>
      </c>
      <c r="F175" s="3" t="s">
        <v>58</v>
      </c>
      <c r="G175" s="3" t="s">
        <v>59</v>
      </c>
      <c r="H175" s="3" t="s">
        <v>58</v>
      </c>
      <c r="I175" s="3" t="s">
        <v>58</v>
      </c>
      <c r="J175" s="3" t="s">
        <v>60</v>
      </c>
      <c r="L175" s="2" t="s">
        <v>2088</v>
      </c>
      <c r="M175" s="3" t="s">
        <v>385</v>
      </c>
      <c r="N175" s="2" t="s">
        <v>2089</v>
      </c>
      <c r="O175" s="3" t="s">
        <v>65</v>
      </c>
      <c r="P175" s="3" t="s">
        <v>127</v>
      </c>
      <c r="R175" s="3" t="s">
        <v>67</v>
      </c>
      <c r="S175" s="4">
        <v>10</v>
      </c>
      <c r="T175" s="4">
        <v>10</v>
      </c>
      <c r="U175" s="5" t="s">
        <v>2090</v>
      </c>
      <c r="V175" s="5" t="s">
        <v>2090</v>
      </c>
      <c r="W175" s="5" t="s">
        <v>2091</v>
      </c>
      <c r="X175" s="5" t="s">
        <v>2091</v>
      </c>
      <c r="Y175" s="4">
        <v>438</v>
      </c>
      <c r="Z175" s="4">
        <v>257</v>
      </c>
      <c r="AA175" s="4">
        <v>511</v>
      </c>
      <c r="AB175" s="4">
        <v>3</v>
      </c>
      <c r="AC175" s="4">
        <v>5</v>
      </c>
      <c r="AD175" s="4">
        <v>7</v>
      </c>
      <c r="AE175" s="4">
        <v>17</v>
      </c>
      <c r="AF175" s="4">
        <v>1</v>
      </c>
      <c r="AG175" s="4">
        <v>6</v>
      </c>
      <c r="AH175" s="4">
        <v>3</v>
      </c>
      <c r="AI175" s="4">
        <v>5</v>
      </c>
      <c r="AJ175" s="4">
        <v>3</v>
      </c>
      <c r="AK175" s="4">
        <v>6</v>
      </c>
      <c r="AL175" s="4">
        <v>2</v>
      </c>
      <c r="AM175" s="4">
        <v>4</v>
      </c>
      <c r="AN175" s="4">
        <v>0</v>
      </c>
      <c r="AO175" s="4">
        <v>0</v>
      </c>
      <c r="AP175" s="3" t="s">
        <v>58</v>
      </c>
      <c r="AQ175" s="3" t="s">
        <v>69</v>
      </c>
      <c r="AR175" s="6" t="str">
        <f>HYPERLINK("http://catalog.hathitrust.org/Record/000474054","HathiTrust Record")</f>
        <v>HathiTrust Record</v>
      </c>
      <c r="AS175" s="6" t="str">
        <f>HYPERLINK("https://creighton-primo.hosted.exlibrisgroup.com/primo-explore/search?tab=default_tab&amp;search_scope=EVERYTHING&amp;vid=01CRU&amp;lang=en_US&amp;offset=0&amp;query=any,contains,991000695559702656","Catalog Record")</f>
        <v>Catalog Record</v>
      </c>
      <c r="AT175" s="6" t="str">
        <f>HYPERLINK("http://www.worldcat.org/oclc/12512409","WorldCat Record")</f>
        <v>WorldCat Record</v>
      </c>
      <c r="AU175" s="3" t="s">
        <v>2092</v>
      </c>
      <c r="AV175" s="3" t="s">
        <v>2093</v>
      </c>
      <c r="AW175" s="3" t="s">
        <v>2094</v>
      </c>
      <c r="AX175" s="3" t="s">
        <v>2094</v>
      </c>
      <c r="AY175" s="3" t="s">
        <v>2095</v>
      </c>
      <c r="AZ175" s="3" t="s">
        <v>74</v>
      </c>
      <c r="BB175" s="3" t="s">
        <v>2096</v>
      </c>
      <c r="BC175" s="3" t="s">
        <v>2097</v>
      </c>
      <c r="BD175" s="3" t="s">
        <v>2098</v>
      </c>
    </row>
    <row r="176" spans="1:56" ht="47.25" customHeight="1" x14ac:dyDescent="0.25">
      <c r="A176" s="7" t="s">
        <v>58</v>
      </c>
      <c r="B176" s="2" t="s">
        <v>2099</v>
      </c>
      <c r="C176" s="2" t="s">
        <v>2100</v>
      </c>
      <c r="D176" s="2" t="s">
        <v>2101</v>
      </c>
      <c r="F176" s="3" t="s">
        <v>58</v>
      </c>
      <c r="G176" s="3" t="s">
        <v>59</v>
      </c>
      <c r="H176" s="3" t="s">
        <v>58</v>
      </c>
      <c r="I176" s="3" t="s">
        <v>58</v>
      </c>
      <c r="J176" s="3" t="s">
        <v>60</v>
      </c>
      <c r="K176" s="2" t="s">
        <v>2102</v>
      </c>
      <c r="L176" s="2" t="s">
        <v>2103</v>
      </c>
      <c r="M176" s="3" t="s">
        <v>918</v>
      </c>
      <c r="O176" s="3" t="s">
        <v>65</v>
      </c>
      <c r="P176" s="3" t="s">
        <v>127</v>
      </c>
      <c r="R176" s="3" t="s">
        <v>67</v>
      </c>
      <c r="S176" s="4">
        <v>3</v>
      </c>
      <c r="T176" s="4">
        <v>3</v>
      </c>
      <c r="U176" s="5" t="s">
        <v>2090</v>
      </c>
      <c r="V176" s="5" t="s">
        <v>2090</v>
      </c>
      <c r="W176" s="5" t="s">
        <v>2104</v>
      </c>
      <c r="X176" s="5" t="s">
        <v>2104</v>
      </c>
      <c r="Y176" s="4">
        <v>682</v>
      </c>
      <c r="Z176" s="4">
        <v>482</v>
      </c>
      <c r="AA176" s="4">
        <v>489</v>
      </c>
      <c r="AB176" s="4">
        <v>3</v>
      </c>
      <c r="AC176" s="4">
        <v>3</v>
      </c>
      <c r="AD176" s="4">
        <v>28</v>
      </c>
      <c r="AE176" s="4">
        <v>28</v>
      </c>
      <c r="AF176" s="4">
        <v>13</v>
      </c>
      <c r="AG176" s="4">
        <v>13</v>
      </c>
      <c r="AH176" s="4">
        <v>4</v>
      </c>
      <c r="AI176" s="4">
        <v>4</v>
      </c>
      <c r="AJ176" s="4">
        <v>15</v>
      </c>
      <c r="AK176" s="4">
        <v>15</v>
      </c>
      <c r="AL176" s="4">
        <v>2</v>
      </c>
      <c r="AM176" s="4">
        <v>2</v>
      </c>
      <c r="AN176" s="4">
        <v>0</v>
      </c>
      <c r="AO176" s="4">
        <v>0</v>
      </c>
      <c r="AP176" s="3" t="s">
        <v>58</v>
      </c>
      <c r="AQ176" s="3" t="s">
        <v>58</v>
      </c>
      <c r="AS176" s="6" t="str">
        <f>HYPERLINK("https://creighton-primo.hosted.exlibrisgroup.com/primo-explore/search?tab=default_tab&amp;search_scope=EVERYTHING&amp;vid=01CRU&amp;lang=en_US&amp;offset=0&amp;query=any,contains,991002617169702656","Catalog Record")</f>
        <v>Catalog Record</v>
      </c>
      <c r="AT176" s="6" t="str">
        <f>HYPERLINK("http://www.worldcat.org/oclc/34318249","WorldCat Record")</f>
        <v>WorldCat Record</v>
      </c>
      <c r="AU176" s="3" t="s">
        <v>2105</v>
      </c>
      <c r="AV176" s="3" t="s">
        <v>2106</v>
      </c>
      <c r="AW176" s="3" t="s">
        <v>2107</v>
      </c>
      <c r="AX176" s="3" t="s">
        <v>2107</v>
      </c>
      <c r="AY176" s="3" t="s">
        <v>2108</v>
      </c>
      <c r="AZ176" s="3" t="s">
        <v>74</v>
      </c>
      <c r="BB176" s="3" t="s">
        <v>2109</v>
      </c>
      <c r="BC176" s="3" t="s">
        <v>2110</v>
      </c>
      <c r="BD176" s="3" t="s">
        <v>2111</v>
      </c>
    </row>
    <row r="177" spans="1:56" ht="47.25" customHeight="1" x14ac:dyDescent="0.25">
      <c r="A177" s="7" t="s">
        <v>58</v>
      </c>
      <c r="B177" s="2" t="s">
        <v>2112</v>
      </c>
      <c r="C177" s="2" t="s">
        <v>2113</v>
      </c>
      <c r="D177" s="2" t="s">
        <v>2114</v>
      </c>
      <c r="F177" s="3" t="s">
        <v>58</v>
      </c>
      <c r="G177" s="3" t="s">
        <v>59</v>
      </c>
      <c r="H177" s="3" t="s">
        <v>58</v>
      </c>
      <c r="I177" s="3" t="s">
        <v>58</v>
      </c>
      <c r="J177" s="3" t="s">
        <v>60</v>
      </c>
      <c r="K177" s="2" t="s">
        <v>2115</v>
      </c>
      <c r="L177" s="2" t="s">
        <v>2116</v>
      </c>
      <c r="M177" s="3" t="s">
        <v>126</v>
      </c>
      <c r="O177" s="3" t="s">
        <v>65</v>
      </c>
      <c r="P177" s="3" t="s">
        <v>1011</v>
      </c>
      <c r="Q177" s="2" t="s">
        <v>2117</v>
      </c>
      <c r="R177" s="3" t="s">
        <v>67</v>
      </c>
      <c r="S177" s="4">
        <v>6</v>
      </c>
      <c r="T177" s="4">
        <v>6</v>
      </c>
      <c r="U177" s="5" t="s">
        <v>1848</v>
      </c>
      <c r="V177" s="5" t="s">
        <v>1848</v>
      </c>
      <c r="W177" s="5" t="s">
        <v>2091</v>
      </c>
      <c r="X177" s="5" t="s">
        <v>2091</v>
      </c>
      <c r="Y177" s="4">
        <v>740</v>
      </c>
      <c r="Z177" s="4">
        <v>572</v>
      </c>
      <c r="AA177" s="4">
        <v>722</v>
      </c>
      <c r="AB177" s="4">
        <v>5</v>
      </c>
      <c r="AC177" s="4">
        <v>5</v>
      </c>
      <c r="AD177" s="4">
        <v>23</v>
      </c>
      <c r="AE177" s="4">
        <v>31</v>
      </c>
      <c r="AF177" s="4">
        <v>8</v>
      </c>
      <c r="AG177" s="4">
        <v>13</v>
      </c>
      <c r="AH177" s="4">
        <v>5</v>
      </c>
      <c r="AI177" s="4">
        <v>7</v>
      </c>
      <c r="AJ177" s="4">
        <v>14</v>
      </c>
      <c r="AK177" s="4">
        <v>17</v>
      </c>
      <c r="AL177" s="4">
        <v>4</v>
      </c>
      <c r="AM177" s="4">
        <v>4</v>
      </c>
      <c r="AN177" s="4">
        <v>0</v>
      </c>
      <c r="AO177" s="4">
        <v>0</v>
      </c>
      <c r="AP177" s="3" t="s">
        <v>58</v>
      </c>
      <c r="AQ177" s="3" t="s">
        <v>58</v>
      </c>
      <c r="AS177" s="6" t="str">
        <f>HYPERLINK("https://creighton-primo.hosted.exlibrisgroup.com/primo-explore/search?tab=default_tab&amp;search_scope=EVERYTHING&amp;vid=01CRU&amp;lang=en_US&amp;offset=0&amp;query=any,contains,991001150929702656","Catalog Record")</f>
        <v>Catalog Record</v>
      </c>
      <c r="AT177" s="6" t="str">
        <f>HYPERLINK("http://www.worldcat.org/oclc/16805975","WorldCat Record")</f>
        <v>WorldCat Record</v>
      </c>
      <c r="AU177" s="3" t="s">
        <v>2118</v>
      </c>
      <c r="AV177" s="3" t="s">
        <v>2119</v>
      </c>
      <c r="AW177" s="3" t="s">
        <v>2120</v>
      </c>
      <c r="AX177" s="3" t="s">
        <v>2120</v>
      </c>
      <c r="AY177" s="3" t="s">
        <v>2121</v>
      </c>
      <c r="AZ177" s="3" t="s">
        <v>74</v>
      </c>
      <c r="BB177" s="3" t="s">
        <v>2122</v>
      </c>
      <c r="BC177" s="3" t="s">
        <v>2123</v>
      </c>
      <c r="BD177" s="3" t="s">
        <v>2124</v>
      </c>
    </row>
    <row r="178" spans="1:56" ht="47.25" customHeight="1" x14ac:dyDescent="0.25">
      <c r="A178" s="7" t="s">
        <v>58</v>
      </c>
      <c r="B178" s="2" t="s">
        <v>2125</v>
      </c>
      <c r="C178" s="2" t="s">
        <v>2126</v>
      </c>
      <c r="D178" s="2" t="s">
        <v>2127</v>
      </c>
      <c r="F178" s="3" t="s">
        <v>58</v>
      </c>
      <c r="G178" s="3" t="s">
        <v>59</v>
      </c>
      <c r="H178" s="3" t="s">
        <v>58</v>
      </c>
      <c r="I178" s="3" t="s">
        <v>58</v>
      </c>
      <c r="J178" s="3" t="s">
        <v>60</v>
      </c>
      <c r="L178" s="2" t="s">
        <v>2128</v>
      </c>
      <c r="M178" s="3" t="s">
        <v>2129</v>
      </c>
      <c r="O178" s="3" t="s">
        <v>65</v>
      </c>
      <c r="P178" s="3" t="s">
        <v>100</v>
      </c>
      <c r="R178" s="3" t="s">
        <v>67</v>
      </c>
      <c r="S178" s="4">
        <v>9</v>
      </c>
      <c r="T178" s="4">
        <v>9</v>
      </c>
      <c r="U178" s="5" t="s">
        <v>2130</v>
      </c>
      <c r="V178" s="5" t="s">
        <v>2130</v>
      </c>
      <c r="W178" s="5" t="s">
        <v>2131</v>
      </c>
      <c r="X178" s="5" t="s">
        <v>2131</v>
      </c>
      <c r="Y178" s="4">
        <v>487</v>
      </c>
      <c r="Z178" s="4">
        <v>349</v>
      </c>
      <c r="AA178" s="4">
        <v>365</v>
      </c>
      <c r="AB178" s="4">
        <v>3</v>
      </c>
      <c r="AC178" s="4">
        <v>3</v>
      </c>
      <c r="AD178" s="4">
        <v>14</v>
      </c>
      <c r="AE178" s="4">
        <v>15</v>
      </c>
      <c r="AF178" s="4">
        <v>6</v>
      </c>
      <c r="AG178" s="4">
        <v>7</v>
      </c>
      <c r="AH178" s="4">
        <v>2</v>
      </c>
      <c r="AI178" s="4">
        <v>2</v>
      </c>
      <c r="AJ178" s="4">
        <v>8</v>
      </c>
      <c r="AK178" s="4">
        <v>9</v>
      </c>
      <c r="AL178" s="4">
        <v>2</v>
      </c>
      <c r="AM178" s="4">
        <v>2</v>
      </c>
      <c r="AN178" s="4">
        <v>0</v>
      </c>
      <c r="AO178" s="4">
        <v>0</v>
      </c>
      <c r="AP178" s="3" t="s">
        <v>58</v>
      </c>
      <c r="AQ178" s="3" t="s">
        <v>69</v>
      </c>
      <c r="AR178" s="6" t="str">
        <f>HYPERLINK("http://catalog.hathitrust.org/Record/002595739","HathiTrust Record")</f>
        <v>HathiTrust Record</v>
      </c>
      <c r="AS178" s="6" t="str">
        <f>HYPERLINK("https://creighton-primo.hosted.exlibrisgroup.com/primo-explore/search?tab=default_tab&amp;search_scope=EVERYTHING&amp;vid=01CRU&amp;lang=en_US&amp;offset=0&amp;query=any,contains,991002089939702656","Catalog Record")</f>
        <v>Catalog Record</v>
      </c>
      <c r="AT178" s="6" t="str">
        <f>HYPERLINK("http://www.worldcat.org/oclc/26809611","WorldCat Record")</f>
        <v>WorldCat Record</v>
      </c>
      <c r="AU178" s="3" t="s">
        <v>2132</v>
      </c>
      <c r="AV178" s="3" t="s">
        <v>2133</v>
      </c>
      <c r="AW178" s="3" t="s">
        <v>2134</v>
      </c>
      <c r="AX178" s="3" t="s">
        <v>2134</v>
      </c>
      <c r="AY178" s="3" t="s">
        <v>2135</v>
      </c>
      <c r="AZ178" s="3" t="s">
        <v>74</v>
      </c>
      <c r="BB178" s="3" t="s">
        <v>2136</v>
      </c>
      <c r="BC178" s="3" t="s">
        <v>2137</v>
      </c>
      <c r="BD178" s="3" t="s">
        <v>2138</v>
      </c>
    </row>
    <row r="179" spans="1:56" ht="47.25" customHeight="1" x14ac:dyDescent="0.25">
      <c r="A179" s="7" t="s">
        <v>58</v>
      </c>
      <c r="B179" s="2" t="s">
        <v>2139</v>
      </c>
      <c r="C179" s="2" t="s">
        <v>2140</v>
      </c>
      <c r="D179" s="2" t="s">
        <v>2141</v>
      </c>
      <c r="F179" s="3" t="s">
        <v>58</v>
      </c>
      <c r="G179" s="3" t="s">
        <v>59</v>
      </c>
      <c r="H179" s="3" t="s">
        <v>58</v>
      </c>
      <c r="I179" s="3" t="s">
        <v>58</v>
      </c>
      <c r="J179" s="3" t="s">
        <v>60</v>
      </c>
      <c r="K179" s="2" t="s">
        <v>2142</v>
      </c>
      <c r="L179" s="2" t="s">
        <v>2143</v>
      </c>
      <c r="M179" s="3" t="s">
        <v>727</v>
      </c>
      <c r="O179" s="3" t="s">
        <v>65</v>
      </c>
      <c r="P179" s="3" t="s">
        <v>100</v>
      </c>
      <c r="Q179" s="2" t="s">
        <v>2144</v>
      </c>
      <c r="R179" s="3" t="s">
        <v>67</v>
      </c>
      <c r="S179" s="4">
        <v>2</v>
      </c>
      <c r="T179" s="4">
        <v>2</v>
      </c>
      <c r="U179" s="5" t="s">
        <v>2145</v>
      </c>
      <c r="V179" s="5" t="s">
        <v>2145</v>
      </c>
      <c r="W179" s="5" t="s">
        <v>1272</v>
      </c>
      <c r="X179" s="5" t="s">
        <v>1272</v>
      </c>
      <c r="Y179" s="4">
        <v>689</v>
      </c>
      <c r="Z179" s="4">
        <v>574</v>
      </c>
      <c r="AA179" s="4">
        <v>604</v>
      </c>
      <c r="AB179" s="4">
        <v>7</v>
      </c>
      <c r="AC179" s="4">
        <v>7</v>
      </c>
      <c r="AD179" s="4">
        <v>18</v>
      </c>
      <c r="AE179" s="4">
        <v>18</v>
      </c>
      <c r="AF179" s="4">
        <v>5</v>
      </c>
      <c r="AG179" s="4">
        <v>5</v>
      </c>
      <c r="AH179" s="4">
        <v>3</v>
      </c>
      <c r="AI179" s="4">
        <v>3</v>
      </c>
      <c r="AJ179" s="4">
        <v>10</v>
      </c>
      <c r="AK179" s="4">
        <v>10</v>
      </c>
      <c r="AL179" s="4">
        <v>5</v>
      </c>
      <c r="AM179" s="4">
        <v>5</v>
      </c>
      <c r="AN179" s="4">
        <v>0</v>
      </c>
      <c r="AO179" s="4">
        <v>0</v>
      </c>
      <c r="AP179" s="3" t="s">
        <v>69</v>
      </c>
      <c r="AQ179" s="3" t="s">
        <v>58</v>
      </c>
      <c r="AR179" s="6" t="str">
        <f>HYPERLINK("http://catalog.hathitrust.org/Record/001498362","HathiTrust Record")</f>
        <v>HathiTrust Record</v>
      </c>
      <c r="AS179" s="6" t="str">
        <f>HYPERLINK("https://creighton-primo.hosted.exlibrisgroup.com/primo-explore/search?tab=default_tab&amp;search_scope=EVERYTHING&amp;vid=01CRU&amp;lang=en_US&amp;offset=0&amp;query=any,contains,991002983659702656","Catalog Record")</f>
        <v>Catalog Record</v>
      </c>
      <c r="AT179" s="6" t="str">
        <f>HYPERLINK("http://www.worldcat.org/oclc/556250","WorldCat Record")</f>
        <v>WorldCat Record</v>
      </c>
      <c r="AU179" s="3" t="s">
        <v>2146</v>
      </c>
      <c r="AV179" s="3" t="s">
        <v>2147</v>
      </c>
      <c r="AW179" s="3" t="s">
        <v>2148</v>
      </c>
      <c r="AX179" s="3" t="s">
        <v>2148</v>
      </c>
      <c r="AY179" s="3" t="s">
        <v>2149</v>
      </c>
      <c r="AZ179" s="3" t="s">
        <v>74</v>
      </c>
      <c r="BC179" s="3" t="s">
        <v>2150</v>
      </c>
      <c r="BD179" s="3" t="s">
        <v>2151</v>
      </c>
    </row>
    <row r="180" spans="1:56" ht="47.25" customHeight="1" x14ac:dyDescent="0.25">
      <c r="A180" s="7" t="s">
        <v>58</v>
      </c>
      <c r="B180" s="2" t="s">
        <v>2152</v>
      </c>
      <c r="C180" s="2" t="s">
        <v>2153</v>
      </c>
      <c r="D180" s="2" t="s">
        <v>2154</v>
      </c>
      <c r="F180" s="3" t="s">
        <v>58</v>
      </c>
      <c r="G180" s="3" t="s">
        <v>59</v>
      </c>
      <c r="H180" s="3" t="s">
        <v>58</v>
      </c>
      <c r="I180" s="3" t="s">
        <v>58</v>
      </c>
      <c r="J180" s="3" t="s">
        <v>60</v>
      </c>
      <c r="K180" s="2" t="s">
        <v>2155</v>
      </c>
      <c r="L180" s="2" t="s">
        <v>2156</v>
      </c>
      <c r="M180" s="3" t="s">
        <v>142</v>
      </c>
      <c r="O180" s="3" t="s">
        <v>65</v>
      </c>
      <c r="P180" s="3" t="s">
        <v>127</v>
      </c>
      <c r="R180" s="3" t="s">
        <v>67</v>
      </c>
      <c r="S180" s="4">
        <v>5</v>
      </c>
      <c r="T180" s="4">
        <v>5</v>
      </c>
      <c r="U180" s="5" t="s">
        <v>157</v>
      </c>
      <c r="V180" s="5" t="s">
        <v>157</v>
      </c>
      <c r="W180" s="5" t="s">
        <v>1731</v>
      </c>
      <c r="X180" s="5" t="s">
        <v>1731</v>
      </c>
      <c r="Y180" s="4">
        <v>872</v>
      </c>
      <c r="Z180" s="4">
        <v>605</v>
      </c>
      <c r="AA180" s="4">
        <v>637</v>
      </c>
      <c r="AB180" s="4">
        <v>4</v>
      </c>
      <c r="AC180" s="4">
        <v>5</v>
      </c>
      <c r="AD180" s="4">
        <v>26</v>
      </c>
      <c r="AE180" s="4">
        <v>27</v>
      </c>
      <c r="AF180" s="4">
        <v>11</v>
      </c>
      <c r="AG180" s="4">
        <v>11</v>
      </c>
      <c r="AH180" s="4">
        <v>4</v>
      </c>
      <c r="AI180" s="4">
        <v>4</v>
      </c>
      <c r="AJ180" s="4">
        <v>16</v>
      </c>
      <c r="AK180" s="4">
        <v>16</v>
      </c>
      <c r="AL180" s="4">
        <v>3</v>
      </c>
      <c r="AM180" s="4">
        <v>4</v>
      </c>
      <c r="AN180" s="4">
        <v>0</v>
      </c>
      <c r="AO180" s="4">
        <v>0</v>
      </c>
      <c r="AP180" s="3" t="s">
        <v>58</v>
      </c>
      <c r="AQ180" s="3" t="s">
        <v>69</v>
      </c>
      <c r="AR180" s="6" t="str">
        <f>HYPERLINK("http://catalog.hathitrust.org/Record/000750508","HathiTrust Record")</f>
        <v>HathiTrust Record</v>
      </c>
      <c r="AS180" s="6" t="str">
        <f>HYPERLINK("https://creighton-primo.hosted.exlibrisgroup.com/primo-explore/search?tab=default_tab&amp;search_scope=EVERYTHING&amp;vid=01CRU&amp;lang=en_US&amp;offset=0&amp;query=any,contains,991004418169702656","Catalog Record")</f>
        <v>Catalog Record</v>
      </c>
      <c r="AT180" s="6" t="str">
        <f>HYPERLINK("http://www.worldcat.org/oclc/3372590","WorldCat Record")</f>
        <v>WorldCat Record</v>
      </c>
      <c r="AU180" s="3" t="s">
        <v>2157</v>
      </c>
      <c r="AV180" s="3" t="s">
        <v>2158</v>
      </c>
      <c r="AW180" s="3" t="s">
        <v>2159</v>
      </c>
      <c r="AX180" s="3" t="s">
        <v>2159</v>
      </c>
      <c r="AY180" s="3" t="s">
        <v>2160</v>
      </c>
      <c r="AZ180" s="3" t="s">
        <v>74</v>
      </c>
      <c r="BB180" s="3" t="s">
        <v>2161</v>
      </c>
      <c r="BC180" s="3" t="s">
        <v>2162</v>
      </c>
      <c r="BD180" s="3" t="s">
        <v>2163</v>
      </c>
    </row>
    <row r="181" spans="1:56" ht="47.25" customHeight="1" x14ac:dyDescent="0.25">
      <c r="A181" s="7" t="s">
        <v>58</v>
      </c>
      <c r="B181" s="2" t="s">
        <v>2164</v>
      </c>
      <c r="C181" s="2" t="s">
        <v>2165</v>
      </c>
      <c r="D181" s="2" t="s">
        <v>2166</v>
      </c>
      <c r="F181" s="3" t="s">
        <v>58</v>
      </c>
      <c r="G181" s="3" t="s">
        <v>59</v>
      </c>
      <c r="H181" s="3" t="s">
        <v>58</v>
      </c>
      <c r="I181" s="3" t="s">
        <v>58</v>
      </c>
      <c r="J181" s="3" t="s">
        <v>60</v>
      </c>
      <c r="L181" s="2" t="s">
        <v>2167</v>
      </c>
      <c r="M181" s="3" t="s">
        <v>398</v>
      </c>
      <c r="O181" s="3" t="s">
        <v>65</v>
      </c>
      <c r="P181" s="3" t="s">
        <v>143</v>
      </c>
      <c r="R181" s="3" t="s">
        <v>67</v>
      </c>
      <c r="S181" s="4">
        <v>16</v>
      </c>
      <c r="T181" s="4">
        <v>16</v>
      </c>
      <c r="U181" s="5" t="s">
        <v>2168</v>
      </c>
      <c r="V181" s="5" t="s">
        <v>2168</v>
      </c>
      <c r="W181" s="5" t="s">
        <v>2169</v>
      </c>
      <c r="X181" s="5" t="s">
        <v>2169</v>
      </c>
      <c r="Y181" s="4">
        <v>461</v>
      </c>
      <c r="Z181" s="4">
        <v>302</v>
      </c>
      <c r="AA181" s="4">
        <v>353</v>
      </c>
      <c r="AB181" s="4">
        <v>3</v>
      </c>
      <c r="AC181" s="4">
        <v>3</v>
      </c>
      <c r="AD181" s="4">
        <v>12</v>
      </c>
      <c r="AE181" s="4">
        <v>14</v>
      </c>
      <c r="AF181" s="4">
        <v>3</v>
      </c>
      <c r="AG181" s="4">
        <v>4</v>
      </c>
      <c r="AH181" s="4">
        <v>4</v>
      </c>
      <c r="AI181" s="4">
        <v>5</v>
      </c>
      <c r="AJ181" s="4">
        <v>5</v>
      </c>
      <c r="AK181" s="4">
        <v>5</v>
      </c>
      <c r="AL181" s="4">
        <v>2</v>
      </c>
      <c r="AM181" s="4">
        <v>2</v>
      </c>
      <c r="AN181" s="4">
        <v>0</v>
      </c>
      <c r="AO181" s="4">
        <v>0</v>
      </c>
      <c r="AP181" s="3" t="s">
        <v>58</v>
      </c>
      <c r="AQ181" s="3" t="s">
        <v>69</v>
      </c>
      <c r="AR181" s="6" t="str">
        <f>HYPERLINK("http://catalog.hathitrust.org/Record/001942744","HathiTrust Record")</f>
        <v>HathiTrust Record</v>
      </c>
      <c r="AS181" s="6" t="str">
        <f>HYPERLINK("https://creighton-primo.hosted.exlibrisgroup.com/primo-explore/search?tab=default_tab&amp;search_scope=EVERYTHING&amp;vid=01CRU&amp;lang=en_US&amp;offset=0&amp;query=any,contains,991001479899702656","Catalog Record")</f>
        <v>Catalog Record</v>
      </c>
      <c r="AT181" s="6" t="str">
        <f>HYPERLINK("http://www.worldcat.org/oclc/19623580","WorldCat Record")</f>
        <v>WorldCat Record</v>
      </c>
      <c r="AU181" s="3" t="s">
        <v>2170</v>
      </c>
      <c r="AV181" s="3" t="s">
        <v>2171</v>
      </c>
      <c r="AW181" s="3" t="s">
        <v>2172</v>
      </c>
      <c r="AX181" s="3" t="s">
        <v>2172</v>
      </c>
      <c r="AY181" s="3" t="s">
        <v>2173</v>
      </c>
      <c r="AZ181" s="3" t="s">
        <v>74</v>
      </c>
      <c r="BB181" s="3" t="s">
        <v>2174</v>
      </c>
      <c r="BC181" s="3" t="s">
        <v>2175</v>
      </c>
      <c r="BD181" s="3" t="s">
        <v>2176</v>
      </c>
    </row>
    <row r="182" spans="1:56" ht="47.25" customHeight="1" x14ac:dyDescent="0.25">
      <c r="A182" s="7" t="s">
        <v>58</v>
      </c>
      <c r="B182" s="2" t="s">
        <v>2177</v>
      </c>
      <c r="C182" s="2" t="s">
        <v>2178</v>
      </c>
      <c r="D182" s="2" t="s">
        <v>2179</v>
      </c>
      <c r="F182" s="3" t="s">
        <v>58</v>
      </c>
      <c r="G182" s="3" t="s">
        <v>59</v>
      </c>
      <c r="H182" s="3" t="s">
        <v>58</v>
      </c>
      <c r="I182" s="3" t="s">
        <v>58</v>
      </c>
      <c r="J182" s="3" t="s">
        <v>60</v>
      </c>
      <c r="K182" s="2" t="s">
        <v>2180</v>
      </c>
      <c r="L182" s="2" t="s">
        <v>2181</v>
      </c>
      <c r="M182" s="3" t="s">
        <v>412</v>
      </c>
      <c r="O182" s="3" t="s">
        <v>65</v>
      </c>
      <c r="P182" s="3" t="s">
        <v>100</v>
      </c>
      <c r="Q182" s="2" t="s">
        <v>1822</v>
      </c>
      <c r="R182" s="3" t="s">
        <v>67</v>
      </c>
      <c r="S182" s="4">
        <v>19</v>
      </c>
      <c r="T182" s="4">
        <v>19</v>
      </c>
      <c r="U182" s="5" t="s">
        <v>2168</v>
      </c>
      <c r="V182" s="5" t="s">
        <v>2168</v>
      </c>
      <c r="W182" s="5" t="s">
        <v>1731</v>
      </c>
      <c r="X182" s="5" t="s">
        <v>1731</v>
      </c>
      <c r="Y182" s="4">
        <v>526</v>
      </c>
      <c r="Z182" s="4">
        <v>389</v>
      </c>
      <c r="AA182" s="4">
        <v>637</v>
      </c>
      <c r="AB182" s="4">
        <v>4</v>
      </c>
      <c r="AC182" s="4">
        <v>5</v>
      </c>
      <c r="AD182" s="4">
        <v>13</v>
      </c>
      <c r="AE182" s="4">
        <v>26</v>
      </c>
      <c r="AF182" s="4">
        <v>4</v>
      </c>
      <c r="AG182" s="4">
        <v>8</v>
      </c>
      <c r="AH182" s="4">
        <v>3</v>
      </c>
      <c r="AI182" s="4">
        <v>9</v>
      </c>
      <c r="AJ182" s="4">
        <v>4</v>
      </c>
      <c r="AK182" s="4">
        <v>11</v>
      </c>
      <c r="AL182" s="4">
        <v>3</v>
      </c>
      <c r="AM182" s="4">
        <v>4</v>
      </c>
      <c r="AN182" s="4">
        <v>0</v>
      </c>
      <c r="AO182" s="4">
        <v>0</v>
      </c>
      <c r="AP182" s="3" t="s">
        <v>58</v>
      </c>
      <c r="AQ182" s="3" t="s">
        <v>69</v>
      </c>
      <c r="AR182" s="6" t="str">
        <f>HYPERLINK("http://catalog.hathitrust.org/Record/000690363","HathiTrust Record")</f>
        <v>HathiTrust Record</v>
      </c>
      <c r="AS182" s="6" t="str">
        <f>HYPERLINK("https://creighton-primo.hosted.exlibrisgroup.com/primo-explore/search?tab=default_tab&amp;search_scope=EVERYTHING&amp;vid=01CRU&amp;lang=en_US&amp;offset=0&amp;query=any,contains,991003328119702656","Catalog Record")</f>
        <v>Catalog Record</v>
      </c>
      <c r="AT182" s="6" t="str">
        <f>HYPERLINK("http://www.worldcat.org/oclc/858310","WorldCat Record")</f>
        <v>WorldCat Record</v>
      </c>
      <c r="AU182" s="3" t="s">
        <v>2182</v>
      </c>
      <c r="AV182" s="3" t="s">
        <v>2183</v>
      </c>
      <c r="AW182" s="3" t="s">
        <v>2184</v>
      </c>
      <c r="AX182" s="3" t="s">
        <v>2184</v>
      </c>
      <c r="AY182" s="3" t="s">
        <v>2185</v>
      </c>
      <c r="AZ182" s="3" t="s">
        <v>74</v>
      </c>
      <c r="BB182" s="3" t="s">
        <v>2186</v>
      </c>
      <c r="BC182" s="3" t="s">
        <v>2187</v>
      </c>
      <c r="BD182" s="3" t="s">
        <v>2188</v>
      </c>
    </row>
    <row r="183" spans="1:56" ht="47.25" customHeight="1" x14ac:dyDescent="0.25">
      <c r="A183" s="7" t="s">
        <v>58</v>
      </c>
      <c r="B183" s="2" t="s">
        <v>2189</v>
      </c>
      <c r="C183" s="2" t="s">
        <v>2190</v>
      </c>
      <c r="D183" s="2" t="s">
        <v>2191</v>
      </c>
      <c r="F183" s="3" t="s">
        <v>58</v>
      </c>
      <c r="G183" s="3" t="s">
        <v>59</v>
      </c>
      <c r="H183" s="3" t="s">
        <v>58</v>
      </c>
      <c r="I183" s="3" t="s">
        <v>58</v>
      </c>
      <c r="J183" s="3" t="s">
        <v>60</v>
      </c>
      <c r="L183" s="2" t="s">
        <v>2192</v>
      </c>
      <c r="M183" s="3" t="s">
        <v>630</v>
      </c>
      <c r="O183" s="3" t="s">
        <v>65</v>
      </c>
      <c r="P183" s="3" t="s">
        <v>127</v>
      </c>
      <c r="Q183" s="2" t="s">
        <v>2193</v>
      </c>
      <c r="R183" s="3" t="s">
        <v>67</v>
      </c>
      <c r="S183" s="4">
        <v>6</v>
      </c>
      <c r="T183" s="4">
        <v>6</v>
      </c>
      <c r="U183" s="5" t="s">
        <v>2194</v>
      </c>
      <c r="V183" s="5" t="s">
        <v>2194</v>
      </c>
      <c r="W183" s="5" t="s">
        <v>1731</v>
      </c>
      <c r="X183" s="5" t="s">
        <v>1731</v>
      </c>
      <c r="Y183" s="4">
        <v>183</v>
      </c>
      <c r="Z183" s="4">
        <v>62</v>
      </c>
      <c r="AA183" s="4">
        <v>373</v>
      </c>
      <c r="AB183" s="4">
        <v>2</v>
      </c>
      <c r="AC183" s="4">
        <v>2</v>
      </c>
      <c r="AD183" s="4">
        <v>2</v>
      </c>
      <c r="AE183" s="4">
        <v>12</v>
      </c>
      <c r="AF183" s="4">
        <v>0</v>
      </c>
      <c r="AG183" s="4">
        <v>4</v>
      </c>
      <c r="AH183" s="4">
        <v>1</v>
      </c>
      <c r="AI183" s="4">
        <v>4</v>
      </c>
      <c r="AJ183" s="4">
        <v>0</v>
      </c>
      <c r="AK183" s="4">
        <v>8</v>
      </c>
      <c r="AL183" s="4">
        <v>1</v>
      </c>
      <c r="AM183" s="4">
        <v>1</v>
      </c>
      <c r="AN183" s="4">
        <v>0</v>
      </c>
      <c r="AO183" s="4">
        <v>0</v>
      </c>
      <c r="AP183" s="3" t="s">
        <v>58</v>
      </c>
      <c r="AQ183" s="3" t="s">
        <v>58</v>
      </c>
      <c r="AS183" s="6" t="str">
        <f>HYPERLINK("https://creighton-primo.hosted.exlibrisgroup.com/primo-explore/search?tab=default_tab&amp;search_scope=EVERYTHING&amp;vid=01CRU&amp;lang=en_US&amp;offset=0&amp;query=any,contains,991005000349702656","Catalog Record")</f>
        <v>Catalog Record</v>
      </c>
      <c r="AT183" s="6" t="str">
        <f>HYPERLINK("http://www.worldcat.org/oclc/6538794","WorldCat Record")</f>
        <v>WorldCat Record</v>
      </c>
      <c r="AU183" s="3" t="s">
        <v>2195</v>
      </c>
      <c r="AV183" s="3" t="s">
        <v>2196</v>
      </c>
      <c r="AW183" s="3" t="s">
        <v>2197</v>
      </c>
      <c r="AX183" s="3" t="s">
        <v>2197</v>
      </c>
      <c r="AY183" s="3" t="s">
        <v>2198</v>
      </c>
      <c r="AZ183" s="3" t="s">
        <v>74</v>
      </c>
      <c r="BB183" s="3" t="s">
        <v>2199</v>
      </c>
      <c r="BC183" s="3" t="s">
        <v>2200</v>
      </c>
      <c r="BD183" s="3" t="s">
        <v>2201</v>
      </c>
    </row>
    <row r="184" spans="1:56" ht="47.25" customHeight="1" x14ac:dyDescent="0.25">
      <c r="A184" s="7" t="s">
        <v>58</v>
      </c>
      <c r="B184" s="2" t="s">
        <v>2202</v>
      </c>
      <c r="C184" s="2" t="s">
        <v>2203</v>
      </c>
      <c r="D184" s="2" t="s">
        <v>2204</v>
      </c>
      <c r="F184" s="3" t="s">
        <v>58</v>
      </c>
      <c r="G184" s="3" t="s">
        <v>59</v>
      </c>
      <c r="H184" s="3" t="s">
        <v>58</v>
      </c>
      <c r="I184" s="3" t="s">
        <v>58</v>
      </c>
      <c r="J184" s="3" t="s">
        <v>60</v>
      </c>
      <c r="K184" s="2" t="s">
        <v>2205</v>
      </c>
      <c r="L184" s="2" t="s">
        <v>2206</v>
      </c>
      <c r="M184" s="3" t="s">
        <v>1744</v>
      </c>
      <c r="O184" s="3" t="s">
        <v>65</v>
      </c>
      <c r="P184" s="3" t="s">
        <v>2207</v>
      </c>
      <c r="R184" s="3" t="s">
        <v>67</v>
      </c>
      <c r="S184" s="4">
        <v>2</v>
      </c>
      <c r="T184" s="4">
        <v>2</v>
      </c>
      <c r="U184" s="5" t="s">
        <v>2208</v>
      </c>
      <c r="V184" s="5" t="s">
        <v>2208</v>
      </c>
      <c r="W184" s="5" t="s">
        <v>2208</v>
      </c>
      <c r="X184" s="5" t="s">
        <v>2208</v>
      </c>
      <c r="Y184" s="4">
        <v>248</v>
      </c>
      <c r="Z184" s="4">
        <v>223</v>
      </c>
      <c r="AA184" s="4">
        <v>230</v>
      </c>
      <c r="AB184" s="4">
        <v>3</v>
      </c>
      <c r="AC184" s="4">
        <v>3</v>
      </c>
      <c r="AD184" s="4">
        <v>7</v>
      </c>
      <c r="AE184" s="4">
        <v>7</v>
      </c>
      <c r="AF184" s="4">
        <v>4</v>
      </c>
      <c r="AG184" s="4">
        <v>4</v>
      </c>
      <c r="AH184" s="4">
        <v>0</v>
      </c>
      <c r="AI184" s="4">
        <v>0</v>
      </c>
      <c r="AJ184" s="4">
        <v>3</v>
      </c>
      <c r="AK184" s="4">
        <v>3</v>
      </c>
      <c r="AL184" s="4">
        <v>1</v>
      </c>
      <c r="AM184" s="4">
        <v>1</v>
      </c>
      <c r="AN184" s="4">
        <v>0</v>
      </c>
      <c r="AO184" s="4">
        <v>0</v>
      </c>
      <c r="AP184" s="3" t="s">
        <v>58</v>
      </c>
      <c r="AQ184" s="3" t="s">
        <v>69</v>
      </c>
      <c r="AR184" s="6" t="str">
        <f>HYPERLINK("http://catalog.hathitrust.org/Record/005669376","HathiTrust Record")</f>
        <v>HathiTrust Record</v>
      </c>
      <c r="AS184" s="6" t="str">
        <f>HYPERLINK("https://creighton-primo.hosted.exlibrisgroup.com/primo-explore/search?tab=default_tab&amp;search_scope=EVERYTHING&amp;vid=01CRU&amp;lang=en_US&amp;offset=0&amp;query=any,contains,991005149809702656","Catalog Record")</f>
        <v>Catalog Record</v>
      </c>
      <c r="AT184" s="6" t="str">
        <f>HYPERLINK("http://www.worldcat.org/oclc/70176848","WorldCat Record")</f>
        <v>WorldCat Record</v>
      </c>
      <c r="AU184" s="3" t="s">
        <v>2209</v>
      </c>
      <c r="AV184" s="3" t="s">
        <v>2210</v>
      </c>
      <c r="AW184" s="3" t="s">
        <v>2211</v>
      </c>
      <c r="AX184" s="3" t="s">
        <v>2211</v>
      </c>
      <c r="AY184" s="3" t="s">
        <v>2212</v>
      </c>
      <c r="AZ184" s="3" t="s">
        <v>74</v>
      </c>
      <c r="BB184" s="3" t="s">
        <v>2213</v>
      </c>
      <c r="BC184" s="3" t="s">
        <v>2214</v>
      </c>
      <c r="BD184" s="3" t="s">
        <v>2215</v>
      </c>
    </row>
    <row r="185" spans="1:56" ht="47.25" customHeight="1" x14ac:dyDescent="0.25">
      <c r="A185" s="7" t="s">
        <v>58</v>
      </c>
      <c r="B185" s="2" t="s">
        <v>2216</v>
      </c>
      <c r="C185" s="2" t="s">
        <v>2217</v>
      </c>
      <c r="D185" s="2" t="s">
        <v>2218</v>
      </c>
      <c r="F185" s="3" t="s">
        <v>58</v>
      </c>
      <c r="G185" s="3" t="s">
        <v>59</v>
      </c>
      <c r="H185" s="3" t="s">
        <v>58</v>
      </c>
      <c r="I185" s="3" t="s">
        <v>58</v>
      </c>
      <c r="J185" s="3" t="s">
        <v>60</v>
      </c>
      <c r="K185" s="2" t="s">
        <v>2219</v>
      </c>
      <c r="L185" s="2" t="s">
        <v>2220</v>
      </c>
      <c r="M185" s="3" t="s">
        <v>1361</v>
      </c>
      <c r="O185" s="3" t="s">
        <v>65</v>
      </c>
      <c r="P185" s="3" t="s">
        <v>127</v>
      </c>
      <c r="Q185" s="2" t="s">
        <v>2221</v>
      </c>
      <c r="R185" s="3" t="s">
        <v>67</v>
      </c>
      <c r="S185" s="4">
        <v>1</v>
      </c>
      <c r="T185" s="4">
        <v>1</v>
      </c>
      <c r="U185" s="5" t="s">
        <v>2090</v>
      </c>
      <c r="V185" s="5" t="s">
        <v>2090</v>
      </c>
      <c r="W185" s="5" t="s">
        <v>1809</v>
      </c>
      <c r="X185" s="5" t="s">
        <v>1809</v>
      </c>
      <c r="Y185" s="4">
        <v>564</v>
      </c>
      <c r="Z185" s="4">
        <v>413</v>
      </c>
      <c r="AA185" s="4">
        <v>419</v>
      </c>
      <c r="AB185" s="4">
        <v>2</v>
      </c>
      <c r="AC185" s="4">
        <v>2</v>
      </c>
      <c r="AD185" s="4">
        <v>10</v>
      </c>
      <c r="AE185" s="4">
        <v>10</v>
      </c>
      <c r="AF185" s="4">
        <v>5</v>
      </c>
      <c r="AG185" s="4">
        <v>5</v>
      </c>
      <c r="AH185" s="4">
        <v>2</v>
      </c>
      <c r="AI185" s="4">
        <v>2</v>
      </c>
      <c r="AJ185" s="4">
        <v>2</v>
      </c>
      <c r="AK185" s="4">
        <v>2</v>
      </c>
      <c r="AL185" s="4">
        <v>1</v>
      </c>
      <c r="AM185" s="4">
        <v>1</v>
      </c>
      <c r="AN185" s="4">
        <v>0</v>
      </c>
      <c r="AO185" s="4">
        <v>0</v>
      </c>
      <c r="AP185" s="3" t="s">
        <v>58</v>
      </c>
      <c r="AQ185" s="3" t="s">
        <v>58</v>
      </c>
      <c r="AS185" s="6" t="str">
        <f>HYPERLINK("https://creighton-primo.hosted.exlibrisgroup.com/primo-explore/search?tab=default_tab&amp;search_scope=EVERYTHING&amp;vid=01CRU&amp;lang=en_US&amp;offset=0&amp;query=any,contains,991001699239702656","Catalog Record")</f>
        <v>Catalog Record</v>
      </c>
      <c r="AT185" s="6" t="str">
        <f>HYPERLINK("http://www.worldcat.org/oclc/21520969","WorldCat Record")</f>
        <v>WorldCat Record</v>
      </c>
      <c r="AU185" s="3" t="s">
        <v>2222</v>
      </c>
      <c r="AV185" s="3" t="s">
        <v>2223</v>
      </c>
      <c r="AW185" s="3" t="s">
        <v>2224</v>
      </c>
      <c r="AX185" s="3" t="s">
        <v>2224</v>
      </c>
      <c r="AY185" s="3" t="s">
        <v>2225</v>
      </c>
      <c r="AZ185" s="3" t="s">
        <v>74</v>
      </c>
      <c r="BB185" s="3" t="s">
        <v>2226</v>
      </c>
      <c r="BC185" s="3" t="s">
        <v>2227</v>
      </c>
      <c r="BD185" s="3" t="s">
        <v>2228</v>
      </c>
    </row>
    <row r="186" spans="1:56" ht="47.25" customHeight="1" x14ac:dyDescent="0.25">
      <c r="A186" s="7" t="s">
        <v>58</v>
      </c>
      <c r="B186" s="2" t="s">
        <v>2229</v>
      </c>
      <c r="C186" s="2" t="s">
        <v>2230</v>
      </c>
      <c r="D186" s="2" t="s">
        <v>2231</v>
      </c>
      <c r="F186" s="3" t="s">
        <v>58</v>
      </c>
      <c r="G186" s="3" t="s">
        <v>59</v>
      </c>
      <c r="H186" s="3" t="s">
        <v>58</v>
      </c>
      <c r="I186" s="3" t="s">
        <v>58</v>
      </c>
      <c r="J186" s="3" t="s">
        <v>60</v>
      </c>
      <c r="K186" s="2" t="s">
        <v>2232</v>
      </c>
      <c r="L186" s="2" t="s">
        <v>2233</v>
      </c>
      <c r="M186" s="3" t="s">
        <v>918</v>
      </c>
      <c r="O186" s="3" t="s">
        <v>65</v>
      </c>
      <c r="P186" s="3" t="s">
        <v>1989</v>
      </c>
      <c r="Q186" s="2" t="s">
        <v>2234</v>
      </c>
      <c r="R186" s="3" t="s">
        <v>67</v>
      </c>
      <c r="S186" s="4">
        <v>2</v>
      </c>
      <c r="T186" s="4">
        <v>2</v>
      </c>
      <c r="U186" s="5" t="s">
        <v>2235</v>
      </c>
      <c r="V186" s="5" t="s">
        <v>2235</v>
      </c>
      <c r="W186" s="5" t="s">
        <v>2236</v>
      </c>
      <c r="X186" s="5" t="s">
        <v>2236</v>
      </c>
      <c r="Y186" s="4">
        <v>186</v>
      </c>
      <c r="Z186" s="4">
        <v>115</v>
      </c>
      <c r="AA186" s="4">
        <v>130</v>
      </c>
      <c r="AB186" s="4">
        <v>1</v>
      </c>
      <c r="AC186" s="4">
        <v>1</v>
      </c>
      <c r="AD186" s="4">
        <v>3</v>
      </c>
      <c r="AE186" s="4">
        <v>4</v>
      </c>
      <c r="AF186" s="4">
        <v>1</v>
      </c>
      <c r="AG186" s="4">
        <v>2</v>
      </c>
      <c r="AH186" s="4">
        <v>1</v>
      </c>
      <c r="AI186" s="4">
        <v>1</v>
      </c>
      <c r="AJ186" s="4">
        <v>2</v>
      </c>
      <c r="AK186" s="4">
        <v>3</v>
      </c>
      <c r="AL186" s="4">
        <v>0</v>
      </c>
      <c r="AM186" s="4">
        <v>0</v>
      </c>
      <c r="AN186" s="4">
        <v>0</v>
      </c>
      <c r="AO186" s="4">
        <v>0</v>
      </c>
      <c r="AP186" s="3" t="s">
        <v>58</v>
      </c>
      <c r="AQ186" s="3" t="s">
        <v>58</v>
      </c>
      <c r="AS186" s="6" t="str">
        <f>HYPERLINK("https://creighton-primo.hosted.exlibrisgroup.com/primo-explore/search?tab=default_tab&amp;search_scope=EVERYTHING&amp;vid=01CRU&amp;lang=en_US&amp;offset=0&amp;query=any,contains,991003743229702656","Catalog Record")</f>
        <v>Catalog Record</v>
      </c>
      <c r="AT186" s="6" t="str">
        <f>HYPERLINK("http://www.worldcat.org/oclc/34721686","WorldCat Record")</f>
        <v>WorldCat Record</v>
      </c>
      <c r="AU186" s="3" t="s">
        <v>2237</v>
      </c>
      <c r="AV186" s="3" t="s">
        <v>2238</v>
      </c>
      <c r="AW186" s="3" t="s">
        <v>2239</v>
      </c>
      <c r="AX186" s="3" t="s">
        <v>2239</v>
      </c>
      <c r="AY186" s="3" t="s">
        <v>2240</v>
      </c>
      <c r="AZ186" s="3" t="s">
        <v>74</v>
      </c>
      <c r="BB186" s="3" t="s">
        <v>2241</v>
      </c>
      <c r="BC186" s="3" t="s">
        <v>2242</v>
      </c>
      <c r="BD186" s="3" t="s">
        <v>2243</v>
      </c>
    </row>
    <row r="187" spans="1:56" ht="47.25" customHeight="1" x14ac:dyDescent="0.25">
      <c r="A187" s="7" t="s">
        <v>58</v>
      </c>
      <c r="B187" s="2" t="s">
        <v>2244</v>
      </c>
      <c r="C187" s="2" t="s">
        <v>2245</v>
      </c>
      <c r="D187" s="2" t="s">
        <v>2246</v>
      </c>
      <c r="F187" s="3" t="s">
        <v>58</v>
      </c>
      <c r="G187" s="3" t="s">
        <v>59</v>
      </c>
      <c r="H187" s="3" t="s">
        <v>58</v>
      </c>
      <c r="I187" s="3" t="s">
        <v>58</v>
      </c>
      <c r="J187" s="3" t="s">
        <v>60</v>
      </c>
      <c r="K187" s="2" t="s">
        <v>2247</v>
      </c>
      <c r="L187" s="2" t="s">
        <v>2248</v>
      </c>
      <c r="M187" s="3" t="s">
        <v>1148</v>
      </c>
      <c r="O187" s="3" t="s">
        <v>65</v>
      </c>
      <c r="P187" s="3" t="s">
        <v>100</v>
      </c>
      <c r="R187" s="3" t="s">
        <v>67</v>
      </c>
      <c r="S187" s="4">
        <v>6</v>
      </c>
      <c r="T187" s="4">
        <v>6</v>
      </c>
      <c r="U187" s="5" t="s">
        <v>1564</v>
      </c>
      <c r="V187" s="5" t="s">
        <v>1564</v>
      </c>
      <c r="W187" s="5" t="s">
        <v>1731</v>
      </c>
      <c r="X187" s="5" t="s">
        <v>1731</v>
      </c>
      <c r="Y187" s="4">
        <v>1062</v>
      </c>
      <c r="Z187" s="4">
        <v>997</v>
      </c>
      <c r="AA187" s="4">
        <v>1028</v>
      </c>
      <c r="AB187" s="4">
        <v>5</v>
      </c>
      <c r="AC187" s="4">
        <v>6</v>
      </c>
      <c r="AD187" s="4">
        <v>19</v>
      </c>
      <c r="AE187" s="4">
        <v>20</v>
      </c>
      <c r="AF187" s="4">
        <v>8</v>
      </c>
      <c r="AG187" s="4">
        <v>8</v>
      </c>
      <c r="AH187" s="4">
        <v>5</v>
      </c>
      <c r="AI187" s="4">
        <v>5</v>
      </c>
      <c r="AJ187" s="4">
        <v>9</v>
      </c>
      <c r="AK187" s="4">
        <v>9</v>
      </c>
      <c r="AL187" s="4">
        <v>2</v>
      </c>
      <c r="AM187" s="4">
        <v>3</v>
      </c>
      <c r="AN187" s="4">
        <v>0</v>
      </c>
      <c r="AO187" s="4">
        <v>0</v>
      </c>
      <c r="AP187" s="3" t="s">
        <v>58</v>
      </c>
      <c r="AQ187" s="3" t="s">
        <v>69</v>
      </c>
      <c r="AR187" s="6" t="str">
        <f>HYPERLINK("http://catalog.hathitrust.org/Record/000336303","HathiTrust Record")</f>
        <v>HathiTrust Record</v>
      </c>
      <c r="AS187" s="6" t="str">
        <f>HYPERLINK("https://creighton-primo.hosted.exlibrisgroup.com/primo-explore/search?tab=default_tab&amp;search_scope=EVERYTHING&amp;vid=01CRU&amp;lang=en_US&amp;offset=0&amp;query=any,contains,991000378609702656","Catalog Record")</f>
        <v>Catalog Record</v>
      </c>
      <c r="AT187" s="6" t="str">
        <f>HYPERLINK("http://www.worldcat.org/oclc/10483411","WorldCat Record")</f>
        <v>WorldCat Record</v>
      </c>
      <c r="AU187" s="3" t="s">
        <v>2249</v>
      </c>
      <c r="AV187" s="3" t="s">
        <v>2250</v>
      </c>
      <c r="AW187" s="3" t="s">
        <v>2251</v>
      </c>
      <c r="AX187" s="3" t="s">
        <v>2251</v>
      </c>
      <c r="AY187" s="3" t="s">
        <v>2252</v>
      </c>
      <c r="AZ187" s="3" t="s">
        <v>74</v>
      </c>
      <c r="BB187" s="3" t="s">
        <v>2253</v>
      </c>
      <c r="BC187" s="3" t="s">
        <v>2254</v>
      </c>
      <c r="BD187" s="3" t="s">
        <v>2255</v>
      </c>
    </row>
    <row r="188" spans="1:56" ht="47.25" customHeight="1" x14ac:dyDescent="0.25">
      <c r="A188" s="7" t="s">
        <v>58</v>
      </c>
      <c r="B188" s="2" t="s">
        <v>2256</v>
      </c>
      <c r="C188" s="2" t="s">
        <v>2257</v>
      </c>
      <c r="D188" s="2" t="s">
        <v>2258</v>
      </c>
      <c r="F188" s="3" t="s">
        <v>58</v>
      </c>
      <c r="G188" s="3" t="s">
        <v>59</v>
      </c>
      <c r="H188" s="3" t="s">
        <v>58</v>
      </c>
      <c r="I188" s="3" t="s">
        <v>58</v>
      </c>
      <c r="J188" s="3" t="s">
        <v>60</v>
      </c>
      <c r="K188" s="2" t="s">
        <v>2259</v>
      </c>
      <c r="L188" s="2" t="s">
        <v>2260</v>
      </c>
      <c r="M188" s="3" t="s">
        <v>1026</v>
      </c>
      <c r="O188" s="3" t="s">
        <v>65</v>
      </c>
      <c r="P188" s="3" t="s">
        <v>2261</v>
      </c>
      <c r="R188" s="3" t="s">
        <v>67</v>
      </c>
      <c r="S188" s="4">
        <v>1</v>
      </c>
      <c r="T188" s="4">
        <v>1</v>
      </c>
      <c r="U188" s="5" t="s">
        <v>1730</v>
      </c>
      <c r="V188" s="5" t="s">
        <v>1730</v>
      </c>
      <c r="W188" s="5" t="s">
        <v>1730</v>
      </c>
      <c r="X188" s="5" t="s">
        <v>1730</v>
      </c>
      <c r="Y188" s="4">
        <v>175</v>
      </c>
      <c r="Z188" s="4">
        <v>124</v>
      </c>
      <c r="AA188" s="4">
        <v>145</v>
      </c>
      <c r="AB188" s="4">
        <v>2</v>
      </c>
      <c r="AC188" s="4">
        <v>2</v>
      </c>
      <c r="AD188" s="4">
        <v>4</v>
      </c>
      <c r="AE188" s="4">
        <v>6</v>
      </c>
      <c r="AF188" s="4">
        <v>1</v>
      </c>
      <c r="AG188" s="4">
        <v>3</v>
      </c>
      <c r="AH188" s="4">
        <v>1</v>
      </c>
      <c r="AI188" s="4">
        <v>2</v>
      </c>
      <c r="AJ188" s="4">
        <v>3</v>
      </c>
      <c r="AK188" s="4">
        <v>4</v>
      </c>
      <c r="AL188" s="4">
        <v>1</v>
      </c>
      <c r="AM188" s="4">
        <v>1</v>
      </c>
      <c r="AN188" s="4">
        <v>0</v>
      </c>
      <c r="AO188" s="4">
        <v>0</v>
      </c>
      <c r="AP188" s="3" t="s">
        <v>58</v>
      </c>
      <c r="AQ188" s="3" t="s">
        <v>58</v>
      </c>
      <c r="AS188" s="6" t="str">
        <f>HYPERLINK("https://creighton-primo.hosted.exlibrisgroup.com/primo-explore/search?tab=default_tab&amp;search_scope=EVERYTHING&amp;vid=01CRU&amp;lang=en_US&amp;offset=0&amp;query=any,contains,991005158489702656","Catalog Record")</f>
        <v>Catalog Record</v>
      </c>
      <c r="AT188" s="6" t="str">
        <f>HYPERLINK("http://www.worldcat.org/oclc/52208437","WorldCat Record")</f>
        <v>WorldCat Record</v>
      </c>
      <c r="AU188" s="3" t="s">
        <v>2262</v>
      </c>
      <c r="AV188" s="3" t="s">
        <v>2263</v>
      </c>
      <c r="AW188" s="3" t="s">
        <v>2264</v>
      </c>
      <c r="AX188" s="3" t="s">
        <v>2264</v>
      </c>
      <c r="AY188" s="3" t="s">
        <v>2265</v>
      </c>
      <c r="AZ188" s="3" t="s">
        <v>74</v>
      </c>
      <c r="BB188" s="3" t="s">
        <v>2266</v>
      </c>
      <c r="BC188" s="3" t="s">
        <v>2267</v>
      </c>
      <c r="BD188" s="3" t="s">
        <v>2268</v>
      </c>
    </row>
    <row r="189" spans="1:56" ht="47.25" customHeight="1" x14ac:dyDescent="0.25">
      <c r="A189" s="7" t="s">
        <v>58</v>
      </c>
      <c r="B189" s="2" t="s">
        <v>2269</v>
      </c>
      <c r="C189" s="2" t="s">
        <v>2270</v>
      </c>
      <c r="D189" s="2" t="s">
        <v>2271</v>
      </c>
      <c r="F189" s="3" t="s">
        <v>58</v>
      </c>
      <c r="G189" s="3" t="s">
        <v>59</v>
      </c>
      <c r="H189" s="3" t="s">
        <v>58</v>
      </c>
      <c r="I189" s="3" t="s">
        <v>58</v>
      </c>
      <c r="J189" s="3" t="s">
        <v>60</v>
      </c>
      <c r="L189" s="2" t="s">
        <v>2272</v>
      </c>
      <c r="M189" s="3" t="s">
        <v>1744</v>
      </c>
      <c r="O189" s="3" t="s">
        <v>65</v>
      </c>
      <c r="P189" s="3" t="s">
        <v>127</v>
      </c>
      <c r="R189" s="3" t="s">
        <v>67</v>
      </c>
      <c r="S189" s="4">
        <v>3</v>
      </c>
      <c r="T189" s="4">
        <v>3</v>
      </c>
      <c r="U189" s="5" t="s">
        <v>2273</v>
      </c>
      <c r="V189" s="5" t="s">
        <v>2273</v>
      </c>
      <c r="W189" s="5" t="s">
        <v>2274</v>
      </c>
      <c r="X189" s="5" t="s">
        <v>2274</v>
      </c>
      <c r="Y189" s="4">
        <v>172</v>
      </c>
      <c r="Z189" s="4">
        <v>97</v>
      </c>
      <c r="AA189" s="4">
        <v>519</v>
      </c>
      <c r="AB189" s="4">
        <v>2</v>
      </c>
      <c r="AC189" s="4">
        <v>6</v>
      </c>
      <c r="AD189" s="4">
        <v>2</v>
      </c>
      <c r="AE189" s="4">
        <v>23</v>
      </c>
      <c r="AF189" s="4">
        <v>0</v>
      </c>
      <c r="AG189" s="4">
        <v>7</v>
      </c>
      <c r="AH189" s="4">
        <v>1</v>
      </c>
      <c r="AI189" s="4">
        <v>7</v>
      </c>
      <c r="AJ189" s="4">
        <v>0</v>
      </c>
      <c r="AK189" s="4">
        <v>5</v>
      </c>
      <c r="AL189" s="4">
        <v>1</v>
      </c>
      <c r="AM189" s="4">
        <v>5</v>
      </c>
      <c r="AN189" s="4">
        <v>0</v>
      </c>
      <c r="AO189" s="4">
        <v>1</v>
      </c>
      <c r="AP189" s="3" t="s">
        <v>58</v>
      </c>
      <c r="AQ189" s="3" t="s">
        <v>58</v>
      </c>
      <c r="AS189" s="6" t="str">
        <f>HYPERLINK("https://creighton-primo.hosted.exlibrisgroup.com/primo-explore/search?tab=default_tab&amp;search_scope=EVERYTHING&amp;vid=01CRU&amp;lang=en_US&amp;offset=0&amp;query=any,contains,991005158509702656","Catalog Record")</f>
        <v>Catalog Record</v>
      </c>
      <c r="AT189" s="6" t="str">
        <f>HYPERLINK("http://www.worldcat.org/oclc/80359216","WorldCat Record")</f>
        <v>WorldCat Record</v>
      </c>
      <c r="AU189" s="3" t="s">
        <v>2275</v>
      </c>
      <c r="AV189" s="3" t="s">
        <v>2276</v>
      </c>
      <c r="AW189" s="3" t="s">
        <v>2277</v>
      </c>
      <c r="AX189" s="3" t="s">
        <v>2277</v>
      </c>
      <c r="AY189" s="3" t="s">
        <v>2278</v>
      </c>
      <c r="AZ189" s="3" t="s">
        <v>74</v>
      </c>
      <c r="BB189" s="3" t="s">
        <v>2279</v>
      </c>
      <c r="BC189" s="3" t="s">
        <v>2280</v>
      </c>
      <c r="BD189" s="3" t="s">
        <v>2281</v>
      </c>
    </row>
    <row r="190" spans="1:56" ht="47.25" customHeight="1" x14ac:dyDescent="0.25">
      <c r="A190" s="7" t="s">
        <v>58</v>
      </c>
      <c r="B190" s="2" t="s">
        <v>2282</v>
      </c>
      <c r="C190" s="2" t="s">
        <v>2283</v>
      </c>
      <c r="D190" s="2" t="s">
        <v>2284</v>
      </c>
      <c r="F190" s="3" t="s">
        <v>58</v>
      </c>
      <c r="G190" s="3" t="s">
        <v>59</v>
      </c>
      <c r="H190" s="3" t="s">
        <v>58</v>
      </c>
      <c r="I190" s="3" t="s">
        <v>58</v>
      </c>
      <c r="J190" s="3" t="s">
        <v>60</v>
      </c>
      <c r="L190" s="2" t="s">
        <v>2285</v>
      </c>
      <c r="M190" s="3" t="s">
        <v>1836</v>
      </c>
      <c r="O190" s="3" t="s">
        <v>65</v>
      </c>
      <c r="P190" s="3" t="s">
        <v>100</v>
      </c>
      <c r="R190" s="3" t="s">
        <v>67</v>
      </c>
      <c r="S190" s="4">
        <v>1</v>
      </c>
      <c r="T190" s="4">
        <v>1</v>
      </c>
      <c r="U190" s="5" t="s">
        <v>2286</v>
      </c>
      <c r="V190" s="5" t="s">
        <v>2286</v>
      </c>
      <c r="W190" s="5" t="s">
        <v>2286</v>
      </c>
      <c r="X190" s="5" t="s">
        <v>2286</v>
      </c>
      <c r="Y190" s="4">
        <v>223</v>
      </c>
      <c r="Z190" s="4">
        <v>159</v>
      </c>
      <c r="AA190" s="4">
        <v>492</v>
      </c>
      <c r="AB190" s="4">
        <v>3</v>
      </c>
      <c r="AC190" s="4">
        <v>32</v>
      </c>
      <c r="AD190" s="4">
        <v>8</v>
      </c>
      <c r="AE190" s="4">
        <v>21</v>
      </c>
      <c r="AF190" s="4">
        <v>5</v>
      </c>
      <c r="AG190" s="4">
        <v>6</v>
      </c>
      <c r="AH190" s="4">
        <v>1</v>
      </c>
      <c r="AI190" s="4">
        <v>1</v>
      </c>
      <c r="AJ190" s="4">
        <v>2</v>
      </c>
      <c r="AK190" s="4">
        <v>3</v>
      </c>
      <c r="AL190" s="4">
        <v>2</v>
      </c>
      <c r="AM190" s="4">
        <v>13</v>
      </c>
      <c r="AN190" s="4">
        <v>0</v>
      </c>
      <c r="AO190" s="4">
        <v>0</v>
      </c>
      <c r="AP190" s="3" t="s">
        <v>58</v>
      </c>
      <c r="AQ190" s="3" t="s">
        <v>58</v>
      </c>
      <c r="AS190" s="6" t="str">
        <f>HYPERLINK("https://creighton-primo.hosted.exlibrisgroup.com/primo-explore/search?tab=default_tab&amp;search_scope=EVERYTHING&amp;vid=01CRU&amp;lang=en_US&amp;offset=0&amp;query=any,contains,991005158469702656","Catalog Record")</f>
        <v>Catalog Record</v>
      </c>
      <c r="AT190" s="6" t="str">
        <f>HYPERLINK("http://www.worldcat.org/oclc/46769562","WorldCat Record")</f>
        <v>WorldCat Record</v>
      </c>
      <c r="AU190" s="3" t="s">
        <v>2287</v>
      </c>
      <c r="AV190" s="3" t="s">
        <v>2288</v>
      </c>
      <c r="AW190" s="3" t="s">
        <v>2289</v>
      </c>
      <c r="AX190" s="3" t="s">
        <v>2289</v>
      </c>
      <c r="AY190" s="3" t="s">
        <v>2290</v>
      </c>
      <c r="AZ190" s="3" t="s">
        <v>74</v>
      </c>
      <c r="BB190" s="3" t="s">
        <v>2291</v>
      </c>
      <c r="BC190" s="3" t="s">
        <v>2292</v>
      </c>
      <c r="BD190" s="3" t="s">
        <v>2293</v>
      </c>
    </row>
    <row r="191" spans="1:56" ht="47.25" customHeight="1" x14ac:dyDescent="0.25">
      <c r="A191" s="7" t="s">
        <v>58</v>
      </c>
      <c r="B191" s="2" t="s">
        <v>2294</v>
      </c>
      <c r="C191" s="2" t="s">
        <v>2295</v>
      </c>
      <c r="D191" s="2" t="s">
        <v>2296</v>
      </c>
      <c r="F191" s="3" t="s">
        <v>58</v>
      </c>
      <c r="G191" s="3" t="s">
        <v>59</v>
      </c>
      <c r="H191" s="3" t="s">
        <v>58</v>
      </c>
      <c r="I191" s="3" t="s">
        <v>58</v>
      </c>
      <c r="J191" s="3" t="s">
        <v>60</v>
      </c>
      <c r="K191" s="2" t="s">
        <v>2297</v>
      </c>
      <c r="L191" s="2" t="s">
        <v>2298</v>
      </c>
      <c r="M191" s="3" t="s">
        <v>739</v>
      </c>
      <c r="O191" s="3" t="s">
        <v>65</v>
      </c>
      <c r="P191" s="3" t="s">
        <v>100</v>
      </c>
      <c r="R191" s="3" t="s">
        <v>67</v>
      </c>
      <c r="S191" s="4">
        <v>2</v>
      </c>
      <c r="T191" s="4">
        <v>2</v>
      </c>
      <c r="U191" s="5" t="s">
        <v>676</v>
      </c>
      <c r="V191" s="5" t="s">
        <v>676</v>
      </c>
      <c r="W191" s="5" t="s">
        <v>87</v>
      </c>
      <c r="X191" s="5" t="s">
        <v>87</v>
      </c>
      <c r="Y191" s="4">
        <v>981</v>
      </c>
      <c r="Z191" s="4">
        <v>797</v>
      </c>
      <c r="AA191" s="4">
        <v>820</v>
      </c>
      <c r="AB191" s="4">
        <v>8</v>
      </c>
      <c r="AC191" s="4">
        <v>8</v>
      </c>
      <c r="AD191" s="4">
        <v>30</v>
      </c>
      <c r="AE191" s="4">
        <v>30</v>
      </c>
      <c r="AF191" s="4">
        <v>10</v>
      </c>
      <c r="AG191" s="4">
        <v>10</v>
      </c>
      <c r="AH191" s="4">
        <v>4</v>
      </c>
      <c r="AI191" s="4">
        <v>4</v>
      </c>
      <c r="AJ191" s="4">
        <v>14</v>
      </c>
      <c r="AK191" s="4">
        <v>14</v>
      </c>
      <c r="AL191" s="4">
        <v>7</v>
      </c>
      <c r="AM191" s="4">
        <v>7</v>
      </c>
      <c r="AN191" s="4">
        <v>0</v>
      </c>
      <c r="AO191" s="4">
        <v>0</v>
      </c>
      <c r="AP191" s="3" t="s">
        <v>58</v>
      </c>
      <c r="AQ191" s="3" t="s">
        <v>69</v>
      </c>
      <c r="AR191" s="6" t="str">
        <f>HYPERLINK("http://catalog.hathitrust.org/Record/001493775","HathiTrust Record")</f>
        <v>HathiTrust Record</v>
      </c>
      <c r="AS191" s="6" t="str">
        <f>HYPERLINK("https://creighton-primo.hosted.exlibrisgroup.com/primo-explore/search?tab=default_tab&amp;search_scope=EVERYTHING&amp;vid=01CRU&amp;lang=en_US&amp;offset=0&amp;query=any,contains,991002976719702656","Catalog Record")</f>
        <v>Catalog Record</v>
      </c>
      <c r="AT191" s="6" t="str">
        <f>HYPERLINK("http://www.worldcat.org/oclc/552233","WorldCat Record")</f>
        <v>WorldCat Record</v>
      </c>
      <c r="AU191" s="3" t="s">
        <v>2299</v>
      </c>
      <c r="AV191" s="3" t="s">
        <v>2300</v>
      </c>
      <c r="AW191" s="3" t="s">
        <v>2301</v>
      </c>
      <c r="AX191" s="3" t="s">
        <v>2301</v>
      </c>
      <c r="AY191" s="3" t="s">
        <v>2302</v>
      </c>
      <c r="AZ191" s="3" t="s">
        <v>74</v>
      </c>
      <c r="BC191" s="3" t="s">
        <v>2303</v>
      </c>
      <c r="BD191" s="3" t="s">
        <v>2304</v>
      </c>
    </row>
    <row r="192" spans="1:56" ht="47.25" customHeight="1" x14ac:dyDescent="0.25">
      <c r="A192" s="7" t="s">
        <v>58</v>
      </c>
      <c r="B192" s="2" t="s">
        <v>2305</v>
      </c>
      <c r="C192" s="2" t="s">
        <v>2306</v>
      </c>
      <c r="D192" s="2" t="s">
        <v>2307</v>
      </c>
      <c r="F192" s="3" t="s">
        <v>58</v>
      </c>
      <c r="G192" s="3" t="s">
        <v>59</v>
      </c>
      <c r="H192" s="3" t="s">
        <v>58</v>
      </c>
      <c r="I192" s="3" t="s">
        <v>58</v>
      </c>
      <c r="J192" s="3" t="s">
        <v>60</v>
      </c>
      <c r="K192" s="2" t="s">
        <v>2308</v>
      </c>
      <c r="L192" s="2" t="s">
        <v>2309</v>
      </c>
      <c r="M192" s="3" t="s">
        <v>1148</v>
      </c>
      <c r="O192" s="3" t="s">
        <v>65</v>
      </c>
      <c r="P192" s="3" t="s">
        <v>315</v>
      </c>
      <c r="R192" s="3" t="s">
        <v>67</v>
      </c>
      <c r="S192" s="4">
        <v>3</v>
      </c>
      <c r="T192" s="4">
        <v>3</v>
      </c>
      <c r="U192" s="5" t="s">
        <v>115</v>
      </c>
      <c r="V192" s="5" t="s">
        <v>115</v>
      </c>
      <c r="W192" s="5" t="s">
        <v>1731</v>
      </c>
      <c r="X192" s="5" t="s">
        <v>1731</v>
      </c>
      <c r="Y192" s="4">
        <v>622</v>
      </c>
      <c r="Z192" s="4">
        <v>540</v>
      </c>
      <c r="AA192" s="4">
        <v>567</v>
      </c>
      <c r="AB192" s="4">
        <v>5</v>
      </c>
      <c r="AC192" s="4">
        <v>5</v>
      </c>
      <c r="AD192" s="4">
        <v>14</v>
      </c>
      <c r="AE192" s="4">
        <v>16</v>
      </c>
      <c r="AF192" s="4">
        <v>9</v>
      </c>
      <c r="AG192" s="4">
        <v>10</v>
      </c>
      <c r="AH192" s="4">
        <v>2</v>
      </c>
      <c r="AI192" s="4">
        <v>2</v>
      </c>
      <c r="AJ192" s="4">
        <v>5</v>
      </c>
      <c r="AK192" s="4">
        <v>7</v>
      </c>
      <c r="AL192" s="4">
        <v>3</v>
      </c>
      <c r="AM192" s="4">
        <v>3</v>
      </c>
      <c r="AN192" s="4">
        <v>0</v>
      </c>
      <c r="AO192" s="4">
        <v>0</v>
      </c>
      <c r="AP192" s="3" t="s">
        <v>58</v>
      </c>
      <c r="AQ192" s="3" t="s">
        <v>69</v>
      </c>
      <c r="AR192" s="6" t="str">
        <f>HYPERLINK("http://catalog.hathitrust.org/Record/000323334","HathiTrust Record")</f>
        <v>HathiTrust Record</v>
      </c>
      <c r="AS192" s="6" t="str">
        <f>HYPERLINK("https://creighton-primo.hosted.exlibrisgroup.com/primo-explore/search?tab=default_tab&amp;search_scope=EVERYTHING&amp;vid=01CRU&amp;lang=en_US&amp;offset=0&amp;query=any,contains,991005403609702656","Catalog Record")</f>
        <v>Catalog Record</v>
      </c>
      <c r="AT192" s="6" t="str">
        <f>HYPERLINK("http://www.worldcat.org/oclc/10162508","WorldCat Record")</f>
        <v>WorldCat Record</v>
      </c>
      <c r="AU192" s="3" t="s">
        <v>2310</v>
      </c>
      <c r="AV192" s="3" t="s">
        <v>2311</v>
      </c>
      <c r="AW192" s="3" t="s">
        <v>2312</v>
      </c>
      <c r="AX192" s="3" t="s">
        <v>2312</v>
      </c>
      <c r="AY192" s="3" t="s">
        <v>2313</v>
      </c>
      <c r="AZ192" s="3" t="s">
        <v>74</v>
      </c>
      <c r="BB192" s="3" t="s">
        <v>2314</v>
      </c>
      <c r="BC192" s="3" t="s">
        <v>2315</v>
      </c>
      <c r="BD192" s="3" t="s">
        <v>2316</v>
      </c>
    </row>
    <row r="193" spans="1:56" ht="47.25" customHeight="1" x14ac:dyDescent="0.25">
      <c r="A193" s="7" t="s">
        <v>58</v>
      </c>
      <c r="B193" s="2" t="s">
        <v>2317</v>
      </c>
      <c r="C193" s="2" t="s">
        <v>2318</v>
      </c>
      <c r="D193" s="2" t="s">
        <v>2319</v>
      </c>
      <c r="F193" s="3" t="s">
        <v>58</v>
      </c>
      <c r="G193" s="3" t="s">
        <v>59</v>
      </c>
      <c r="H193" s="3" t="s">
        <v>58</v>
      </c>
      <c r="I193" s="3" t="s">
        <v>58</v>
      </c>
      <c r="J193" s="3" t="s">
        <v>60</v>
      </c>
      <c r="K193" s="2" t="s">
        <v>2320</v>
      </c>
      <c r="L193" s="2" t="s">
        <v>2321</v>
      </c>
      <c r="M193" s="3" t="s">
        <v>142</v>
      </c>
      <c r="O193" s="3" t="s">
        <v>65</v>
      </c>
      <c r="P193" s="3" t="s">
        <v>675</v>
      </c>
      <c r="R193" s="3" t="s">
        <v>67</v>
      </c>
      <c r="S193" s="4">
        <v>1</v>
      </c>
      <c r="T193" s="4">
        <v>1</v>
      </c>
      <c r="U193" s="5" t="s">
        <v>115</v>
      </c>
      <c r="V193" s="5" t="s">
        <v>115</v>
      </c>
      <c r="W193" s="5" t="s">
        <v>1731</v>
      </c>
      <c r="X193" s="5" t="s">
        <v>1731</v>
      </c>
      <c r="Y193" s="4">
        <v>551</v>
      </c>
      <c r="Z193" s="4">
        <v>424</v>
      </c>
      <c r="AA193" s="4">
        <v>448</v>
      </c>
      <c r="AB193" s="4">
        <v>3</v>
      </c>
      <c r="AC193" s="4">
        <v>4</v>
      </c>
      <c r="AD193" s="4">
        <v>9</v>
      </c>
      <c r="AE193" s="4">
        <v>9</v>
      </c>
      <c r="AF193" s="4">
        <v>2</v>
      </c>
      <c r="AG193" s="4">
        <v>2</v>
      </c>
      <c r="AH193" s="4">
        <v>2</v>
      </c>
      <c r="AI193" s="4">
        <v>2</v>
      </c>
      <c r="AJ193" s="4">
        <v>5</v>
      </c>
      <c r="AK193" s="4">
        <v>5</v>
      </c>
      <c r="AL193" s="4">
        <v>2</v>
      </c>
      <c r="AM193" s="4">
        <v>2</v>
      </c>
      <c r="AN193" s="4">
        <v>0</v>
      </c>
      <c r="AO193" s="4">
        <v>0</v>
      </c>
      <c r="AP193" s="3" t="s">
        <v>58</v>
      </c>
      <c r="AQ193" s="3" t="s">
        <v>58</v>
      </c>
      <c r="AS193" s="6" t="str">
        <f>HYPERLINK("https://creighton-primo.hosted.exlibrisgroup.com/primo-explore/search?tab=default_tab&amp;search_scope=EVERYTHING&amp;vid=01CRU&amp;lang=en_US&amp;offset=0&amp;query=any,contains,991005370639702656","Catalog Record")</f>
        <v>Catalog Record</v>
      </c>
      <c r="AT193" s="6" t="str">
        <f>HYPERLINK("http://www.worldcat.org/oclc/3072459","WorldCat Record")</f>
        <v>WorldCat Record</v>
      </c>
      <c r="AU193" s="3" t="s">
        <v>2322</v>
      </c>
      <c r="AV193" s="3" t="s">
        <v>2323</v>
      </c>
      <c r="AW193" s="3" t="s">
        <v>2324</v>
      </c>
      <c r="AX193" s="3" t="s">
        <v>2324</v>
      </c>
      <c r="AY193" s="3" t="s">
        <v>2325</v>
      </c>
      <c r="AZ193" s="3" t="s">
        <v>74</v>
      </c>
      <c r="BB193" s="3" t="s">
        <v>2326</v>
      </c>
      <c r="BC193" s="3" t="s">
        <v>2327</v>
      </c>
      <c r="BD193" s="3" t="s">
        <v>2328</v>
      </c>
    </row>
    <row r="194" spans="1:56" ht="47.25" customHeight="1" x14ac:dyDescent="0.25">
      <c r="A194" s="7" t="s">
        <v>58</v>
      </c>
      <c r="B194" s="2" t="s">
        <v>2329</v>
      </c>
      <c r="C194" s="2" t="s">
        <v>2330</v>
      </c>
      <c r="D194" s="2" t="s">
        <v>2331</v>
      </c>
      <c r="F194" s="3" t="s">
        <v>58</v>
      </c>
      <c r="G194" s="3" t="s">
        <v>59</v>
      </c>
      <c r="H194" s="3" t="s">
        <v>58</v>
      </c>
      <c r="I194" s="3" t="s">
        <v>58</v>
      </c>
      <c r="J194" s="3" t="s">
        <v>60</v>
      </c>
      <c r="L194" s="2" t="s">
        <v>2332</v>
      </c>
      <c r="M194" s="3" t="s">
        <v>1361</v>
      </c>
      <c r="O194" s="3" t="s">
        <v>65</v>
      </c>
      <c r="P194" s="3" t="s">
        <v>1861</v>
      </c>
      <c r="Q194" s="2" t="s">
        <v>2333</v>
      </c>
      <c r="R194" s="3" t="s">
        <v>67</v>
      </c>
      <c r="S194" s="4">
        <v>2</v>
      </c>
      <c r="T194" s="4">
        <v>2</v>
      </c>
      <c r="U194" s="5" t="s">
        <v>2334</v>
      </c>
      <c r="V194" s="5" t="s">
        <v>2334</v>
      </c>
      <c r="W194" s="5" t="s">
        <v>2335</v>
      </c>
      <c r="X194" s="5" t="s">
        <v>2335</v>
      </c>
      <c r="Y194" s="4">
        <v>110</v>
      </c>
      <c r="Z194" s="4">
        <v>47</v>
      </c>
      <c r="AA194" s="4">
        <v>74</v>
      </c>
      <c r="AB194" s="4">
        <v>1</v>
      </c>
      <c r="AC194" s="4">
        <v>1</v>
      </c>
      <c r="AD194" s="4">
        <v>0</v>
      </c>
      <c r="AE194" s="4">
        <v>1</v>
      </c>
      <c r="AF194" s="4">
        <v>0</v>
      </c>
      <c r="AG194" s="4">
        <v>1</v>
      </c>
      <c r="AH194" s="4">
        <v>0</v>
      </c>
      <c r="AI194" s="4">
        <v>0</v>
      </c>
      <c r="AJ194" s="4">
        <v>0</v>
      </c>
      <c r="AK194" s="4">
        <v>1</v>
      </c>
      <c r="AL194" s="4">
        <v>0</v>
      </c>
      <c r="AM194" s="4">
        <v>0</v>
      </c>
      <c r="AN194" s="4">
        <v>0</v>
      </c>
      <c r="AO194" s="4">
        <v>0</v>
      </c>
      <c r="AP194" s="3" t="s">
        <v>58</v>
      </c>
      <c r="AQ194" s="3" t="s">
        <v>58</v>
      </c>
      <c r="AS194" s="6" t="str">
        <f>HYPERLINK("https://creighton-primo.hosted.exlibrisgroup.com/primo-explore/search?tab=default_tab&amp;search_scope=EVERYTHING&amp;vid=01CRU&amp;lang=en_US&amp;offset=0&amp;query=any,contains,991001807649702656","Catalog Record")</f>
        <v>Catalog Record</v>
      </c>
      <c r="AT194" s="6" t="str">
        <f>HYPERLINK("http://www.worldcat.org/oclc/22710887","WorldCat Record")</f>
        <v>WorldCat Record</v>
      </c>
      <c r="AU194" s="3" t="s">
        <v>2336</v>
      </c>
      <c r="AV194" s="3" t="s">
        <v>2337</v>
      </c>
      <c r="AW194" s="3" t="s">
        <v>2338</v>
      </c>
      <c r="AX194" s="3" t="s">
        <v>2338</v>
      </c>
      <c r="AY194" s="3" t="s">
        <v>2339</v>
      </c>
      <c r="AZ194" s="3" t="s">
        <v>74</v>
      </c>
      <c r="BB194" s="3" t="s">
        <v>2340</v>
      </c>
      <c r="BC194" s="3" t="s">
        <v>2341</v>
      </c>
      <c r="BD194" s="3" t="s">
        <v>2342</v>
      </c>
    </row>
    <row r="195" spans="1:56" ht="47.25" customHeight="1" x14ac:dyDescent="0.25">
      <c r="A195" s="7" t="s">
        <v>58</v>
      </c>
      <c r="B195" s="2" t="s">
        <v>2343</v>
      </c>
      <c r="C195" s="2" t="s">
        <v>2344</v>
      </c>
      <c r="D195" s="2" t="s">
        <v>2345</v>
      </c>
      <c r="F195" s="3" t="s">
        <v>58</v>
      </c>
      <c r="G195" s="3" t="s">
        <v>59</v>
      </c>
      <c r="H195" s="3" t="s">
        <v>58</v>
      </c>
      <c r="I195" s="3" t="s">
        <v>58</v>
      </c>
      <c r="J195" s="3" t="s">
        <v>60</v>
      </c>
      <c r="L195" s="2" t="s">
        <v>2346</v>
      </c>
      <c r="M195" s="3" t="s">
        <v>843</v>
      </c>
      <c r="O195" s="3" t="s">
        <v>65</v>
      </c>
      <c r="P195" s="3" t="s">
        <v>1989</v>
      </c>
      <c r="Q195" s="2" t="s">
        <v>2347</v>
      </c>
      <c r="R195" s="3" t="s">
        <v>67</v>
      </c>
      <c r="S195" s="4">
        <v>17</v>
      </c>
      <c r="T195" s="4">
        <v>17</v>
      </c>
      <c r="U195" s="5" t="s">
        <v>2194</v>
      </c>
      <c r="V195" s="5" t="s">
        <v>2194</v>
      </c>
      <c r="W195" s="5" t="s">
        <v>2091</v>
      </c>
      <c r="X195" s="5" t="s">
        <v>2091</v>
      </c>
      <c r="Y195" s="4">
        <v>655</v>
      </c>
      <c r="Z195" s="4">
        <v>528</v>
      </c>
      <c r="AA195" s="4">
        <v>617</v>
      </c>
      <c r="AB195" s="4">
        <v>5</v>
      </c>
      <c r="AC195" s="4">
        <v>5</v>
      </c>
      <c r="AD195" s="4">
        <v>23</v>
      </c>
      <c r="AE195" s="4">
        <v>24</v>
      </c>
      <c r="AF195" s="4">
        <v>9</v>
      </c>
      <c r="AG195" s="4">
        <v>10</v>
      </c>
      <c r="AH195" s="4">
        <v>3</v>
      </c>
      <c r="AI195" s="4">
        <v>3</v>
      </c>
      <c r="AJ195" s="4">
        <v>11</v>
      </c>
      <c r="AK195" s="4">
        <v>12</v>
      </c>
      <c r="AL195" s="4">
        <v>4</v>
      </c>
      <c r="AM195" s="4">
        <v>4</v>
      </c>
      <c r="AN195" s="4">
        <v>0</v>
      </c>
      <c r="AO195" s="4">
        <v>0</v>
      </c>
      <c r="AP195" s="3" t="s">
        <v>58</v>
      </c>
      <c r="AQ195" s="3" t="s">
        <v>69</v>
      </c>
      <c r="AR195" s="6" t="str">
        <f>HYPERLINK("http://catalog.hathitrust.org/Record/001498421","HathiTrust Record")</f>
        <v>HathiTrust Record</v>
      </c>
      <c r="AS195" s="6" t="str">
        <f>HYPERLINK("https://creighton-primo.hosted.exlibrisgroup.com/primo-explore/search?tab=default_tab&amp;search_scope=EVERYTHING&amp;vid=01CRU&amp;lang=en_US&amp;offset=0&amp;query=any,contains,991000621599702656","Catalog Record")</f>
        <v>Catalog Record</v>
      </c>
      <c r="AT195" s="6" t="str">
        <f>HYPERLINK("http://www.worldcat.org/oclc/102449","WorldCat Record")</f>
        <v>WorldCat Record</v>
      </c>
      <c r="AU195" s="3" t="s">
        <v>2348</v>
      </c>
      <c r="AV195" s="3" t="s">
        <v>2349</v>
      </c>
      <c r="AW195" s="3" t="s">
        <v>2350</v>
      </c>
      <c r="AX195" s="3" t="s">
        <v>2350</v>
      </c>
      <c r="AY195" s="3" t="s">
        <v>2351</v>
      </c>
      <c r="AZ195" s="3" t="s">
        <v>74</v>
      </c>
      <c r="BC195" s="3" t="s">
        <v>2352</v>
      </c>
      <c r="BD195" s="3" t="s">
        <v>2353</v>
      </c>
    </row>
    <row r="196" spans="1:56" ht="47.25" customHeight="1" x14ac:dyDescent="0.25">
      <c r="A196" s="7" t="s">
        <v>58</v>
      </c>
      <c r="B196" s="2" t="s">
        <v>2354</v>
      </c>
      <c r="C196" s="2" t="s">
        <v>2355</v>
      </c>
      <c r="D196" s="2" t="s">
        <v>2356</v>
      </c>
      <c r="F196" s="3" t="s">
        <v>58</v>
      </c>
      <c r="G196" s="3" t="s">
        <v>59</v>
      </c>
      <c r="H196" s="3" t="s">
        <v>58</v>
      </c>
      <c r="I196" s="3" t="s">
        <v>58</v>
      </c>
      <c r="J196" s="3" t="s">
        <v>60</v>
      </c>
      <c r="K196" s="2" t="s">
        <v>2357</v>
      </c>
      <c r="L196" s="2" t="s">
        <v>2358</v>
      </c>
      <c r="M196" s="3" t="s">
        <v>301</v>
      </c>
      <c r="O196" s="3" t="s">
        <v>65</v>
      </c>
      <c r="P196" s="3" t="s">
        <v>2359</v>
      </c>
      <c r="R196" s="3" t="s">
        <v>67</v>
      </c>
      <c r="S196" s="4">
        <v>24</v>
      </c>
      <c r="T196" s="4">
        <v>24</v>
      </c>
      <c r="U196" s="5" t="s">
        <v>2360</v>
      </c>
      <c r="V196" s="5" t="s">
        <v>2360</v>
      </c>
      <c r="W196" s="5" t="s">
        <v>2361</v>
      </c>
      <c r="X196" s="5" t="s">
        <v>2361</v>
      </c>
      <c r="Y196" s="4">
        <v>354</v>
      </c>
      <c r="Z196" s="4">
        <v>320</v>
      </c>
      <c r="AA196" s="4">
        <v>870</v>
      </c>
      <c r="AB196" s="4">
        <v>1</v>
      </c>
      <c r="AC196" s="4">
        <v>7</v>
      </c>
      <c r="AD196" s="4">
        <v>8</v>
      </c>
      <c r="AE196" s="4">
        <v>29</v>
      </c>
      <c r="AF196" s="4">
        <v>4</v>
      </c>
      <c r="AG196" s="4">
        <v>11</v>
      </c>
      <c r="AH196" s="4">
        <v>2</v>
      </c>
      <c r="AI196" s="4">
        <v>5</v>
      </c>
      <c r="AJ196" s="4">
        <v>6</v>
      </c>
      <c r="AK196" s="4">
        <v>12</v>
      </c>
      <c r="AL196" s="4">
        <v>0</v>
      </c>
      <c r="AM196" s="4">
        <v>6</v>
      </c>
      <c r="AN196" s="4">
        <v>0</v>
      </c>
      <c r="AO196" s="4">
        <v>0</v>
      </c>
      <c r="AP196" s="3" t="s">
        <v>69</v>
      </c>
      <c r="AQ196" s="3" t="s">
        <v>58</v>
      </c>
      <c r="AR196" s="6" t="str">
        <f>HYPERLINK("http://catalog.hathitrust.org/Record/001498422","HathiTrust Record")</f>
        <v>HathiTrust Record</v>
      </c>
      <c r="AS196" s="6" t="str">
        <f>HYPERLINK("https://creighton-primo.hosted.exlibrisgroup.com/primo-explore/search?tab=default_tab&amp;search_scope=EVERYTHING&amp;vid=01CRU&amp;lang=en_US&amp;offset=0&amp;query=any,contains,991003291869702656","Catalog Record")</f>
        <v>Catalog Record</v>
      </c>
      <c r="AT196" s="6" t="str">
        <f>HYPERLINK("http://www.worldcat.org/oclc/814026","WorldCat Record")</f>
        <v>WorldCat Record</v>
      </c>
      <c r="AU196" s="3" t="s">
        <v>2362</v>
      </c>
      <c r="AV196" s="3" t="s">
        <v>2363</v>
      </c>
      <c r="AW196" s="3" t="s">
        <v>2364</v>
      </c>
      <c r="AX196" s="3" t="s">
        <v>2364</v>
      </c>
      <c r="AY196" s="3" t="s">
        <v>2365</v>
      </c>
      <c r="AZ196" s="3" t="s">
        <v>74</v>
      </c>
      <c r="BC196" s="3" t="s">
        <v>2366</v>
      </c>
      <c r="BD196" s="3" t="s">
        <v>2367</v>
      </c>
    </row>
    <row r="197" spans="1:56" ht="47.25" customHeight="1" x14ac:dyDescent="0.25">
      <c r="A197" s="7" t="s">
        <v>58</v>
      </c>
      <c r="B197" s="2" t="s">
        <v>2368</v>
      </c>
      <c r="C197" s="2" t="s">
        <v>2369</v>
      </c>
      <c r="D197" s="2" t="s">
        <v>2370</v>
      </c>
      <c r="F197" s="3" t="s">
        <v>58</v>
      </c>
      <c r="G197" s="3" t="s">
        <v>59</v>
      </c>
      <c r="H197" s="3" t="s">
        <v>58</v>
      </c>
      <c r="I197" s="3" t="s">
        <v>58</v>
      </c>
      <c r="J197" s="3" t="s">
        <v>60</v>
      </c>
      <c r="K197" s="2" t="s">
        <v>2371</v>
      </c>
      <c r="L197" s="2" t="s">
        <v>2372</v>
      </c>
      <c r="M197" s="3" t="s">
        <v>185</v>
      </c>
      <c r="O197" s="3" t="s">
        <v>65</v>
      </c>
      <c r="P197" s="3" t="s">
        <v>100</v>
      </c>
      <c r="Q197" s="2" t="s">
        <v>2373</v>
      </c>
      <c r="R197" s="3" t="s">
        <v>67</v>
      </c>
      <c r="S197" s="4">
        <v>7</v>
      </c>
      <c r="T197" s="4">
        <v>7</v>
      </c>
      <c r="U197" s="5" t="s">
        <v>2374</v>
      </c>
      <c r="V197" s="5" t="s">
        <v>2374</v>
      </c>
      <c r="W197" s="5" t="s">
        <v>2361</v>
      </c>
      <c r="X197" s="5" t="s">
        <v>2361</v>
      </c>
      <c r="Y197" s="4">
        <v>1016</v>
      </c>
      <c r="Z197" s="4">
        <v>944</v>
      </c>
      <c r="AA197" s="4">
        <v>951</v>
      </c>
      <c r="AB197" s="4">
        <v>14</v>
      </c>
      <c r="AC197" s="4">
        <v>14</v>
      </c>
      <c r="AD197" s="4">
        <v>18</v>
      </c>
      <c r="AE197" s="4">
        <v>18</v>
      </c>
      <c r="AF197" s="4">
        <v>7</v>
      </c>
      <c r="AG197" s="4">
        <v>7</v>
      </c>
      <c r="AH197" s="4">
        <v>3</v>
      </c>
      <c r="AI197" s="4">
        <v>3</v>
      </c>
      <c r="AJ197" s="4">
        <v>4</v>
      </c>
      <c r="AK197" s="4">
        <v>4</v>
      </c>
      <c r="AL197" s="4">
        <v>7</v>
      </c>
      <c r="AM197" s="4">
        <v>7</v>
      </c>
      <c r="AN197" s="4">
        <v>0</v>
      </c>
      <c r="AO197" s="4">
        <v>0</v>
      </c>
      <c r="AP197" s="3" t="s">
        <v>58</v>
      </c>
      <c r="AQ197" s="3" t="s">
        <v>69</v>
      </c>
      <c r="AR197" s="6" t="str">
        <f>HYPERLINK("http://catalog.hathitrust.org/Record/001507689","HathiTrust Record")</f>
        <v>HathiTrust Record</v>
      </c>
      <c r="AS197" s="6" t="str">
        <f>HYPERLINK("https://creighton-primo.hosted.exlibrisgroup.com/primo-explore/search?tab=default_tab&amp;search_scope=EVERYTHING&amp;vid=01CRU&amp;lang=en_US&amp;offset=0&amp;query=any,contains,991002990309702656","Catalog Record")</f>
        <v>Catalog Record</v>
      </c>
      <c r="AT197" s="6" t="str">
        <f>HYPERLINK("http://www.worldcat.org/oclc/560283","WorldCat Record")</f>
        <v>WorldCat Record</v>
      </c>
      <c r="AU197" s="3" t="s">
        <v>2375</v>
      </c>
      <c r="AV197" s="3" t="s">
        <v>2376</v>
      </c>
      <c r="AW197" s="3" t="s">
        <v>2377</v>
      </c>
      <c r="AX197" s="3" t="s">
        <v>2377</v>
      </c>
      <c r="AY197" s="3" t="s">
        <v>2378</v>
      </c>
      <c r="AZ197" s="3" t="s">
        <v>74</v>
      </c>
      <c r="BC197" s="3" t="s">
        <v>2379</v>
      </c>
      <c r="BD197" s="3" t="s">
        <v>2380</v>
      </c>
    </row>
    <row r="198" spans="1:56" ht="47.25" customHeight="1" x14ac:dyDescent="0.25">
      <c r="A198" s="7" t="s">
        <v>58</v>
      </c>
      <c r="B198" s="2" t="s">
        <v>2381</v>
      </c>
      <c r="C198" s="2" t="s">
        <v>2382</v>
      </c>
      <c r="D198" s="2" t="s">
        <v>2383</v>
      </c>
      <c r="F198" s="3" t="s">
        <v>58</v>
      </c>
      <c r="G198" s="3" t="s">
        <v>59</v>
      </c>
      <c r="H198" s="3" t="s">
        <v>58</v>
      </c>
      <c r="I198" s="3" t="s">
        <v>58</v>
      </c>
      <c r="J198" s="3" t="s">
        <v>60</v>
      </c>
      <c r="K198" s="2" t="s">
        <v>2384</v>
      </c>
      <c r="L198" s="2" t="s">
        <v>2385</v>
      </c>
      <c r="M198" s="3" t="s">
        <v>1148</v>
      </c>
      <c r="O198" s="3" t="s">
        <v>65</v>
      </c>
      <c r="P198" s="3" t="s">
        <v>100</v>
      </c>
      <c r="R198" s="3" t="s">
        <v>67</v>
      </c>
      <c r="S198" s="4">
        <v>10</v>
      </c>
      <c r="T198" s="4">
        <v>10</v>
      </c>
      <c r="U198" s="5" t="s">
        <v>2194</v>
      </c>
      <c r="V198" s="5" t="s">
        <v>2194</v>
      </c>
      <c r="W198" s="5" t="s">
        <v>2386</v>
      </c>
      <c r="X198" s="5" t="s">
        <v>2386</v>
      </c>
      <c r="Y198" s="4">
        <v>485</v>
      </c>
      <c r="Z198" s="4">
        <v>367</v>
      </c>
      <c r="AA198" s="4">
        <v>374</v>
      </c>
      <c r="AB198" s="4">
        <v>1</v>
      </c>
      <c r="AC198" s="4">
        <v>1</v>
      </c>
      <c r="AD198" s="4">
        <v>11</v>
      </c>
      <c r="AE198" s="4">
        <v>11</v>
      </c>
      <c r="AF198" s="4">
        <v>7</v>
      </c>
      <c r="AG198" s="4">
        <v>7</v>
      </c>
      <c r="AH198" s="4">
        <v>4</v>
      </c>
      <c r="AI198" s="4">
        <v>4</v>
      </c>
      <c r="AJ198" s="4">
        <v>4</v>
      </c>
      <c r="AK198" s="4">
        <v>4</v>
      </c>
      <c r="AL198" s="4">
        <v>0</v>
      </c>
      <c r="AM198" s="4">
        <v>0</v>
      </c>
      <c r="AN198" s="4">
        <v>0</v>
      </c>
      <c r="AO198" s="4">
        <v>0</v>
      </c>
      <c r="AP198" s="3" t="s">
        <v>58</v>
      </c>
      <c r="AQ198" s="3" t="s">
        <v>69</v>
      </c>
      <c r="AR198" s="6" t="str">
        <f>HYPERLINK("http://catalog.hathitrust.org/Record/000336934","HathiTrust Record")</f>
        <v>HathiTrust Record</v>
      </c>
      <c r="AS198" s="6" t="str">
        <f>HYPERLINK("https://creighton-primo.hosted.exlibrisgroup.com/primo-explore/search?tab=default_tab&amp;search_scope=EVERYTHING&amp;vid=01CRU&amp;lang=en_US&amp;offset=0&amp;query=any,contains,991000393559702656","Catalog Record")</f>
        <v>Catalog Record</v>
      </c>
      <c r="AT198" s="6" t="str">
        <f>HYPERLINK("http://www.worldcat.org/oclc/10559031","WorldCat Record")</f>
        <v>WorldCat Record</v>
      </c>
      <c r="AU198" s="3" t="s">
        <v>2387</v>
      </c>
      <c r="AV198" s="3" t="s">
        <v>2388</v>
      </c>
      <c r="AW198" s="3" t="s">
        <v>2389</v>
      </c>
      <c r="AX198" s="3" t="s">
        <v>2389</v>
      </c>
      <c r="AY198" s="3" t="s">
        <v>2390</v>
      </c>
      <c r="AZ198" s="3" t="s">
        <v>74</v>
      </c>
      <c r="BB198" s="3" t="s">
        <v>2391</v>
      </c>
      <c r="BC198" s="3" t="s">
        <v>2392</v>
      </c>
      <c r="BD198" s="3" t="s">
        <v>2393</v>
      </c>
    </row>
    <row r="199" spans="1:56" ht="47.25" customHeight="1" x14ac:dyDescent="0.25">
      <c r="A199" s="7" t="s">
        <v>58</v>
      </c>
      <c r="B199" s="2" t="s">
        <v>2394</v>
      </c>
      <c r="C199" s="2" t="s">
        <v>2395</v>
      </c>
      <c r="D199" s="2" t="s">
        <v>2396</v>
      </c>
      <c r="F199" s="3" t="s">
        <v>58</v>
      </c>
      <c r="G199" s="3" t="s">
        <v>59</v>
      </c>
      <c r="H199" s="3" t="s">
        <v>58</v>
      </c>
      <c r="I199" s="3" t="s">
        <v>58</v>
      </c>
      <c r="J199" s="3" t="s">
        <v>60</v>
      </c>
      <c r="K199" s="2" t="s">
        <v>2397</v>
      </c>
      <c r="L199" s="2" t="s">
        <v>2398</v>
      </c>
      <c r="M199" s="3" t="s">
        <v>630</v>
      </c>
      <c r="N199" s="2" t="s">
        <v>715</v>
      </c>
      <c r="O199" s="3" t="s">
        <v>65</v>
      </c>
      <c r="P199" s="3" t="s">
        <v>100</v>
      </c>
      <c r="R199" s="3" t="s">
        <v>67</v>
      </c>
      <c r="S199" s="4">
        <v>21</v>
      </c>
      <c r="T199" s="4">
        <v>21</v>
      </c>
      <c r="U199" s="5" t="s">
        <v>2194</v>
      </c>
      <c r="V199" s="5" t="s">
        <v>2194</v>
      </c>
      <c r="W199" s="5" t="s">
        <v>2399</v>
      </c>
      <c r="X199" s="5" t="s">
        <v>2399</v>
      </c>
      <c r="Y199" s="4">
        <v>393</v>
      </c>
      <c r="Z199" s="4">
        <v>272</v>
      </c>
      <c r="AA199" s="4">
        <v>835</v>
      </c>
      <c r="AB199" s="4">
        <v>2</v>
      </c>
      <c r="AC199" s="4">
        <v>7</v>
      </c>
      <c r="AD199" s="4">
        <v>8</v>
      </c>
      <c r="AE199" s="4">
        <v>30</v>
      </c>
      <c r="AF199" s="4">
        <v>5</v>
      </c>
      <c r="AG199" s="4">
        <v>13</v>
      </c>
      <c r="AH199" s="4">
        <v>2</v>
      </c>
      <c r="AI199" s="4">
        <v>6</v>
      </c>
      <c r="AJ199" s="4">
        <v>4</v>
      </c>
      <c r="AK199" s="4">
        <v>14</v>
      </c>
      <c r="AL199" s="4">
        <v>1</v>
      </c>
      <c r="AM199" s="4">
        <v>6</v>
      </c>
      <c r="AN199" s="4">
        <v>0</v>
      </c>
      <c r="AO199" s="4">
        <v>0</v>
      </c>
      <c r="AP199" s="3" t="s">
        <v>58</v>
      </c>
      <c r="AQ199" s="3" t="s">
        <v>69</v>
      </c>
      <c r="AR199" s="6" t="str">
        <f>HYPERLINK("http://catalog.hathitrust.org/Record/000032133","HathiTrust Record")</f>
        <v>HathiTrust Record</v>
      </c>
      <c r="AS199" s="6" t="str">
        <f>HYPERLINK("https://creighton-primo.hosted.exlibrisgroup.com/primo-explore/search?tab=default_tab&amp;search_scope=EVERYTHING&amp;vid=01CRU&amp;lang=en_US&amp;offset=0&amp;query=any,contains,991004713869702656","Catalog Record")</f>
        <v>Catalog Record</v>
      </c>
      <c r="AT199" s="6" t="str">
        <f>HYPERLINK("http://www.worldcat.org/oclc/4775339","WorldCat Record")</f>
        <v>WorldCat Record</v>
      </c>
      <c r="AU199" s="3" t="s">
        <v>2400</v>
      </c>
      <c r="AV199" s="3" t="s">
        <v>2401</v>
      </c>
      <c r="AW199" s="3" t="s">
        <v>2402</v>
      </c>
      <c r="AX199" s="3" t="s">
        <v>2402</v>
      </c>
      <c r="AY199" s="3" t="s">
        <v>2403</v>
      </c>
      <c r="AZ199" s="3" t="s">
        <v>74</v>
      </c>
      <c r="BB199" s="3" t="s">
        <v>2404</v>
      </c>
      <c r="BC199" s="3" t="s">
        <v>2405</v>
      </c>
      <c r="BD199" s="3" t="s">
        <v>2406</v>
      </c>
    </row>
    <row r="200" spans="1:56" ht="47.25" customHeight="1" x14ac:dyDescent="0.25">
      <c r="A200" s="7" t="s">
        <v>58</v>
      </c>
      <c r="B200" s="2" t="s">
        <v>2407</v>
      </c>
      <c r="C200" s="2" t="s">
        <v>2408</v>
      </c>
      <c r="D200" s="2" t="s">
        <v>2409</v>
      </c>
      <c r="F200" s="3" t="s">
        <v>58</v>
      </c>
      <c r="G200" s="3" t="s">
        <v>59</v>
      </c>
      <c r="H200" s="3" t="s">
        <v>58</v>
      </c>
      <c r="I200" s="3" t="s">
        <v>58</v>
      </c>
      <c r="J200" s="3" t="s">
        <v>60</v>
      </c>
      <c r="K200" s="2" t="s">
        <v>2410</v>
      </c>
      <c r="L200" s="2" t="s">
        <v>2411</v>
      </c>
      <c r="M200" s="3" t="s">
        <v>1177</v>
      </c>
      <c r="O200" s="3" t="s">
        <v>65</v>
      </c>
      <c r="P200" s="3" t="s">
        <v>498</v>
      </c>
      <c r="R200" s="3" t="s">
        <v>67</v>
      </c>
      <c r="S200" s="4">
        <v>14</v>
      </c>
      <c r="T200" s="4">
        <v>14</v>
      </c>
      <c r="U200" s="5" t="s">
        <v>2412</v>
      </c>
      <c r="V200" s="5" t="s">
        <v>2412</v>
      </c>
      <c r="W200" s="5" t="s">
        <v>2413</v>
      </c>
      <c r="X200" s="5" t="s">
        <v>2413</v>
      </c>
      <c r="Y200" s="4">
        <v>608</v>
      </c>
      <c r="Z200" s="4">
        <v>539</v>
      </c>
      <c r="AA200" s="4">
        <v>545</v>
      </c>
      <c r="AB200" s="4">
        <v>13</v>
      </c>
      <c r="AC200" s="4">
        <v>13</v>
      </c>
      <c r="AD200" s="4">
        <v>24</v>
      </c>
      <c r="AE200" s="4">
        <v>24</v>
      </c>
      <c r="AF200" s="4">
        <v>8</v>
      </c>
      <c r="AG200" s="4">
        <v>8</v>
      </c>
      <c r="AH200" s="4">
        <v>3</v>
      </c>
      <c r="AI200" s="4">
        <v>3</v>
      </c>
      <c r="AJ200" s="4">
        <v>6</v>
      </c>
      <c r="AK200" s="4">
        <v>6</v>
      </c>
      <c r="AL200" s="4">
        <v>10</v>
      </c>
      <c r="AM200" s="4">
        <v>10</v>
      </c>
      <c r="AN200" s="4">
        <v>0</v>
      </c>
      <c r="AO200" s="4">
        <v>0</v>
      </c>
      <c r="AP200" s="3" t="s">
        <v>58</v>
      </c>
      <c r="AQ200" s="3" t="s">
        <v>58</v>
      </c>
      <c r="AR200" s="6" t="str">
        <f>HYPERLINK("http://catalog.hathitrust.org/Record/001996533","HathiTrust Record")</f>
        <v>HathiTrust Record</v>
      </c>
      <c r="AS200" s="6" t="str">
        <f>HYPERLINK("https://creighton-primo.hosted.exlibrisgroup.com/primo-explore/search?tab=default_tab&amp;search_scope=EVERYTHING&amp;vid=01CRU&amp;lang=en_US&amp;offset=0&amp;query=any,contains,991002266239702656","Catalog Record")</f>
        <v>Catalog Record</v>
      </c>
      <c r="AT200" s="6" t="str">
        <f>HYPERLINK("http://www.worldcat.org/oclc/307076","WorldCat Record")</f>
        <v>WorldCat Record</v>
      </c>
      <c r="AU200" s="3" t="s">
        <v>2414</v>
      </c>
      <c r="AV200" s="3" t="s">
        <v>2415</v>
      </c>
      <c r="AW200" s="3" t="s">
        <v>2416</v>
      </c>
      <c r="AX200" s="3" t="s">
        <v>2416</v>
      </c>
      <c r="AY200" s="3" t="s">
        <v>2417</v>
      </c>
      <c r="AZ200" s="3" t="s">
        <v>74</v>
      </c>
      <c r="BC200" s="3" t="s">
        <v>2418</v>
      </c>
      <c r="BD200" s="3" t="s">
        <v>2419</v>
      </c>
    </row>
    <row r="201" spans="1:56" ht="47.25" customHeight="1" x14ac:dyDescent="0.25">
      <c r="A201" s="7" t="s">
        <v>58</v>
      </c>
      <c r="B201" s="2" t="s">
        <v>2420</v>
      </c>
      <c r="C201" s="2" t="s">
        <v>2421</v>
      </c>
      <c r="D201" s="2" t="s">
        <v>2422</v>
      </c>
      <c r="F201" s="3" t="s">
        <v>58</v>
      </c>
      <c r="G201" s="3" t="s">
        <v>59</v>
      </c>
      <c r="H201" s="3" t="s">
        <v>58</v>
      </c>
      <c r="I201" s="3" t="s">
        <v>58</v>
      </c>
      <c r="J201" s="3" t="s">
        <v>60</v>
      </c>
      <c r="K201" s="2" t="s">
        <v>2410</v>
      </c>
      <c r="L201" s="2" t="s">
        <v>2423</v>
      </c>
      <c r="M201" s="3" t="s">
        <v>2424</v>
      </c>
      <c r="O201" s="3" t="s">
        <v>65</v>
      </c>
      <c r="P201" s="3" t="s">
        <v>498</v>
      </c>
      <c r="R201" s="3" t="s">
        <v>67</v>
      </c>
      <c r="S201" s="4">
        <v>19</v>
      </c>
      <c r="T201" s="4">
        <v>19</v>
      </c>
      <c r="U201" s="5" t="s">
        <v>2425</v>
      </c>
      <c r="V201" s="5" t="s">
        <v>2425</v>
      </c>
      <c r="W201" s="5" t="s">
        <v>1731</v>
      </c>
      <c r="X201" s="5" t="s">
        <v>1731</v>
      </c>
      <c r="Y201" s="4">
        <v>664</v>
      </c>
      <c r="Z201" s="4">
        <v>580</v>
      </c>
      <c r="AA201" s="4">
        <v>587</v>
      </c>
      <c r="AB201" s="4">
        <v>14</v>
      </c>
      <c r="AC201" s="4">
        <v>14</v>
      </c>
      <c r="AD201" s="4">
        <v>21</v>
      </c>
      <c r="AE201" s="4">
        <v>21</v>
      </c>
      <c r="AF201" s="4">
        <v>4</v>
      </c>
      <c r="AG201" s="4">
        <v>4</v>
      </c>
      <c r="AH201" s="4">
        <v>4</v>
      </c>
      <c r="AI201" s="4">
        <v>4</v>
      </c>
      <c r="AJ201" s="4">
        <v>7</v>
      </c>
      <c r="AK201" s="4">
        <v>7</v>
      </c>
      <c r="AL201" s="4">
        <v>9</v>
      </c>
      <c r="AM201" s="4">
        <v>9</v>
      </c>
      <c r="AN201" s="4">
        <v>0</v>
      </c>
      <c r="AO201" s="4">
        <v>0</v>
      </c>
      <c r="AP201" s="3" t="s">
        <v>58</v>
      </c>
      <c r="AQ201" s="3" t="s">
        <v>69</v>
      </c>
      <c r="AR201" s="6" t="str">
        <f>HYPERLINK("http://catalog.hathitrust.org/Record/001498454","HathiTrust Record")</f>
        <v>HathiTrust Record</v>
      </c>
      <c r="AS201" s="6" t="str">
        <f>HYPERLINK("https://creighton-primo.hosted.exlibrisgroup.com/primo-explore/search?tab=default_tab&amp;search_scope=EVERYTHING&amp;vid=01CRU&amp;lang=en_US&amp;offset=0&amp;query=any,contains,991003370189702656","Catalog Record")</f>
        <v>Catalog Record</v>
      </c>
      <c r="AT201" s="6" t="str">
        <f>HYPERLINK("http://www.worldcat.org/oclc/905972","WorldCat Record")</f>
        <v>WorldCat Record</v>
      </c>
      <c r="AU201" s="3" t="s">
        <v>2426</v>
      </c>
      <c r="AV201" s="3" t="s">
        <v>2427</v>
      </c>
      <c r="AW201" s="3" t="s">
        <v>2428</v>
      </c>
      <c r="AX201" s="3" t="s">
        <v>2428</v>
      </c>
      <c r="AY201" s="3" t="s">
        <v>2429</v>
      </c>
      <c r="AZ201" s="3" t="s">
        <v>74</v>
      </c>
      <c r="BC201" s="3" t="s">
        <v>2430</v>
      </c>
      <c r="BD201" s="3" t="s">
        <v>2431</v>
      </c>
    </row>
    <row r="202" spans="1:56" ht="47.25" customHeight="1" x14ac:dyDescent="0.25">
      <c r="A202" s="7" t="s">
        <v>58</v>
      </c>
      <c r="B202" s="2" t="s">
        <v>2432</v>
      </c>
      <c r="C202" s="2" t="s">
        <v>2433</v>
      </c>
      <c r="D202" s="2" t="s">
        <v>2434</v>
      </c>
      <c r="F202" s="3" t="s">
        <v>58</v>
      </c>
      <c r="G202" s="3" t="s">
        <v>59</v>
      </c>
      <c r="H202" s="3" t="s">
        <v>58</v>
      </c>
      <c r="I202" s="3" t="s">
        <v>58</v>
      </c>
      <c r="J202" s="3" t="s">
        <v>60</v>
      </c>
      <c r="K202" s="2" t="s">
        <v>2410</v>
      </c>
      <c r="L202" s="2" t="s">
        <v>2435</v>
      </c>
      <c r="M202" s="3" t="s">
        <v>83</v>
      </c>
      <c r="O202" s="3" t="s">
        <v>65</v>
      </c>
      <c r="P202" s="3" t="s">
        <v>498</v>
      </c>
      <c r="R202" s="3" t="s">
        <v>67</v>
      </c>
      <c r="S202" s="4">
        <v>12</v>
      </c>
      <c r="T202" s="4">
        <v>12</v>
      </c>
      <c r="U202" s="5" t="s">
        <v>2436</v>
      </c>
      <c r="V202" s="5" t="s">
        <v>2436</v>
      </c>
      <c r="W202" s="5" t="s">
        <v>2437</v>
      </c>
      <c r="X202" s="5" t="s">
        <v>2437</v>
      </c>
      <c r="Y202" s="4">
        <v>619</v>
      </c>
      <c r="Z202" s="4">
        <v>564</v>
      </c>
      <c r="AA202" s="4">
        <v>620</v>
      </c>
      <c r="AB202" s="4">
        <v>22</v>
      </c>
      <c r="AC202" s="4">
        <v>24</v>
      </c>
      <c r="AD202" s="4">
        <v>20</v>
      </c>
      <c r="AE202" s="4">
        <v>21</v>
      </c>
      <c r="AF202" s="4">
        <v>4</v>
      </c>
      <c r="AG202" s="4">
        <v>4</v>
      </c>
      <c r="AH202" s="4">
        <v>5</v>
      </c>
      <c r="AI202" s="4">
        <v>5</v>
      </c>
      <c r="AJ202" s="4">
        <v>4</v>
      </c>
      <c r="AK202" s="4">
        <v>4</v>
      </c>
      <c r="AL202" s="4">
        <v>10</v>
      </c>
      <c r="AM202" s="4">
        <v>11</v>
      </c>
      <c r="AN202" s="4">
        <v>0</v>
      </c>
      <c r="AO202" s="4">
        <v>0</v>
      </c>
      <c r="AP202" s="3" t="s">
        <v>58</v>
      </c>
      <c r="AQ202" s="3" t="s">
        <v>58</v>
      </c>
      <c r="AS202" s="6" t="str">
        <f>HYPERLINK("https://creighton-primo.hosted.exlibrisgroup.com/primo-explore/search?tab=default_tab&amp;search_scope=EVERYTHING&amp;vid=01CRU&amp;lang=en_US&amp;offset=0&amp;query=any,contains,991002977749702656","Catalog Record")</f>
        <v>Catalog Record</v>
      </c>
      <c r="AT202" s="6" t="str">
        <f>HYPERLINK("http://www.worldcat.org/oclc/553026","WorldCat Record")</f>
        <v>WorldCat Record</v>
      </c>
      <c r="AU202" s="3" t="s">
        <v>2438</v>
      </c>
      <c r="AV202" s="3" t="s">
        <v>2439</v>
      </c>
      <c r="AW202" s="3" t="s">
        <v>2440</v>
      </c>
      <c r="AX202" s="3" t="s">
        <v>2440</v>
      </c>
      <c r="AY202" s="3" t="s">
        <v>2441</v>
      </c>
      <c r="AZ202" s="3" t="s">
        <v>74</v>
      </c>
      <c r="BC202" s="3" t="s">
        <v>2442</v>
      </c>
      <c r="BD202" s="3" t="s">
        <v>2443</v>
      </c>
    </row>
    <row r="203" spans="1:56" ht="47.25" customHeight="1" x14ac:dyDescent="0.25">
      <c r="A203" s="7" t="s">
        <v>58</v>
      </c>
      <c r="B203" s="2" t="s">
        <v>2444</v>
      </c>
      <c r="C203" s="2" t="s">
        <v>2445</v>
      </c>
      <c r="D203" s="2" t="s">
        <v>2446</v>
      </c>
      <c r="F203" s="3" t="s">
        <v>58</v>
      </c>
      <c r="G203" s="3" t="s">
        <v>59</v>
      </c>
      <c r="H203" s="3" t="s">
        <v>58</v>
      </c>
      <c r="I203" s="3" t="s">
        <v>58</v>
      </c>
      <c r="J203" s="3" t="s">
        <v>60</v>
      </c>
      <c r="L203" s="2" t="s">
        <v>2447</v>
      </c>
      <c r="M203" s="3" t="s">
        <v>264</v>
      </c>
      <c r="O203" s="3" t="s">
        <v>65</v>
      </c>
      <c r="P203" s="3" t="s">
        <v>675</v>
      </c>
      <c r="R203" s="3" t="s">
        <v>67</v>
      </c>
      <c r="S203" s="4">
        <v>2</v>
      </c>
      <c r="T203" s="4">
        <v>2</v>
      </c>
      <c r="U203" s="5" t="s">
        <v>2448</v>
      </c>
      <c r="V203" s="5" t="s">
        <v>2448</v>
      </c>
      <c r="W203" s="5" t="s">
        <v>1964</v>
      </c>
      <c r="X203" s="5" t="s">
        <v>1964</v>
      </c>
      <c r="Y203" s="4">
        <v>451</v>
      </c>
      <c r="Z203" s="4">
        <v>333</v>
      </c>
      <c r="AA203" s="4">
        <v>624</v>
      </c>
      <c r="AB203" s="4">
        <v>3</v>
      </c>
      <c r="AC203" s="4">
        <v>7</v>
      </c>
      <c r="AD203" s="4">
        <v>17</v>
      </c>
      <c r="AE203" s="4">
        <v>34</v>
      </c>
      <c r="AF203" s="4">
        <v>7</v>
      </c>
      <c r="AG203" s="4">
        <v>15</v>
      </c>
      <c r="AH203" s="4">
        <v>3</v>
      </c>
      <c r="AI203" s="4">
        <v>6</v>
      </c>
      <c r="AJ203" s="4">
        <v>10</v>
      </c>
      <c r="AK203" s="4">
        <v>15</v>
      </c>
      <c r="AL203" s="4">
        <v>2</v>
      </c>
      <c r="AM203" s="4">
        <v>6</v>
      </c>
      <c r="AN203" s="4">
        <v>0</v>
      </c>
      <c r="AO203" s="4">
        <v>0</v>
      </c>
      <c r="AP203" s="3" t="s">
        <v>58</v>
      </c>
      <c r="AQ203" s="3" t="s">
        <v>58</v>
      </c>
      <c r="AS203" s="6" t="str">
        <f>HYPERLINK("https://creighton-primo.hosted.exlibrisgroup.com/primo-explore/search?tab=default_tab&amp;search_scope=EVERYTHING&amp;vid=01CRU&amp;lang=en_US&amp;offset=0&amp;query=any,contains,991004678799702656","Catalog Record")</f>
        <v>Catalog Record</v>
      </c>
      <c r="AT203" s="6" t="str">
        <f>HYPERLINK("http://www.worldcat.org/oclc/40805511","WorldCat Record")</f>
        <v>WorldCat Record</v>
      </c>
      <c r="AU203" s="3" t="s">
        <v>2449</v>
      </c>
      <c r="AV203" s="3" t="s">
        <v>2450</v>
      </c>
      <c r="AW203" s="3" t="s">
        <v>2451</v>
      </c>
      <c r="AX203" s="3" t="s">
        <v>2451</v>
      </c>
      <c r="AY203" s="3" t="s">
        <v>2452</v>
      </c>
      <c r="AZ203" s="3" t="s">
        <v>74</v>
      </c>
      <c r="BB203" s="3" t="s">
        <v>2453</v>
      </c>
      <c r="BC203" s="3" t="s">
        <v>2454</v>
      </c>
      <c r="BD203" s="3" t="s">
        <v>2455</v>
      </c>
    </row>
    <row r="204" spans="1:56" ht="47.25" customHeight="1" x14ac:dyDescent="0.25">
      <c r="A204" s="7" t="s">
        <v>58</v>
      </c>
      <c r="B204" s="2" t="s">
        <v>2456</v>
      </c>
      <c r="C204" s="2" t="s">
        <v>2457</v>
      </c>
      <c r="D204" s="2" t="s">
        <v>2458</v>
      </c>
      <c r="F204" s="3" t="s">
        <v>58</v>
      </c>
      <c r="G204" s="3" t="s">
        <v>59</v>
      </c>
      <c r="H204" s="3" t="s">
        <v>58</v>
      </c>
      <c r="I204" s="3" t="s">
        <v>58</v>
      </c>
      <c r="J204" s="3" t="s">
        <v>60</v>
      </c>
      <c r="K204" s="2" t="s">
        <v>2459</v>
      </c>
      <c r="L204" s="2" t="s">
        <v>2460</v>
      </c>
      <c r="M204" s="3" t="s">
        <v>398</v>
      </c>
      <c r="O204" s="3" t="s">
        <v>65</v>
      </c>
      <c r="P204" s="3" t="s">
        <v>100</v>
      </c>
      <c r="R204" s="3" t="s">
        <v>67</v>
      </c>
      <c r="S204" s="4">
        <v>1</v>
      </c>
      <c r="T204" s="4">
        <v>1</v>
      </c>
      <c r="U204" s="5" t="s">
        <v>128</v>
      </c>
      <c r="V204" s="5" t="s">
        <v>128</v>
      </c>
      <c r="W204" s="5" t="s">
        <v>2461</v>
      </c>
      <c r="X204" s="5" t="s">
        <v>2461</v>
      </c>
      <c r="Y204" s="4">
        <v>449</v>
      </c>
      <c r="Z204" s="4">
        <v>352</v>
      </c>
      <c r="AA204" s="4">
        <v>353</v>
      </c>
      <c r="AB204" s="4">
        <v>4</v>
      </c>
      <c r="AC204" s="4">
        <v>4</v>
      </c>
      <c r="AD204" s="4">
        <v>15</v>
      </c>
      <c r="AE204" s="4">
        <v>15</v>
      </c>
      <c r="AF204" s="4">
        <v>5</v>
      </c>
      <c r="AG204" s="4">
        <v>5</v>
      </c>
      <c r="AH204" s="4">
        <v>3</v>
      </c>
      <c r="AI204" s="4">
        <v>3</v>
      </c>
      <c r="AJ204" s="4">
        <v>8</v>
      </c>
      <c r="AK204" s="4">
        <v>8</v>
      </c>
      <c r="AL204" s="4">
        <v>3</v>
      </c>
      <c r="AM204" s="4">
        <v>3</v>
      </c>
      <c r="AN204" s="4">
        <v>0</v>
      </c>
      <c r="AO204" s="4">
        <v>0</v>
      </c>
      <c r="AP204" s="3" t="s">
        <v>58</v>
      </c>
      <c r="AQ204" s="3" t="s">
        <v>69</v>
      </c>
      <c r="AR204" s="6" t="str">
        <f>HYPERLINK("http://catalog.hathitrust.org/Record/002063271","HathiTrust Record")</f>
        <v>HathiTrust Record</v>
      </c>
      <c r="AS204" s="6" t="str">
        <f>HYPERLINK("https://creighton-primo.hosted.exlibrisgroup.com/primo-explore/search?tab=default_tab&amp;search_scope=EVERYTHING&amp;vid=01CRU&amp;lang=en_US&amp;offset=0&amp;query=any,contains,991001542289702656","Catalog Record")</f>
        <v>Catalog Record</v>
      </c>
      <c r="AT204" s="6" t="str">
        <f>HYPERLINK("http://www.worldcat.org/oclc/20132552","WorldCat Record")</f>
        <v>WorldCat Record</v>
      </c>
      <c r="AU204" s="3" t="s">
        <v>2462</v>
      </c>
      <c r="AV204" s="3" t="s">
        <v>2463</v>
      </c>
      <c r="AW204" s="3" t="s">
        <v>2464</v>
      </c>
      <c r="AX204" s="3" t="s">
        <v>2464</v>
      </c>
      <c r="AY204" s="3" t="s">
        <v>2465</v>
      </c>
      <c r="AZ204" s="3" t="s">
        <v>74</v>
      </c>
      <c r="BB204" s="3" t="s">
        <v>2466</v>
      </c>
      <c r="BC204" s="3" t="s">
        <v>2467</v>
      </c>
      <c r="BD204" s="3" t="s">
        <v>2468</v>
      </c>
    </row>
    <row r="205" spans="1:56" ht="47.25" customHeight="1" x14ac:dyDescent="0.25">
      <c r="A205" s="7" t="s">
        <v>58</v>
      </c>
      <c r="B205" s="2" t="s">
        <v>2469</v>
      </c>
      <c r="C205" s="2" t="s">
        <v>2470</v>
      </c>
      <c r="D205" s="2" t="s">
        <v>2471</v>
      </c>
      <c r="F205" s="3" t="s">
        <v>58</v>
      </c>
      <c r="G205" s="3" t="s">
        <v>59</v>
      </c>
      <c r="H205" s="3" t="s">
        <v>58</v>
      </c>
      <c r="I205" s="3" t="s">
        <v>58</v>
      </c>
      <c r="J205" s="3" t="s">
        <v>60</v>
      </c>
      <c r="K205" s="2" t="s">
        <v>2472</v>
      </c>
      <c r="L205" s="2" t="s">
        <v>2473</v>
      </c>
      <c r="M205" s="3" t="s">
        <v>573</v>
      </c>
      <c r="N205" s="2" t="s">
        <v>470</v>
      </c>
      <c r="O205" s="3" t="s">
        <v>65</v>
      </c>
      <c r="P205" s="3" t="s">
        <v>100</v>
      </c>
      <c r="R205" s="3" t="s">
        <v>67</v>
      </c>
      <c r="S205" s="4">
        <v>1</v>
      </c>
      <c r="T205" s="4">
        <v>1</v>
      </c>
      <c r="U205" s="5" t="s">
        <v>2474</v>
      </c>
      <c r="V205" s="5" t="s">
        <v>2474</v>
      </c>
      <c r="W205" s="5" t="s">
        <v>2474</v>
      </c>
      <c r="X205" s="5" t="s">
        <v>2474</v>
      </c>
      <c r="Y205" s="4">
        <v>718</v>
      </c>
      <c r="Z205" s="4">
        <v>669</v>
      </c>
      <c r="AA205" s="4">
        <v>694</v>
      </c>
      <c r="AB205" s="4">
        <v>4</v>
      </c>
      <c r="AC205" s="4">
        <v>4</v>
      </c>
      <c r="AD205" s="4">
        <v>14</v>
      </c>
      <c r="AE205" s="4">
        <v>14</v>
      </c>
      <c r="AF205" s="4">
        <v>4</v>
      </c>
      <c r="AG205" s="4">
        <v>4</v>
      </c>
      <c r="AH205" s="4">
        <v>5</v>
      </c>
      <c r="AI205" s="4">
        <v>5</v>
      </c>
      <c r="AJ205" s="4">
        <v>8</v>
      </c>
      <c r="AK205" s="4">
        <v>8</v>
      </c>
      <c r="AL205" s="4">
        <v>1</v>
      </c>
      <c r="AM205" s="4">
        <v>1</v>
      </c>
      <c r="AN205" s="4">
        <v>0</v>
      </c>
      <c r="AO205" s="4">
        <v>0</v>
      </c>
      <c r="AP205" s="3" t="s">
        <v>58</v>
      </c>
      <c r="AQ205" s="3" t="s">
        <v>58</v>
      </c>
      <c r="AS205" s="6" t="str">
        <f>HYPERLINK("https://creighton-primo.hosted.exlibrisgroup.com/primo-explore/search?tab=default_tab&amp;search_scope=EVERYTHING&amp;vid=01CRU&amp;lang=en_US&amp;offset=0&amp;query=any,contains,991005266859702656","Catalog Record")</f>
        <v>Catalog Record</v>
      </c>
      <c r="AT205" s="6" t="str">
        <f>HYPERLINK("http://www.worldcat.org/oclc/174134006","WorldCat Record")</f>
        <v>WorldCat Record</v>
      </c>
      <c r="AU205" s="3" t="s">
        <v>2475</v>
      </c>
      <c r="AV205" s="3" t="s">
        <v>2476</v>
      </c>
      <c r="AW205" s="3" t="s">
        <v>2477</v>
      </c>
      <c r="AX205" s="3" t="s">
        <v>2477</v>
      </c>
      <c r="AY205" s="3" t="s">
        <v>2478</v>
      </c>
      <c r="AZ205" s="3" t="s">
        <v>74</v>
      </c>
      <c r="BB205" s="3" t="s">
        <v>2479</v>
      </c>
      <c r="BC205" s="3" t="s">
        <v>2480</v>
      </c>
      <c r="BD205" s="3" t="s">
        <v>2481</v>
      </c>
    </row>
    <row r="206" spans="1:56" ht="47.25" customHeight="1" x14ac:dyDescent="0.25">
      <c r="A206" s="7" t="s">
        <v>58</v>
      </c>
      <c r="B206" s="2" t="s">
        <v>2482</v>
      </c>
      <c r="C206" s="2" t="s">
        <v>2483</v>
      </c>
      <c r="D206" s="2" t="s">
        <v>2484</v>
      </c>
      <c r="F206" s="3" t="s">
        <v>58</v>
      </c>
      <c r="G206" s="3" t="s">
        <v>59</v>
      </c>
      <c r="H206" s="3" t="s">
        <v>58</v>
      </c>
      <c r="I206" s="3" t="s">
        <v>58</v>
      </c>
      <c r="J206" s="3" t="s">
        <v>60</v>
      </c>
      <c r="K206" s="2" t="s">
        <v>2485</v>
      </c>
      <c r="L206" s="2" t="s">
        <v>2486</v>
      </c>
      <c r="M206" s="3" t="s">
        <v>659</v>
      </c>
      <c r="N206" s="2" t="s">
        <v>2487</v>
      </c>
      <c r="O206" s="3" t="s">
        <v>65</v>
      </c>
      <c r="P206" s="3" t="s">
        <v>860</v>
      </c>
      <c r="R206" s="3" t="s">
        <v>67</v>
      </c>
      <c r="S206" s="4">
        <v>2</v>
      </c>
      <c r="T206" s="4">
        <v>2</v>
      </c>
      <c r="U206" s="5" t="s">
        <v>2488</v>
      </c>
      <c r="V206" s="5" t="s">
        <v>2488</v>
      </c>
      <c r="W206" s="5" t="s">
        <v>2488</v>
      </c>
      <c r="X206" s="5" t="s">
        <v>2488</v>
      </c>
      <c r="Y206" s="4">
        <v>362</v>
      </c>
      <c r="Z206" s="4">
        <v>352</v>
      </c>
      <c r="AA206" s="4">
        <v>447</v>
      </c>
      <c r="AB206" s="4">
        <v>4</v>
      </c>
      <c r="AC206" s="4">
        <v>4</v>
      </c>
      <c r="AD206" s="4">
        <v>9</v>
      </c>
      <c r="AE206" s="4">
        <v>10</v>
      </c>
      <c r="AF206" s="4">
        <v>1</v>
      </c>
      <c r="AG206" s="4">
        <v>2</v>
      </c>
      <c r="AH206" s="4">
        <v>1</v>
      </c>
      <c r="AI206" s="4">
        <v>1</v>
      </c>
      <c r="AJ206" s="4">
        <v>5</v>
      </c>
      <c r="AK206" s="4">
        <v>5</v>
      </c>
      <c r="AL206" s="4">
        <v>2</v>
      </c>
      <c r="AM206" s="4">
        <v>2</v>
      </c>
      <c r="AN206" s="4">
        <v>0</v>
      </c>
      <c r="AO206" s="4">
        <v>0</v>
      </c>
      <c r="AP206" s="3" t="s">
        <v>58</v>
      </c>
      <c r="AQ206" s="3" t="s">
        <v>58</v>
      </c>
      <c r="AS206" s="6" t="str">
        <f>HYPERLINK("https://creighton-primo.hosted.exlibrisgroup.com/primo-explore/search?tab=default_tab&amp;search_scope=EVERYTHING&amp;vid=01CRU&amp;lang=en_US&amp;offset=0&amp;query=any,contains,991004440199702656","Catalog Record")</f>
        <v>Catalog Record</v>
      </c>
      <c r="AT206" s="6" t="str">
        <f>HYPERLINK("http://www.worldcat.org/oclc/56979874","WorldCat Record")</f>
        <v>WorldCat Record</v>
      </c>
      <c r="AU206" s="3" t="s">
        <v>2489</v>
      </c>
      <c r="AV206" s="3" t="s">
        <v>2490</v>
      </c>
      <c r="AW206" s="3" t="s">
        <v>2491</v>
      </c>
      <c r="AX206" s="3" t="s">
        <v>2491</v>
      </c>
      <c r="AY206" s="3" t="s">
        <v>2492</v>
      </c>
      <c r="AZ206" s="3" t="s">
        <v>74</v>
      </c>
      <c r="BB206" s="3" t="s">
        <v>2493</v>
      </c>
      <c r="BC206" s="3" t="s">
        <v>2494</v>
      </c>
      <c r="BD206" s="3" t="s">
        <v>2495</v>
      </c>
    </row>
    <row r="207" spans="1:56" ht="47.25" customHeight="1" x14ac:dyDescent="0.25">
      <c r="A207" s="7" t="s">
        <v>58</v>
      </c>
      <c r="B207" s="2" t="s">
        <v>2496</v>
      </c>
      <c r="C207" s="2" t="s">
        <v>2497</v>
      </c>
      <c r="D207" s="2" t="s">
        <v>2498</v>
      </c>
      <c r="F207" s="3" t="s">
        <v>58</v>
      </c>
      <c r="G207" s="3" t="s">
        <v>59</v>
      </c>
      <c r="H207" s="3" t="s">
        <v>58</v>
      </c>
      <c r="I207" s="3" t="s">
        <v>58</v>
      </c>
      <c r="J207" s="3" t="s">
        <v>60</v>
      </c>
      <c r="K207" s="2" t="s">
        <v>2499</v>
      </c>
      <c r="L207" s="2" t="s">
        <v>2500</v>
      </c>
      <c r="M207" s="3" t="s">
        <v>2501</v>
      </c>
      <c r="O207" s="3" t="s">
        <v>65</v>
      </c>
      <c r="P207" s="3" t="s">
        <v>100</v>
      </c>
      <c r="R207" s="3" t="s">
        <v>67</v>
      </c>
      <c r="S207" s="4">
        <v>3</v>
      </c>
      <c r="T207" s="4">
        <v>3</v>
      </c>
      <c r="U207" s="5" t="s">
        <v>128</v>
      </c>
      <c r="V207" s="5" t="s">
        <v>128</v>
      </c>
      <c r="W207" s="5" t="s">
        <v>1272</v>
      </c>
      <c r="X207" s="5" t="s">
        <v>1272</v>
      </c>
      <c r="Y207" s="4">
        <v>138</v>
      </c>
      <c r="Z207" s="4">
        <v>108</v>
      </c>
      <c r="AA207" s="4">
        <v>173</v>
      </c>
      <c r="AB207" s="4">
        <v>1</v>
      </c>
      <c r="AC207" s="4">
        <v>2</v>
      </c>
      <c r="AD207" s="4">
        <v>1</v>
      </c>
      <c r="AE207" s="4">
        <v>2</v>
      </c>
      <c r="AF207" s="4">
        <v>1</v>
      </c>
      <c r="AG207" s="4">
        <v>1</v>
      </c>
      <c r="AH207" s="4">
        <v>0</v>
      </c>
      <c r="AI207" s="4">
        <v>0</v>
      </c>
      <c r="AJ207" s="4">
        <v>1</v>
      </c>
      <c r="AK207" s="4">
        <v>1</v>
      </c>
      <c r="AL207" s="4">
        <v>0</v>
      </c>
      <c r="AM207" s="4">
        <v>1</v>
      </c>
      <c r="AN207" s="4">
        <v>0</v>
      </c>
      <c r="AO207" s="4">
        <v>0</v>
      </c>
      <c r="AP207" s="3" t="s">
        <v>69</v>
      </c>
      <c r="AQ207" s="3" t="s">
        <v>58</v>
      </c>
      <c r="AR207" s="6" t="str">
        <f>HYPERLINK("http://catalog.hathitrust.org/Record/006517415","HathiTrust Record")</f>
        <v>HathiTrust Record</v>
      </c>
      <c r="AS207" s="6" t="str">
        <f>HYPERLINK("https://creighton-primo.hosted.exlibrisgroup.com/primo-explore/search?tab=default_tab&amp;search_scope=EVERYTHING&amp;vid=01CRU&amp;lang=en_US&amp;offset=0&amp;query=any,contains,991003150679702656","Catalog Record")</f>
        <v>Catalog Record</v>
      </c>
      <c r="AT207" s="6" t="str">
        <f>HYPERLINK("http://www.worldcat.org/oclc/690013","WorldCat Record")</f>
        <v>WorldCat Record</v>
      </c>
      <c r="AU207" s="3" t="s">
        <v>2502</v>
      </c>
      <c r="AV207" s="3" t="s">
        <v>2503</v>
      </c>
      <c r="AW207" s="3" t="s">
        <v>2504</v>
      </c>
      <c r="AX207" s="3" t="s">
        <v>2504</v>
      </c>
      <c r="AY207" s="3" t="s">
        <v>2505</v>
      </c>
      <c r="AZ207" s="3" t="s">
        <v>74</v>
      </c>
      <c r="BC207" s="3" t="s">
        <v>2506</v>
      </c>
      <c r="BD207" s="3" t="s">
        <v>2507</v>
      </c>
    </row>
    <row r="208" spans="1:56" ht="47.25" customHeight="1" x14ac:dyDescent="0.25">
      <c r="A208" s="7" t="s">
        <v>58</v>
      </c>
      <c r="B208" s="2" t="s">
        <v>2508</v>
      </c>
      <c r="C208" s="2" t="s">
        <v>2509</v>
      </c>
      <c r="D208" s="2" t="s">
        <v>2510</v>
      </c>
      <c r="F208" s="3" t="s">
        <v>58</v>
      </c>
      <c r="G208" s="3" t="s">
        <v>59</v>
      </c>
      <c r="H208" s="3" t="s">
        <v>58</v>
      </c>
      <c r="I208" s="3" t="s">
        <v>58</v>
      </c>
      <c r="J208" s="3" t="s">
        <v>60</v>
      </c>
      <c r="K208" s="2" t="s">
        <v>2511</v>
      </c>
      <c r="L208" s="2" t="s">
        <v>2512</v>
      </c>
      <c r="M208" s="3" t="s">
        <v>301</v>
      </c>
      <c r="O208" s="3" t="s">
        <v>65</v>
      </c>
      <c r="P208" s="3" t="s">
        <v>100</v>
      </c>
      <c r="Q208" s="2" t="s">
        <v>2513</v>
      </c>
      <c r="R208" s="3" t="s">
        <v>67</v>
      </c>
      <c r="S208" s="4">
        <v>1</v>
      </c>
      <c r="T208" s="4">
        <v>1</v>
      </c>
      <c r="U208" s="5" t="s">
        <v>1058</v>
      </c>
      <c r="V208" s="5" t="s">
        <v>1058</v>
      </c>
      <c r="W208" s="5" t="s">
        <v>2131</v>
      </c>
      <c r="X208" s="5" t="s">
        <v>2131</v>
      </c>
      <c r="Y208" s="4">
        <v>961</v>
      </c>
      <c r="Z208" s="4">
        <v>806</v>
      </c>
      <c r="AA208" s="4">
        <v>841</v>
      </c>
      <c r="AB208" s="4">
        <v>12</v>
      </c>
      <c r="AC208" s="4">
        <v>12</v>
      </c>
      <c r="AD208" s="4">
        <v>35</v>
      </c>
      <c r="AE208" s="4">
        <v>36</v>
      </c>
      <c r="AF208" s="4">
        <v>11</v>
      </c>
      <c r="AG208" s="4">
        <v>11</v>
      </c>
      <c r="AH208" s="4">
        <v>4</v>
      </c>
      <c r="AI208" s="4">
        <v>5</v>
      </c>
      <c r="AJ208" s="4">
        <v>14</v>
      </c>
      <c r="AK208" s="4">
        <v>15</v>
      </c>
      <c r="AL208" s="4">
        <v>11</v>
      </c>
      <c r="AM208" s="4">
        <v>11</v>
      </c>
      <c r="AN208" s="4">
        <v>0</v>
      </c>
      <c r="AO208" s="4">
        <v>0</v>
      </c>
      <c r="AP208" s="3" t="s">
        <v>58</v>
      </c>
      <c r="AQ208" s="3" t="s">
        <v>69</v>
      </c>
      <c r="AR208" s="6" t="str">
        <f>HYPERLINK("http://catalog.hathitrust.org/Record/000401811","HathiTrust Record")</f>
        <v>HathiTrust Record</v>
      </c>
      <c r="AS208" s="6" t="str">
        <f>HYPERLINK("https://creighton-primo.hosted.exlibrisgroup.com/primo-explore/search?tab=default_tab&amp;search_scope=EVERYTHING&amp;vid=01CRU&amp;lang=en_US&amp;offset=0&amp;query=any,contains,991002231079702656","Catalog Record")</f>
        <v>Catalog Record</v>
      </c>
      <c r="AT208" s="6" t="str">
        <f>HYPERLINK("http://www.worldcat.org/oclc/294016","WorldCat Record")</f>
        <v>WorldCat Record</v>
      </c>
      <c r="AU208" s="3" t="s">
        <v>2514</v>
      </c>
      <c r="AV208" s="3" t="s">
        <v>2515</v>
      </c>
      <c r="AW208" s="3" t="s">
        <v>2516</v>
      </c>
      <c r="AX208" s="3" t="s">
        <v>2516</v>
      </c>
      <c r="AY208" s="3" t="s">
        <v>2517</v>
      </c>
      <c r="AZ208" s="3" t="s">
        <v>74</v>
      </c>
      <c r="BC208" s="3" t="s">
        <v>2518</v>
      </c>
      <c r="BD208" s="3" t="s">
        <v>2519</v>
      </c>
    </row>
    <row r="209" spans="1:56" ht="47.25" customHeight="1" x14ac:dyDescent="0.25">
      <c r="A209" s="7" t="s">
        <v>58</v>
      </c>
      <c r="B209" s="2" t="s">
        <v>2520</v>
      </c>
      <c r="C209" s="2" t="s">
        <v>2521</v>
      </c>
      <c r="D209" s="2" t="s">
        <v>2522</v>
      </c>
      <c r="F209" s="3" t="s">
        <v>58</v>
      </c>
      <c r="G209" s="3" t="s">
        <v>59</v>
      </c>
      <c r="H209" s="3" t="s">
        <v>58</v>
      </c>
      <c r="I209" s="3" t="s">
        <v>58</v>
      </c>
      <c r="J209" s="3" t="s">
        <v>60</v>
      </c>
      <c r="K209" s="2" t="s">
        <v>2523</v>
      </c>
      <c r="L209" s="2" t="s">
        <v>2524</v>
      </c>
      <c r="M209" s="3" t="s">
        <v>1836</v>
      </c>
      <c r="O209" s="3" t="s">
        <v>65</v>
      </c>
      <c r="P209" s="3" t="s">
        <v>100</v>
      </c>
      <c r="R209" s="3" t="s">
        <v>67</v>
      </c>
      <c r="S209" s="4">
        <v>3</v>
      </c>
      <c r="T209" s="4">
        <v>3</v>
      </c>
      <c r="U209" s="5" t="s">
        <v>2525</v>
      </c>
      <c r="V209" s="5" t="s">
        <v>2525</v>
      </c>
      <c r="W209" s="5" t="s">
        <v>2525</v>
      </c>
      <c r="X209" s="5" t="s">
        <v>2525</v>
      </c>
      <c r="Y209" s="4">
        <v>660</v>
      </c>
      <c r="Z209" s="4">
        <v>505</v>
      </c>
      <c r="AA209" s="4">
        <v>723</v>
      </c>
      <c r="AB209" s="4">
        <v>5</v>
      </c>
      <c r="AC209" s="4">
        <v>5</v>
      </c>
      <c r="AD209" s="4">
        <v>25</v>
      </c>
      <c r="AE209" s="4">
        <v>38</v>
      </c>
      <c r="AF209" s="4">
        <v>12</v>
      </c>
      <c r="AG209" s="4">
        <v>20</v>
      </c>
      <c r="AH209" s="4">
        <v>6</v>
      </c>
      <c r="AI209" s="4">
        <v>9</v>
      </c>
      <c r="AJ209" s="4">
        <v>11</v>
      </c>
      <c r="AK209" s="4">
        <v>16</v>
      </c>
      <c r="AL209" s="4">
        <v>4</v>
      </c>
      <c r="AM209" s="4">
        <v>4</v>
      </c>
      <c r="AN209" s="4">
        <v>0</v>
      </c>
      <c r="AO209" s="4">
        <v>0</v>
      </c>
      <c r="AP209" s="3" t="s">
        <v>58</v>
      </c>
      <c r="AQ209" s="3" t="s">
        <v>58</v>
      </c>
      <c r="AS209" s="6" t="str">
        <f>HYPERLINK("https://creighton-primo.hosted.exlibrisgroup.com/primo-explore/search?tab=default_tab&amp;search_scope=EVERYTHING&amp;vid=01CRU&amp;lang=en_US&amp;offset=0&amp;query=any,contains,991004276629702656","Catalog Record")</f>
        <v>Catalog Record</v>
      </c>
      <c r="AT209" s="6" t="str">
        <f>HYPERLINK("http://www.worldcat.org/oclc/49520001","WorldCat Record")</f>
        <v>WorldCat Record</v>
      </c>
      <c r="AU209" s="3" t="s">
        <v>2526</v>
      </c>
      <c r="AV209" s="3" t="s">
        <v>2527</v>
      </c>
      <c r="AW209" s="3" t="s">
        <v>2528</v>
      </c>
      <c r="AX209" s="3" t="s">
        <v>2528</v>
      </c>
      <c r="AY209" s="3" t="s">
        <v>2529</v>
      </c>
      <c r="AZ209" s="3" t="s">
        <v>74</v>
      </c>
      <c r="BB209" s="3" t="s">
        <v>2530</v>
      </c>
      <c r="BC209" s="3" t="s">
        <v>2531</v>
      </c>
      <c r="BD209" s="3" t="s">
        <v>2532</v>
      </c>
    </row>
    <row r="210" spans="1:56" ht="47.25" customHeight="1" x14ac:dyDescent="0.25">
      <c r="A210" s="7" t="s">
        <v>58</v>
      </c>
      <c r="B210" s="2" t="s">
        <v>2533</v>
      </c>
      <c r="C210" s="2" t="s">
        <v>2534</v>
      </c>
      <c r="D210" s="2" t="s">
        <v>2535</v>
      </c>
      <c r="F210" s="3" t="s">
        <v>58</v>
      </c>
      <c r="G210" s="3" t="s">
        <v>59</v>
      </c>
      <c r="H210" s="3" t="s">
        <v>58</v>
      </c>
      <c r="I210" s="3" t="s">
        <v>58</v>
      </c>
      <c r="J210" s="3" t="s">
        <v>60</v>
      </c>
      <c r="K210" s="2" t="s">
        <v>2536</v>
      </c>
      <c r="L210" s="2" t="s">
        <v>2537</v>
      </c>
      <c r="M210" s="3" t="s">
        <v>126</v>
      </c>
      <c r="O210" s="3" t="s">
        <v>65</v>
      </c>
      <c r="P210" s="3" t="s">
        <v>100</v>
      </c>
      <c r="R210" s="3" t="s">
        <v>67</v>
      </c>
      <c r="S210" s="4">
        <v>5</v>
      </c>
      <c r="T210" s="4">
        <v>5</v>
      </c>
      <c r="U210" s="5" t="s">
        <v>2538</v>
      </c>
      <c r="V210" s="5" t="s">
        <v>2538</v>
      </c>
      <c r="W210" s="5" t="s">
        <v>2539</v>
      </c>
      <c r="X210" s="5" t="s">
        <v>2539</v>
      </c>
      <c r="Y210" s="4">
        <v>439</v>
      </c>
      <c r="Z210" s="4">
        <v>344</v>
      </c>
      <c r="AA210" s="4">
        <v>351</v>
      </c>
      <c r="AB210" s="4">
        <v>2</v>
      </c>
      <c r="AC210" s="4">
        <v>2</v>
      </c>
      <c r="AD210" s="4">
        <v>10</v>
      </c>
      <c r="AE210" s="4">
        <v>10</v>
      </c>
      <c r="AF210" s="4">
        <v>3</v>
      </c>
      <c r="AG210" s="4">
        <v>3</v>
      </c>
      <c r="AH210" s="4">
        <v>2</v>
      </c>
      <c r="AI210" s="4">
        <v>2</v>
      </c>
      <c r="AJ210" s="4">
        <v>6</v>
      </c>
      <c r="AK210" s="4">
        <v>6</v>
      </c>
      <c r="AL210" s="4">
        <v>1</v>
      </c>
      <c r="AM210" s="4">
        <v>1</v>
      </c>
      <c r="AN210" s="4">
        <v>0</v>
      </c>
      <c r="AO210" s="4">
        <v>0</v>
      </c>
      <c r="AP210" s="3" t="s">
        <v>58</v>
      </c>
      <c r="AQ210" s="3" t="s">
        <v>58</v>
      </c>
      <c r="AS210" s="6" t="str">
        <f>HYPERLINK("https://creighton-primo.hosted.exlibrisgroup.com/primo-explore/search?tab=default_tab&amp;search_scope=EVERYTHING&amp;vid=01CRU&amp;lang=en_US&amp;offset=0&amp;query=any,contains,991001219699702656","Catalog Record")</f>
        <v>Catalog Record</v>
      </c>
      <c r="AT210" s="6" t="str">
        <f>HYPERLINK("http://www.worldcat.org/oclc/17441640","WorldCat Record")</f>
        <v>WorldCat Record</v>
      </c>
      <c r="AU210" s="3" t="s">
        <v>2540</v>
      </c>
      <c r="AV210" s="3" t="s">
        <v>2541</v>
      </c>
      <c r="AW210" s="3" t="s">
        <v>2542</v>
      </c>
      <c r="AX210" s="3" t="s">
        <v>2542</v>
      </c>
      <c r="AY210" s="3" t="s">
        <v>2543</v>
      </c>
      <c r="AZ210" s="3" t="s">
        <v>74</v>
      </c>
      <c r="BB210" s="3" t="s">
        <v>2544</v>
      </c>
      <c r="BC210" s="3" t="s">
        <v>2545</v>
      </c>
      <c r="BD210" s="3" t="s">
        <v>2546</v>
      </c>
    </row>
    <row r="211" spans="1:56" ht="47.25" customHeight="1" x14ac:dyDescent="0.25">
      <c r="A211" s="7" t="s">
        <v>58</v>
      </c>
      <c r="B211" s="2" t="s">
        <v>2547</v>
      </c>
      <c r="C211" s="2" t="s">
        <v>2548</v>
      </c>
      <c r="D211" s="2" t="s">
        <v>2549</v>
      </c>
      <c r="F211" s="3" t="s">
        <v>58</v>
      </c>
      <c r="G211" s="3" t="s">
        <v>59</v>
      </c>
      <c r="H211" s="3" t="s">
        <v>58</v>
      </c>
      <c r="I211" s="3" t="s">
        <v>58</v>
      </c>
      <c r="J211" s="3" t="s">
        <v>60</v>
      </c>
      <c r="K211" s="2" t="s">
        <v>2550</v>
      </c>
      <c r="L211" s="2" t="s">
        <v>2551</v>
      </c>
      <c r="M211" s="3" t="s">
        <v>126</v>
      </c>
      <c r="O211" s="3" t="s">
        <v>65</v>
      </c>
      <c r="P211" s="3" t="s">
        <v>100</v>
      </c>
      <c r="Q211" s="2" t="s">
        <v>2552</v>
      </c>
      <c r="R211" s="3" t="s">
        <v>67</v>
      </c>
      <c r="S211" s="4">
        <v>8</v>
      </c>
      <c r="T211" s="4">
        <v>8</v>
      </c>
      <c r="U211" s="5" t="s">
        <v>128</v>
      </c>
      <c r="V211" s="5" t="s">
        <v>128</v>
      </c>
      <c r="W211" s="5" t="s">
        <v>1731</v>
      </c>
      <c r="X211" s="5" t="s">
        <v>1731</v>
      </c>
      <c r="Y211" s="4">
        <v>77</v>
      </c>
      <c r="Z211" s="4">
        <v>62</v>
      </c>
      <c r="AA211" s="4">
        <v>165</v>
      </c>
      <c r="AB211" s="4">
        <v>2</v>
      </c>
      <c r="AC211" s="4">
        <v>3</v>
      </c>
      <c r="AD211" s="4">
        <v>2</v>
      </c>
      <c r="AE211" s="4">
        <v>5</v>
      </c>
      <c r="AF211" s="4">
        <v>1</v>
      </c>
      <c r="AG211" s="4">
        <v>1</v>
      </c>
      <c r="AH211" s="4">
        <v>0</v>
      </c>
      <c r="AI211" s="4">
        <v>1</v>
      </c>
      <c r="AJ211" s="4">
        <v>0</v>
      </c>
      <c r="AK211" s="4">
        <v>2</v>
      </c>
      <c r="AL211" s="4">
        <v>1</v>
      </c>
      <c r="AM211" s="4">
        <v>2</v>
      </c>
      <c r="AN211" s="4">
        <v>0</v>
      </c>
      <c r="AO211" s="4">
        <v>0</v>
      </c>
      <c r="AP211" s="3" t="s">
        <v>58</v>
      </c>
      <c r="AQ211" s="3" t="s">
        <v>69</v>
      </c>
      <c r="AR211" s="6" t="str">
        <f>HYPERLINK("http://catalog.hathitrust.org/Record/000926940","HathiTrust Record")</f>
        <v>HathiTrust Record</v>
      </c>
      <c r="AS211" s="6" t="str">
        <f>HYPERLINK("https://creighton-primo.hosted.exlibrisgroup.com/primo-explore/search?tab=default_tab&amp;search_scope=EVERYTHING&amp;vid=01CRU&amp;lang=en_US&amp;offset=0&amp;query=any,contains,991001276549702656","Catalog Record")</f>
        <v>Catalog Record</v>
      </c>
      <c r="AT211" s="6" t="str">
        <f>HYPERLINK("http://www.worldcat.org/oclc/17875290","WorldCat Record")</f>
        <v>WorldCat Record</v>
      </c>
      <c r="AU211" s="3" t="s">
        <v>2553</v>
      </c>
      <c r="AV211" s="3" t="s">
        <v>2554</v>
      </c>
      <c r="AW211" s="3" t="s">
        <v>2555</v>
      </c>
      <c r="AX211" s="3" t="s">
        <v>2555</v>
      </c>
      <c r="AY211" s="3" t="s">
        <v>2556</v>
      </c>
      <c r="AZ211" s="3" t="s">
        <v>74</v>
      </c>
      <c r="BB211" s="3" t="s">
        <v>2557</v>
      </c>
      <c r="BC211" s="3" t="s">
        <v>2558</v>
      </c>
      <c r="BD211" s="3" t="s">
        <v>2559</v>
      </c>
    </row>
    <row r="212" spans="1:56" ht="47.25" customHeight="1" x14ac:dyDescent="0.25">
      <c r="A212" s="7" t="s">
        <v>58</v>
      </c>
      <c r="B212" s="2" t="s">
        <v>2560</v>
      </c>
      <c r="C212" s="2" t="s">
        <v>2561</v>
      </c>
      <c r="D212" s="2" t="s">
        <v>2562</v>
      </c>
      <c r="F212" s="3" t="s">
        <v>58</v>
      </c>
      <c r="G212" s="3" t="s">
        <v>59</v>
      </c>
      <c r="H212" s="3" t="s">
        <v>58</v>
      </c>
      <c r="I212" s="3" t="s">
        <v>58</v>
      </c>
      <c r="J212" s="3" t="s">
        <v>60</v>
      </c>
      <c r="K212" s="2" t="s">
        <v>2563</v>
      </c>
      <c r="L212" s="2" t="s">
        <v>2564</v>
      </c>
      <c r="M212" s="3" t="s">
        <v>1148</v>
      </c>
      <c r="N212" s="2" t="s">
        <v>1362</v>
      </c>
      <c r="O212" s="3" t="s">
        <v>65</v>
      </c>
      <c r="P212" s="3" t="s">
        <v>127</v>
      </c>
      <c r="R212" s="3" t="s">
        <v>67</v>
      </c>
      <c r="S212" s="4">
        <v>3</v>
      </c>
      <c r="T212" s="4">
        <v>3</v>
      </c>
      <c r="U212" s="5" t="s">
        <v>2538</v>
      </c>
      <c r="V212" s="5" t="s">
        <v>2538</v>
      </c>
      <c r="W212" s="5" t="s">
        <v>1731</v>
      </c>
      <c r="X212" s="5" t="s">
        <v>1731</v>
      </c>
      <c r="Y212" s="4">
        <v>534</v>
      </c>
      <c r="Z212" s="4">
        <v>375</v>
      </c>
      <c r="AA212" s="4">
        <v>920</v>
      </c>
      <c r="AB212" s="4">
        <v>2</v>
      </c>
      <c r="AC212" s="4">
        <v>6</v>
      </c>
      <c r="AD212" s="4">
        <v>15</v>
      </c>
      <c r="AE212" s="4">
        <v>32</v>
      </c>
      <c r="AF212" s="4">
        <v>7</v>
      </c>
      <c r="AG212" s="4">
        <v>12</v>
      </c>
      <c r="AH212" s="4">
        <v>4</v>
      </c>
      <c r="AI212" s="4">
        <v>6</v>
      </c>
      <c r="AJ212" s="4">
        <v>8</v>
      </c>
      <c r="AK212" s="4">
        <v>17</v>
      </c>
      <c r="AL212" s="4">
        <v>1</v>
      </c>
      <c r="AM212" s="4">
        <v>5</v>
      </c>
      <c r="AN212" s="4">
        <v>0</v>
      </c>
      <c r="AO212" s="4">
        <v>0</v>
      </c>
      <c r="AP212" s="3" t="s">
        <v>58</v>
      </c>
      <c r="AQ212" s="3" t="s">
        <v>58</v>
      </c>
      <c r="AS212" s="6" t="str">
        <f>HYPERLINK("https://creighton-primo.hosted.exlibrisgroup.com/primo-explore/search?tab=default_tab&amp;search_scope=EVERYTHING&amp;vid=01CRU&amp;lang=en_US&amp;offset=0&amp;query=any,contains,991000247939702656","Catalog Record")</f>
        <v>Catalog Record</v>
      </c>
      <c r="AT212" s="6" t="str">
        <f>HYPERLINK("http://www.worldcat.org/oclc/9731545","WorldCat Record")</f>
        <v>WorldCat Record</v>
      </c>
      <c r="AU212" s="3" t="s">
        <v>2565</v>
      </c>
      <c r="AV212" s="3" t="s">
        <v>2566</v>
      </c>
      <c r="AW212" s="3" t="s">
        <v>2567</v>
      </c>
      <c r="AX212" s="3" t="s">
        <v>2567</v>
      </c>
      <c r="AY212" s="3" t="s">
        <v>2568</v>
      </c>
      <c r="AZ212" s="3" t="s">
        <v>74</v>
      </c>
      <c r="BB212" s="3" t="s">
        <v>2569</v>
      </c>
      <c r="BC212" s="3" t="s">
        <v>2570</v>
      </c>
      <c r="BD212" s="3" t="s">
        <v>2571</v>
      </c>
    </row>
    <row r="213" spans="1:56" ht="47.25" customHeight="1" x14ac:dyDescent="0.25">
      <c r="A213" s="7" t="s">
        <v>58</v>
      </c>
      <c r="B213" s="2" t="s">
        <v>2572</v>
      </c>
      <c r="C213" s="2" t="s">
        <v>2573</v>
      </c>
      <c r="D213" s="2" t="s">
        <v>2574</v>
      </c>
      <c r="F213" s="3" t="s">
        <v>58</v>
      </c>
      <c r="G213" s="3" t="s">
        <v>59</v>
      </c>
      <c r="H213" s="3" t="s">
        <v>58</v>
      </c>
      <c r="I213" s="3" t="s">
        <v>58</v>
      </c>
      <c r="J213" s="3" t="s">
        <v>60</v>
      </c>
      <c r="K213" s="2" t="s">
        <v>2575</v>
      </c>
      <c r="L213" s="2" t="s">
        <v>2576</v>
      </c>
      <c r="M213" s="3" t="s">
        <v>385</v>
      </c>
      <c r="O213" s="3" t="s">
        <v>65</v>
      </c>
      <c r="P213" s="3" t="s">
        <v>127</v>
      </c>
      <c r="R213" s="3" t="s">
        <v>67</v>
      </c>
      <c r="S213" s="4">
        <v>3</v>
      </c>
      <c r="T213" s="4">
        <v>3</v>
      </c>
      <c r="U213" s="5" t="s">
        <v>2577</v>
      </c>
      <c r="V213" s="5" t="s">
        <v>2577</v>
      </c>
      <c r="W213" s="5" t="s">
        <v>440</v>
      </c>
      <c r="X213" s="5" t="s">
        <v>440</v>
      </c>
      <c r="Y213" s="4">
        <v>128</v>
      </c>
      <c r="Z213" s="4">
        <v>56</v>
      </c>
      <c r="AA213" s="4">
        <v>58</v>
      </c>
      <c r="AB213" s="4">
        <v>2</v>
      </c>
      <c r="AC213" s="4">
        <v>2</v>
      </c>
      <c r="AD213" s="4">
        <v>3</v>
      </c>
      <c r="AE213" s="4">
        <v>3</v>
      </c>
      <c r="AF213" s="4">
        <v>0</v>
      </c>
      <c r="AG213" s="4">
        <v>0</v>
      </c>
      <c r="AH213" s="4">
        <v>1</v>
      </c>
      <c r="AI213" s="4">
        <v>1</v>
      </c>
      <c r="AJ213" s="4">
        <v>1</v>
      </c>
      <c r="AK213" s="4">
        <v>1</v>
      </c>
      <c r="AL213" s="4">
        <v>1</v>
      </c>
      <c r="AM213" s="4">
        <v>1</v>
      </c>
      <c r="AN213" s="4">
        <v>0</v>
      </c>
      <c r="AO213" s="4">
        <v>0</v>
      </c>
      <c r="AP213" s="3" t="s">
        <v>58</v>
      </c>
      <c r="AQ213" s="3" t="s">
        <v>69</v>
      </c>
      <c r="AR213" s="6" t="str">
        <f>HYPERLINK("http://catalog.hathitrust.org/Record/000445480","HathiTrust Record")</f>
        <v>HathiTrust Record</v>
      </c>
      <c r="AS213" s="6" t="str">
        <f>HYPERLINK("https://creighton-primo.hosted.exlibrisgroup.com/primo-explore/search?tab=default_tab&amp;search_scope=EVERYTHING&amp;vid=01CRU&amp;lang=en_US&amp;offset=0&amp;query=any,contains,991000905159702656","Catalog Record")</f>
        <v>Catalog Record</v>
      </c>
      <c r="AT213" s="6" t="str">
        <f>HYPERLINK("http://www.worldcat.org/oclc/16278560","WorldCat Record")</f>
        <v>WorldCat Record</v>
      </c>
      <c r="AU213" s="3" t="s">
        <v>2578</v>
      </c>
      <c r="AV213" s="3" t="s">
        <v>2579</v>
      </c>
      <c r="AW213" s="3" t="s">
        <v>2580</v>
      </c>
      <c r="AX213" s="3" t="s">
        <v>2580</v>
      </c>
      <c r="AY213" s="3" t="s">
        <v>2581</v>
      </c>
      <c r="AZ213" s="3" t="s">
        <v>74</v>
      </c>
      <c r="BB213" s="3" t="s">
        <v>2582</v>
      </c>
      <c r="BC213" s="3" t="s">
        <v>2583</v>
      </c>
      <c r="BD213" s="3" t="s">
        <v>2584</v>
      </c>
    </row>
  </sheetData>
  <sheetProtection sheet="1" objects="1" scenarios="1"/>
  <protectedRanges>
    <protectedRange sqref="A2:A213" name="Range1"/>
    <protectedRange sqref="A1" name="Range1_1"/>
  </protectedRanges>
  <dataValidations count="1">
    <dataValidation type="list" allowBlank="1" showInputMessage="1" showErrorMessage="1" sqref="A2:A213" xr:uid="{089248AE-E7F1-4BED-8E7B-F1C05B714978}">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E2D271C8-75EE-43F7-84D4-81EC41F5FBBD}"/>
</file>

<file path=customXml/itemProps2.xml><?xml version="1.0" encoding="utf-8"?>
<ds:datastoreItem xmlns:ds="http://schemas.openxmlformats.org/officeDocument/2006/customXml" ds:itemID="{AB758D23-3107-4789-AA1D-406BD18436DE}"/>
</file>

<file path=customXml/itemProps3.xml><?xml version="1.0" encoding="utf-8"?>
<ds:datastoreItem xmlns:ds="http://schemas.openxmlformats.org/officeDocument/2006/customXml" ds:itemID="{1813839E-1AFE-42A7-9EFA-6198ED5C10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2022-03-04T02:35:25Z</dcterms:created>
  <dcterms:modified xsi:type="dcterms:W3CDTF">2022-03-04T02:36:55Z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288300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